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201公租房收购\"/>
    </mc:Choice>
  </mc:AlternateContent>
  <xr:revisionPtr revIDLastSave="0" documentId="13_ncr:1_{E01D614A-F564-4755-B5DC-ADD71B897AC7}" xr6:coauthVersionLast="45" xr6:coauthVersionMax="45" xr10:uidLastSave="{00000000-0000-0000-0000-000000000000}"/>
  <bookViews>
    <workbookView xWindow="210" yWindow="210" windowWidth="21840" windowHeight="13140" tabRatio="899" firstSheet="2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房源表" sheetId="84" r:id="rId12"/>
    <sheet name="权属文件" sheetId="79" r:id="rId13"/>
    <sheet name="测绘" sheetId="88" r:id="rId14"/>
    <sheet name="户型" sheetId="86" r:id="rId15"/>
    <sheet name="数据-基础表" sheetId="3" r:id="rId16"/>
    <sheet name="抵押物清单（分楼）" sheetId="42"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汇总）" sheetId="70" r:id="rId26"/>
    <sheet name="收益法-宿舍" sheetId="80" r:id="rId27"/>
    <sheet name="收益法 -商业" sheetId="81" state="hidden" r:id="rId28"/>
    <sheet name="收益法-车库" sheetId="82" state="hidden" r:id="rId29"/>
    <sheet name="收益法-库房" sheetId="15" state="hidden" r:id="rId30"/>
    <sheet name="收益法 (元)" sheetId="67" state="hidden" r:id="rId31"/>
    <sheet name="收益法-酒店模型" sheetId="77" state="hidden" r:id="rId32"/>
    <sheet name="比较法-住宅" sheetId="21"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收益法-宿舍无燃气" sheetId="89" r:id="rId50"/>
    <sheet name="比较法-住宅无燃气" sheetId="87" r:id="rId51"/>
    <sheet name="Sheet6" sheetId="83" r:id="rId52"/>
    <sheet name="存贷款利率" sheetId="73" r:id="rId53"/>
    <sheet name="区片价（范围）" sheetId="75" state="hidden" r:id="rId54"/>
  </sheets>
  <externalReferences>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50" hidden="1">'比较法-住宅无燃气'!$A$1:$L$49</definedName>
    <definedName name="_xlnm._FilterDatabase" localSheetId="13" hidden="1">测绘!$A$2:$V$1072</definedName>
    <definedName name="_xlnm._FilterDatabase" localSheetId="11" hidden="1">房源表!$A$3:$R$3</definedName>
    <definedName name="_xlnm._FilterDatabase" localSheetId="15"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50">'比较法-住宅无燃气'!$A$1:$K$54,'比较法-住宅无燃气'!$A$57:$M$131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4">假设开发法!$A$1:$K$32</definedName>
    <definedName name="_xlnm.Print_Area" localSheetId="21">结果表!$A$1:$I$127</definedName>
    <definedName name="_xlnm.Print_Area" localSheetId="30">'收益法 (元)'!$A$1:$F$43,'收益法 (元)'!$H$3:$M$29,'收益法 (元)'!$A$45:$F$71,'收益法 (元)'!$I$46:$N$65</definedName>
    <definedName name="_xlnm.Print_Area" localSheetId="27">'收益法 -商业'!$A$1:$F$43,'收益法 -商业'!$H$3:$M$29,'收益法 -商业'!$A$46:$F$71,'收益法 -商业'!$I$46:$N$65</definedName>
    <definedName name="_xlnm.Print_Area" localSheetId="25">'收益法（汇总）'!$A$1:$F$13</definedName>
    <definedName name="_xlnm.Print_Area" localSheetId="28">'收益法-车库'!$A$1:$F$43,'收益法-车库'!$H$3:$M$29,'收益法-车库'!$A$46:$F$71,'收益法-车库'!$I$46:$N$65</definedName>
    <definedName name="_xlnm.Print_Area" localSheetId="29">'收益法-库房'!$A$1:$F$43,'收益法-库房'!$H$3:$M$29,'收益法-库房'!$A$46:$F$71,'收益法-库房'!$I$46:$N$65</definedName>
    <definedName name="_xlnm.Print_Area" localSheetId="26">'收益法-宿舍'!$A$1:$F$43,'收益法-宿舍'!$H$3:$M$29,'收益法-宿舍'!$A$46:$F$71,'收益法-宿舍'!$I$46:$N$65</definedName>
    <definedName name="_xlnm.Print_Area" localSheetId="49">'收益法-宿舍无燃气'!$A$1:$F$43,'收益法-宿舍无燃气'!$H$3:$M$29,'收益法-宿舍无燃气'!$A$46:$F$71,'收益法-宿舍无燃气'!$I$46:$N$65</definedName>
    <definedName name="_xlnm.Print_Area" localSheetId="17">'数据-汇总表'!$A$1:$P$32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区片价!$I$1:$I$20</definedName>
    <definedName name="二级分类" localSheetId="12">[1]修正!$C$17:$C$39</definedName>
    <definedName name="二级分类">修正!$C$17:$C$39</definedName>
    <definedName name="法定最高年限" localSheetId="12">[1]定义!$G$1:$G$4</definedName>
    <definedName name="法定最高年限">定义!$G$1:$G$4</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区片价!$P$1:$P$46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区片价!$M$1:$M$49</definedName>
    <definedName name="内部装修维护情况" localSheetId="12">[1]定义!$U$1:$U$6</definedName>
    <definedName name="内部装修维护情况">定义!$U$1:$U$6</definedName>
    <definedName name="判定" localSheetId="12">[1]定义!$D$1:$D$4</definedName>
    <definedName name="判定" localSheetId="31">[2]定义!$D$1:$D$4</definedName>
    <definedName name="判定">定义!$D$1:$D$4</definedName>
    <definedName name="七级">区片价!$N$1:$N$49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区片价!$J$1:$J$21</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[1]修正!$C$59:$C$119</definedName>
    <definedName name="商业街名称">修正!$C$59:$C$119</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区片价!$K$1:$K$28</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'[1]土地比较法-住宅、综合'!$A$73:$M$73</definedName>
    <definedName name="套工交易情况">'土地比较法-住宅、综合'!$A$73:$M$73</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'[1]土地比较法-住宅、综合'!$B$106:$M$106</definedName>
    <definedName name="套综道路等级">'土地比较法-住宅、综合'!$B$106:$M$106</definedName>
    <definedName name="套综工程地质条件" localSheetId="12">'[1]土地比较法-住宅、综合'!$B$125:$M$125</definedName>
    <definedName name="套综工程地质条件">'土地比较法-住宅、综合'!$B$125:$M$125</definedName>
    <definedName name="套综交易情况" localSheetId="12">'[1]土地比较法-住宅、综合'!$A$73:$M$73</definedName>
    <definedName name="套综交易情况">'土地比较法-住宅、综合'!$A$73:$M$73</definedName>
    <definedName name="套综临街宽度及深度" localSheetId="12">'[1]土地比较法-住宅、综合'!$B$121:$M$121</definedName>
    <definedName name="套综临街宽度及深度">'土地比较法-住宅、综合'!$B$121:$M$121</definedName>
    <definedName name="套综土地级别" localSheetId="12">'[1]土地比较法-住宅、综合'!$B$108:$M$108</definedName>
    <definedName name="套综土地级别">'土地比较法-住宅、综合'!$B$108:$M$108</definedName>
    <definedName name="套综用途" localSheetId="12">'[1]土地比较法-住宅、综合'!$B$75:$M$75</definedName>
    <definedName name="套综用途">'土地比较法-住宅、综合'!$B$75:$M$75</definedName>
    <definedName name="套综宗地内开发程度" localSheetId="12">'[1]土地比较法-住宅、综合'!$B$123:$M$123</definedName>
    <definedName name="套综宗地内开发程度">'土地比较法-住宅、综合'!$B$123:$M$123</definedName>
    <definedName name="套综宗地形状" localSheetId="12">'[1]土地比较法-住宅、综合'!$B$119:$M$119</definedName>
    <definedName name="套综宗地形状">'土地比较法-住宅、综合'!$B$119:$M$119</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区片价!$L$1:$L$35</definedName>
    <definedName name="项目类型" localSheetId="12">'[1]数据-汇总表'!$C$17:$C$26</definedName>
    <definedName name="项目类型" localSheetId="31">'[2]数据-汇总表'!$C$17:$C$26</definedName>
    <definedName name="项目类型">'数据-汇总表'!$C$17:$C$26</definedName>
    <definedName name="写字楼等级" localSheetId="12">'[1]比较法-办公'!$B$113:$M$113</definedName>
    <definedName name="写字楼等级">'比较法-办公'!$B$113:$M$113</definedName>
    <definedName name="一级">区片价!$H$1:$H$6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定义!$F$1:$F$10</definedName>
    <definedName name="住宅朝向" localSheetId="50">'比较法-住宅无燃气'!$B$88:$M$88</definedName>
    <definedName name="住宅朝向" localSheetId="12">'[1]比较法-住宅'!$B$88:$M$88</definedName>
    <definedName name="住宅朝向">'比较法-住宅'!$B$88:$M$88</definedName>
    <definedName name="住宅房型" localSheetId="50">'比较法-住宅无燃气'!$B$118:$M$118</definedName>
    <definedName name="住宅房型" localSheetId="12">'[1]比较法-住宅'!$B$118:$M$118</definedName>
    <definedName name="住宅房型">'比较法-住宅'!$B$118:$M$118</definedName>
    <definedName name="住宅公共部分装修" localSheetId="50">'比较法-住宅无燃气'!$B$109:$M$109</definedName>
    <definedName name="住宅公共部分装修" localSheetId="12">'[1]比较法-住宅'!$B$109:$M$109</definedName>
    <definedName name="住宅公共部分装修">'比较法-住宅'!$B$109:$M$109</definedName>
    <definedName name="住宅基础设施水平" localSheetId="50">'比较法-住宅无燃气'!$B$116:$M$116</definedName>
    <definedName name="住宅基础设施水平" localSheetId="12">'[1]比较法-住宅'!$B$116:$M$116</definedName>
    <definedName name="住宅基础设施水平">'比较法-住宅'!$B$116:$M$116</definedName>
    <definedName name="住宅建筑结构" localSheetId="50">'比较法-住宅无燃气'!$B$105:$M$105</definedName>
    <definedName name="住宅建筑结构" localSheetId="12">'[1]比较法-住宅'!$B$105:$M$105</definedName>
    <definedName name="住宅建筑结构">'比较法-住宅'!$B$105:$M$105</definedName>
    <definedName name="住宅建筑类型" localSheetId="50">'比较法-住宅无燃气'!$B$100:$M$100</definedName>
    <definedName name="住宅建筑类型" localSheetId="12">'[1]比较法-住宅'!$B$100:$M$100</definedName>
    <definedName name="住宅建筑类型">'比较法-住宅'!$B$100:$M$100</definedName>
    <definedName name="住宅建筑品质" localSheetId="50">'比较法-住宅无燃气'!$B$107:$M$107</definedName>
    <definedName name="住宅建筑品质" localSheetId="12">'[1]比较法-住宅'!$B$107:$M$107</definedName>
    <definedName name="住宅建筑品质">'比较法-住宅'!$B$107:$M$107</definedName>
    <definedName name="住宅交易情况" localSheetId="50">'比较法-住宅无燃气'!$A$61:$M$61</definedName>
    <definedName name="住宅交易情况" localSheetId="12">'[1]比较法-住宅'!$A$61:$M$61</definedName>
    <definedName name="住宅交易情况">'比较法-住宅'!$A$61:$M$61</definedName>
    <definedName name="住宅楼层" localSheetId="50">'比较法-住宅无燃气'!$B$86:$M$86</definedName>
    <definedName name="住宅楼层" localSheetId="12">'[1]比较法-住宅'!$B$86:$M$86</definedName>
    <definedName name="住宅楼层">'比较法-住宅'!$B$86:$M$86</definedName>
    <definedName name="住宅内部装修" localSheetId="50">'比较法-住宅无燃气'!$B$122:$M$122</definedName>
    <definedName name="住宅内部装修" localSheetId="12">'[1]比较法-住宅'!$B$122:$M$122</definedName>
    <definedName name="住宅内部装修">'比较法-住宅'!$B$122:$M$122</definedName>
    <definedName name="住宅物业管理" localSheetId="50">'比较法-住宅无燃气'!$B$114:$M$114</definedName>
    <definedName name="住宅物业管理" localSheetId="12">'[1]比较法-住宅'!$B$114:$M$114</definedName>
    <definedName name="住宅物业管理">'比较法-住宅'!$B$114:$M$114</definedName>
    <definedName name="住宅用途" localSheetId="50">'比较法-住宅无燃气'!$B$63:$M$63</definedName>
    <definedName name="住宅用途" localSheetId="12">'[1]比较法-住宅'!$B$63:$M$63</definedName>
    <definedName name="住宅用途">'比较法-住宅'!$B$63:$M$63</definedName>
    <definedName name="住宅主力户型面积" localSheetId="50">'比较法-住宅无燃气'!$B$120:$M$120</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783" i="88" l="1"/>
  <c r="U393" i="88"/>
  <c r="K1074" i="88"/>
  <c r="T981" i="88"/>
  <c r="T982" i="88"/>
  <c r="T983" i="88"/>
  <c r="T984" i="88"/>
  <c r="T985" i="88"/>
  <c r="T986" i="88"/>
  <c r="T987" i="88"/>
  <c r="T988" i="88"/>
  <c r="T989" i="88"/>
  <c r="T990" i="88"/>
  <c r="T991" i="88"/>
  <c r="T992" i="88"/>
  <c r="T980" i="88"/>
  <c r="T976" i="88"/>
  <c r="T977" i="88"/>
  <c r="T978" i="88"/>
  <c r="T979" i="88"/>
  <c r="T974" i="88"/>
  <c r="T975" i="88"/>
  <c r="T960" i="88"/>
  <c r="T961" i="88"/>
  <c r="T962" i="88"/>
  <c r="T963" i="88"/>
  <c r="T964" i="88"/>
  <c r="T965" i="88"/>
  <c r="T966" i="88"/>
  <c r="T967" i="88"/>
  <c r="T968" i="88"/>
  <c r="T969" i="88"/>
  <c r="T970" i="88"/>
  <c r="T971" i="88"/>
  <c r="T972" i="88"/>
  <c r="T973" i="88"/>
  <c r="T959" i="88"/>
  <c r="T955" i="88"/>
  <c r="T956" i="88"/>
  <c r="T957" i="88"/>
  <c r="T958" i="88"/>
  <c r="T953" i="88"/>
  <c r="T954" i="88"/>
  <c r="T945" i="88"/>
  <c r="T946" i="88"/>
  <c r="T947" i="88"/>
  <c r="T948" i="88"/>
  <c r="T949" i="88"/>
  <c r="T950" i="88"/>
  <c r="T951" i="88"/>
  <c r="T952" i="88"/>
  <c r="T4" i="88"/>
  <c r="T5" i="88"/>
  <c r="T6" i="88"/>
  <c r="T7" i="88"/>
  <c r="T8" i="88"/>
  <c r="T9" i="88"/>
  <c r="T10" i="88"/>
  <c r="T11" i="88"/>
  <c r="T12" i="88"/>
  <c r="T13" i="88"/>
  <c r="T14" i="88"/>
  <c r="T15" i="88"/>
  <c r="T16" i="88"/>
  <c r="T17" i="88"/>
  <c r="T18" i="88"/>
  <c r="T19" i="88"/>
  <c r="T20" i="88"/>
  <c r="T21" i="88"/>
  <c r="T22" i="88"/>
  <c r="T23" i="88"/>
  <c r="T24" i="88"/>
  <c r="T25" i="88"/>
  <c r="T26" i="88"/>
  <c r="T27" i="88"/>
  <c r="T28" i="88"/>
  <c r="T29" i="88"/>
  <c r="T30" i="88"/>
  <c r="T31" i="88"/>
  <c r="T32" i="88"/>
  <c r="T33" i="88"/>
  <c r="T34" i="88"/>
  <c r="T35" i="88"/>
  <c r="T36" i="88"/>
  <c r="T37" i="88"/>
  <c r="T38" i="88"/>
  <c r="T39" i="88"/>
  <c r="T40" i="88"/>
  <c r="T41" i="88"/>
  <c r="T42" i="88"/>
  <c r="T43" i="88"/>
  <c r="T44" i="88"/>
  <c r="T45" i="88"/>
  <c r="T46" i="88"/>
  <c r="T47" i="88"/>
  <c r="T48" i="88"/>
  <c r="T49" i="88"/>
  <c r="T50" i="88"/>
  <c r="T51" i="88"/>
  <c r="T52" i="88"/>
  <c r="T53" i="88"/>
  <c r="T54" i="88"/>
  <c r="T55" i="88"/>
  <c r="T56" i="88"/>
  <c r="T57" i="88"/>
  <c r="T58" i="88"/>
  <c r="T59" i="88"/>
  <c r="T60" i="88"/>
  <c r="T61" i="88"/>
  <c r="T62" i="88"/>
  <c r="T63" i="88"/>
  <c r="T64" i="88"/>
  <c r="T65" i="88"/>
  <c r="T66" i="88"/>
  <c r="T67" i="88"/>
  <c r="T68" i="88"/>
  <c r="T69" i="88"/>
  <c r="T70" i="88"/>
  <c r="T71" i="88"/>
  <c r="T72" i="88"/>
  <c r="T73" i="88"/>
  <c r="T74" i="88"/>
  <c r="T75" i="88"/>
  <c r="T76" i="88"/>
  <c r="T77" i="88"/>
  <c r="T78" i="88"/>
  <c r="T79" i="88"/>
  <c r="T80" i="88"/>
  <c r="T81" i="88"/>
  <c r="T82" i="88"/>
  <c r="T83" i="88"/>
  <c r="T84" i="88"/>
  <c r="T85" i="88"/>
  <c r="T86" i="88"/>
  <c r="T87" i="88"/>
  <c r="T88" i="88"/>
  <c r="T89" i="88"/>
  <c r="T90" i="88"/>
  <c r="T91" i="88"/>
  <c r="T92" i="88"/>
  <c r="T93" i="88"/>
  <c r="T94" i="88"/>
  <c r="T95" i="88"/>
  <c r="T96" i="88"/>
  <c r="T97" i="88"/>
  <c r="T98" i="88"/>
  <c r="T99" i="88"/>
  <c r="T100" i="88"/>
  <c r="T101" i="88"/>
  <c r="T102" i="88"/>
  <c r="T103" i="88"/>
  <c r="T104" i="88"/>
  <c r="T105" i="88"/>
  <c r="T106" i="88"/>
  <c r="T107" i="88"/>
  <c r="T108" i="88"/>
  <c r="T109" i="88"/>
  <c r="T110" i="88"/>
  <c r="T111" i="88"/>
  <c r="T112" i="88"/>
  <c r="T113" i="88"/>
  <c r="T114" i="88"/>
  <c r="T115" i="88"/>
  <c r="T116" i="88"/>
  <c r="T117" i="88"/>
  <c r="T118" i="88"/>
  <c r="T119" i="88"/>
  <c r="T120" i="88"/>
  <c r="T121" i="88"/>
  <c r="T122" i="88"/>
  <c r="T123" i="88"/>
  <c r="T124" i="88"/>
  <c r="T125" i="88"/>
  <c r="T126" i="88"/>
  <c r="T127" i="88"/>
  <c r="T128" i="88"/>
  <c r="T129" i="88"/>
  <c r="T130" i="88"/>
  <c r="T131" i="88"/>
  <c r="T132" i="88"/>
  <c r="T133" i="88"/>
  <c r="T134" i="88"/>
  <c r="T135" i="88"/>
  <c r="T136" i="88"/>
  <c r="T137" i="88"/>
  <c r="T138" i="88"/>
  <c r="T139" i="88"/>
  <c r="T140" i="88"/>
  <c r="T141" i="88"/>
  <c r="T142" i="88"/>
  <c r="T143" i="88"/>
  <c r="T144" i="88"/>
  <c r="T145" i="88"/>
  <c r="T146" i="88"/>
  <c r="T147" i="88"/>
  <c r="T148" i="88"/>
  <c r="T149" i="88"/>
  <c r="T150" i="88"/>
  <c r="T151" i="88"/>
  <c r="T152" i="88"/>
  <c r="T153" i="88"/>
  <c r="T154" i="88"/>
  <c r="T155" i="88"/>
  <c r="T156" i="88"/>
  <c r="T157" i="88"/>
  <c r="T158" i="88"/>
  <c r="T159" i="88"/>
  <c r="T160" i="88"/>
  <c r="T161" i="88"/>
  <c r="T162" i="88"/>
  <c r="T163" i="88"/>
  <c r="T164" i="88"/>
  <c r="T165" i="88"/>
  <c r="T166" i="88"/>
  <c r="T167" i="88"/>
  <c r="T168" i="88"/>
  <c r="T169" i="88"/>
  <c r="T170" i="88"/>
  <c r="T171" i="88"/>
  <c r="T172" i="88"/>
  <c r="T173" i="88"/>
  <c r="T174" i="88"/>
  <c r="T175" i="88"/>
  <c r="T176" i="88"/>
  <c r="T177" i="88"/>
  <c r="T178" i="88"/>
  <c r="T179" i="88"/>
  <c r="T180" i="88"/>
  <c r="T181" i="88"/>
  <c r="T182" i="88"/>
  <c r="T183" i="88"/>
  <c r="T184" i="88"/>
  <c r="T185" i="88"/>
  <c r="T186" i="88"/>
  <c r="T187" i="88"/>
  <c r="T188" i="88"/>
  <c r="T189" i="88"/>
  <c r="T190" i="88"/>
  <c r="T191" i="88"/>
  <c r="T192" i="88"/>
  <c r="T193" i="88"/>
  <c r="T194" i="88"/>
  <c r="T195" i="88"/>
  <c r="T196" i="88"/>
  <c r="T197" i="88"/>
  <c r="T198" i="88"/>
  <c r="T199" i="88"/>
  <c r="T200" i="88"/>
  <c r="T201" i="88"/>
  <c r="T202" i="88"/>
  <c r="T203" i="88"/>
  <c r="T204" i="88"/>
  <c r="T205" i="88"/>
  <c r="T206" i="88"/>
  <c r="T207" i="88"/>
  <c r="T208" i="88"/>
  <c r="T209" i="88"/>
  <c r="T210" i="88"/>
  <c r="T211" i="88"/>
  <c r="T212" i="88"/>
  <c r="T213" i="88"/>
  <c r="T214" i="88"/>
  <c r="T215" i="88"/>
  <c r="T216" i="88"/>
  <c r="T217" i="88"/>
  <c r="T218" i="88"/>
  <c r="T219" i="88"/>
  <c r="T220" i="88"/>
  <c r="T221" i="88"/>
  <c r="T222" i="88"/>
  <c r="T223" i="88"/>
  <c r="T224" i="88"/>
  <c r="T225" i="88"/>
  <c r="T226" i="88"/>
  <c r="T227" i="88"/>
  <c r="T228" i="88"/>
  <c r="T229" i="88"/>
  <c r="T230" i="88"/>
  <c r="T231" i="88"/>
  <c r="T232" i="88"/>
  <c r="T233" i="88"/>
  <c r="T234" i="88"/>
  <c r="T235" i="88"/>
  <c r="T236" i="88"/>
  <c r="T237" i="88"/>
  <c r="T238" i="88"/>
  <c r="T239" i="88"/>
  <c r="T240" i="88"/>
  <c r="T241" i="88"/>
  <c r="T242" i="88"/>
  <c r="T243" i="88"/>
  <c r="T244" i="88"/>
  <c r="T245" i="88"/>
  <c r="T246" i="88"/>
  <c r="T247" i="88"/>
  <c r="T248" i="88"/>
  <c r="T249" i="88"/>
  <c r="T250" i="88"/>
  <c r="T251" i="88"/>
  <c r="T252" i="88"/>
  <c r="T253" i="88"/>
  <c r="T254" i="88"/>
  <c r="T255" i="88"/>
  <c r="T256" i="88"/>
  <c r="T257" i="88"/>
  <c r="T258" i="88"/>
  <c r="T259" i="88"/>
  <c r="T260" i="88"/>
  <c r="T261" i="88"/>
  <c r="T262" i="88"/>
  <c r="T263" i="88"/>
  <c r="T264" i="88"/>
  <c r="T265" i="88"/>
  <c r="T266" i="88"/>
  <c r="T267" i="88"/>
  <c r="T268" i="88"/>
  <c r="T269" i="88"/>
  <c r="T270" i="88"/>
  <c r="T271" i="88"/>
  <c r="T272" i="88"/>
  <c r="T273" i="88"/>
  <c r="T274" i="88"/>
  <c r="T275" i="88"/>
  <c r="T276" i="88"/>
  <c r="T277" i="88"/>
  <c r="T278" i="88"/>
  <c r="T279" i="88"/>
  <c r="T280" i="88"/>
  <c r="T281" i="88"/>
  <c r="T282" i="88"/>
  <c r="T283" i="88"/>
  <c r="T284" i="88"/>
  <c r="T285" i="88"/>
  <c r="T286" i="88"/>
  <c r="T287" i="88"/>
  <c r="T288" i="88"/>
  <c r="T289" i="88"/>
  <c r="T290" i="88"/>
  <c r="T291" i="88"/>
  <c r="T292" i="88"/>
  <c r="T293" i="88"/>
  <c r="T294" i="88"/>
  <c r="T295" i="88"/>
  <c r="T296" i="88"/>
  <c r="T297" i="88"/>
  <c r="T298" i="88"/>
  <c r="T299" i="88"/>
  <c r="T300" i="88"/>
  <c r="T301" i="88"/>
  <c r="T302" i="88"/>
  <c r="T303" i="88"/>
  <c r="T304" i="88"/>
  <c r="T305" i="88"/>
  <c r="T306" i="88"/>
  <c r="T307" i="88"/>
  <c r="T308" i="88"/>
  <c r="T309" i="88"/>
  <c r="T310" i="88"/>
  <c r="T311" i="88"/>
  <c r="T312" i="88"/>
  <c r="T313" i="88"/>
  <c r="T314" i="88"/>
  <c r="T315" i="88"/>
  <c r="T316" i="88"/>
  <c r="T317" i="88"/>
  <c r="T318" i="88"/>
  <c r="T319" i="88"/>
  <c r="T320" i="88"/>
  <c r="T321" i="88"/>
  <c r="T322" i="88"/>
  <c r="T323" i="88"/>
  <c r="T324" i="88"/>
  <c r="T325" i="88"/>
  <c r="T326" i="88"/>
  <c r="T327" i="88"/>
  <c r="T328" i="88"/>
  <c r="T329" i="88"/>
  <c r="T330" i="88"/>
  <c r="T331" i="88"/>
  <c r="T332" i="88"/>
  <c r="T333" i="88"/>
  <c r="T334" i="88"/>
  <c r="T335" i="88"/>
  <c r="T336" i="88"/>
  <c r="T337" i="88"/>
  <c r="T338" i="88"/>
  <c r="T339" i="88"/>
  <c r="T340" i="88"/>
  <c r="T341" i="88"/>
  <c r="T342" i="88"/>
  <c r="T343" i="88"/>
  <c r="T344" i="88"/>
  <c r="T345" i="88"/>
  <c r="T346" i="88"/>
  <c r="T347" i="88"/>
  <c r="T348" i="88"/>
  <c r="T349" i="88"/>
  <c r="T350" i="88"/>
  <c r="T351" i="88"/>
  <c r="T352" i="88"/>
  <c r="T353" i="88"/>
  <c r="T354" i="88"/>
  <c r="T355" i="88"/>
  <c r="T356" i="88"/>
  <c r="T357" i="88"/>
  <c r="T358" i="88"/>
  <c r="T359" i="88"/>
  <c r="T360" i="88"/>
  <c r="T361" i="88"/>
  <c r="T362" i="88"/>
  <c r="T363" i="88"/>
  <c r="T364" i="88"/>
  <c r="T365" i="88"/>
  <c r="T366" i="88"/>
  <c r="T367" i="88"/>
  <c r="T368" i="88"/>
  <c r="T369" i="88"/>
  <c r="T370" i="88"/>
  <c r="T371" i="88"/>
  <c r="T372" i="88"/>
  <c r="T373" i="88"/>
  <c r="T374" i="88"/>
  <c r="T375" i="88"/>
  <c r="T376" i="88"/>
  <c r="T377" i="88"/>
  <c r="T378" i="88"/>
  <c r="T379" i="88"/>
  <c r="T380" i="88"/>
  <c r="T381" i="88"/>
  <c r="T382" i="88"/>
  <c r="T383" i="88"/>
  <c r="T384" i="88"/>
  <c r="T385" i="88"/>
  <c r="T386" i="88"/>
  <c r="T387" i="88"/>
  <c r="T388" i="88"/>
  <c r="T389" i="88"/>
  <c r="T390" i="88"/>
  <c r="T391" i="88"/>
  <c r="T392" i="88"/>
  <c r="T393" i="88"/>
  <c r="T394" i="88"/>
  <c r="T395" i="88"/>
  <c r="T396" i="88"/>
  <c r="T397" i="88"/>
  <c r="T398" i="88"/>
  <c r="T399" i="88"/>
  <c r="T400" i="88"/>
  <c r="T401" i="88"/>
  <c r="T402" i="88"/>
  <c r="T403" i="88"/>
  <c r="T404" i="88"/>
  <c r="T405" i="88"/>
  <c r="T406" i="88"/>
  <c r="T407" i="88"/>
  <c r="T408" i="88"/>
  <c r="T409" i="88"/>
  <c r="T410" i="88"/>
  <c r="T411" i="88"/>
  <c r="T412" i="88"/>
  <c r="T413" i="88"/>
  <c r="T414" i="88"/>
  <c r="T415" i="88"/>
  <c r="T416" i="88"/>
  <c r="T417" i="88"/>
  <c r="T418" i="88"/>
  <c r="T419" i="88"/>
  <c r="T420" i="88"/>
  <c r="T421" i="88"/>
  <c r="T422" i="88"/>
  <c r="T423" i="88"/>
  <c r="T424" i="88"/>
  <c r="T425" i="88"/>
  <c r="T426" i="88"/>
  <c r="T427" i="88"/>
  <c r="T428" i="88"/>
  <c r="T429" i="88"/>
  <c r="T430" i="88"/>
  <c r="T431" i="88"/>
  <c r="T432" i="88"/>
  <c r="T433" i="88"/>
  <c r="T434" i="88"/>
  <c r="T435" i="88"/>
  <c r="T436" i="88"/>
  <c r="T437" i="88"/>
  <c r="T438" i="88"/>
  <c r="T439" i="88"/>
  <c r="T440" i="88"/>
  <c r="T441" i="88"/>
  <c r="T442" i="88"/>
  <c r="T443" i="88"/>
  <c r="T444" i="88"/>
  <c r="T445" i="88"/>
  <c r="T446" i="88"/>
  <c r="T447" i="88"/>
  <c r="T448" i="88"/>
  <c r="T449" i="88"/>
  <c r="T450" i="88"/>
  <c r="T451" i="88"/>
  <c r="T452" i="88"/>
  <c r="T453" i="88"/>
  <c r="T454" i="88"/>
  <c r="T455" i="88"/>
  <c r="T456" i="88"/>
  <c r="T457" i="88"/>
  <c r="T458" i="88"/>
  <c r="T459" i="88"/>
  <c r="T460" i="88"/>
  <c r="T461" i="88"/>
  <c r="T462" i="88"/>
  <c r="T463" i="88"/>
  <c r="T464" i="88"/>
  <c r="T465" i="88"/>
  <c r="T466" i="88"/>
  <c r="T467" i="88"/>
  <c r="T468" i="88"/>
  <c r="T469" i="88"/>
  <c r="T470" i="88"/>
  <c r="T471" i="88"/>
  <c r="T472" i="88"/>
  <c r="T473" i="88"/>
  <c r="T474" i="88"/>
  <c r="T475" i="88"/>
  <c r="T476" i="88"/>
  <c r="T477" i="88"/>
  <c r="T478" i="88"/>
  <c r="T479" i="88"/>
  <c r="T480" i="88"/>
  <c r="T481" i="88"/>
  <c r="T482" i="88"/>
  <c r="T483" i="88"/>
  <c r="T484" i="88"/>
  <c r="T485" i="88"/>
  <c r="T486" i="88"/>
  <c r="T487" i="88"/>
  <c r="T488" i="88"/>
  <c r="T489" i="88"/>
  <c r="T490" i="88"/>
  <c r="T491" i="88"/>
  <c r="T492" i="88"/>
  <c r="T493" i="88"/>
  <c r="T494" i="88"/>
  <c r="T495" i="88"/>
  <c r="T496" i="88"/>
  <c r="T497" i="88"/>
  <c r="T498" i="88"/>
  <c r="T499" i="88"/>
  <c r="T500" i="88"/>
  <c r="T501" i="88"/>
  <c r="T502" i="88"/>
  <c r="T503" i="88"/>
  <c r="T504" i="88"/>
  <c r="T505" i="88"/>
  <c r="T506" i="88"/>
  <c r="T507" i="88"/>
  <c r="T508" i="88"/>
  <c r="T509" i="88"/>
  <c r="T510" i="88"/>
  <c r="T511" i="88"/>
  <c r="T512" i="88"/>
  <c r="T513" i="88"/>
  <c r="T514" i="88"/>
  <c r="T515" i="88"/>
  <c r="T516" i="88"/>
  <c r="T517" i="88"/>
  <c r="T518" i="88"/>
  <c r="T519" i="88"/>
  <c r="T520" i="88"/>
  <c r="T521" i="88"/>
  <c r="T522" i="88"/>
  <c r="T523" i="88"/>
  <c r="T524" i="88"/>
  <c r="T525" i="88"/>
  <c r="T526" i="88"/>
  <c r="T527" i="88"/>
  <c r="T528" i="88"/>
  <c r="T529" i="88"/>
  <c r="T530" i="88"/>
  <c r="T531" i="88"/>
  <c r="T532" i="88"/>
  <c r="T533" i="88"/>
  <c r="T534" i="88"/>
  <c r="T535" i="88"/>
  <c r="T536" i="88"/>
  <c r="T537" i="88"/>
  <c r="T538" i="88"/>
  <c r="T539" i="88"/>
  <c r="T540" i="88"/>
  <c r="T541" i="88"/>
  <c r="T542" i="88"/>
  <c r="T543" i="88"/>
  <c r="T544" i="88"/>
  <c r="T545" i="88"/>
  <c r="T546" i="88"/>
  <c r="T547" i="88"/>
  <c r="T548" i="88"/>
  <c r="T549" i="88"/>
  <c r="T550" i="88"/>
  <c r="T551" i="88"/>
  <c r="T552" i="88"/>
  <c r="T553" i="88"/>
  <c r="T554" i="88"/>
  <c r="T555" i="88"/>
  <c r="T556" i="88"/>
  <c r="T557" i="88"/>
  <c r="T558" i="88"/>
  <c r="T559" i="88"/>
  <c r="T560" i="88"/>
  <c r="T561" i="88"/>
  <c r="T562" i="88"/>
  <c r="T563" i="88"/>
  <c r="T564" i="88"/>
  <c r="T565" i="88"/>
  <c r="T566" i="88"/>
  <c r="T567" i="88"/>
  <c r="T568" i="88"/>
  <c r="T569" i="88"/>
  <c r="T570" i="88"/>
  <c r="T571" i="88"/>
  <c r="T572" i="88"/>
  <c r="T573" i="88"/>
  <c r="T574" i="88"/>
  <c r="T575" i="88"/>
  <c r="T576" i="88"/>
  <c r="T577" i="88"/>
  <c r="T578" i="88"/>
  <c r="T579" i="88"/>
  <c r="T580" i="88"/>
  <c r="T581" i="88"/>
  <c r="T582" i="88"/>
  <c r="T583" i="88"/>
  <c r="T584" i="88"/>
  <c r="T585" i="88"/>
  <c r="T586" i="88"/>
  <c r="T587" i="88"/>
  <c r="T588" i="88"/>
  <c r="T589" i="88"/>
  <c r="T590" i="88"/>
  <c r="T591" i="88"/>
  <c r="T592" i="88"/>
  <c r="T593" i="88"/>
  <c r="T594" i="88"/>
  <c r="T595" i="88"/>
  <c r="T596" i="88"/>
  <c r="T597" i="88"/>
  <c r="T598" i="88"/>
  <c r="T599" i="88"/>
  <c r="T600" i="88"/>
  <c r="T601" i="88"/>
  <c r="T602" i="88"/>
  <c r="T603" i="88"/>
  <c r="T604" i="88"/>
  <c r="T605" i="88"/>
  <c r="T606" i="88"/>
  <c r="T607" i="88"/>
  <c r="T608" i="88"/>
  <c r="T609" i="88"/>
  <c r="T610" i="88"/>
  <c r="T611" i="88"/>
  <c r="T612" i="88"/>
  <c r="T613" i="88"/>
  <c r="T614" i="88"/>
  <c r="T615" i="88"/>
  <c r="T616" i="88"/>
  <c r="T617" i="88"/>
  <c r="T618" i="88"/>
  <c r="T619" i="88"/>
  <c r="T620" i="88"/>
  <c r="T621" i="88"/>
  <c r="T622" i="88"/>
  <c r="T623" i="88"/>
  <c r="T624" i="88"/>
  <c r="T625" i="88"/>
  <c r="T626" i="88"/>
  <c r="T627" i="88"/>
  <c r="T628" i="88"/>
  <c r="T629" i="88"/>
  <c r="T630" i="88"/>
  <c r="T631" i="88"/>
  <c r="T632" i="88"/>
  <c r="T633" i="88"/>
  <c r="T634" i="88"/>
  <c r="T635" i="88"/>
  <c r="T636" i="88"/>
  <c r="T637" i="88"/>
  <c r="T638" i="88"/>
  <c r="T639" i="88"/>
  <c r="T640" i="88"/>
  <c r="T641" i="88"/>
  <c r="T642" i="88"/>
  <c r="T643" i="88"/>
  <c r="T644" i="88"/>
  <c r="T645" i="88"/>
  <c r="T646" i="88"/>
  <c r="T647" i="88"/>
  <c r="T648" i="88"/>
  <c r="T649" i="88"/>
  <c r="T650" i="88"/>
  <c r="T651" i="88"/>
  <c r="T652" i="88"/>
  <c r="T653" i="88"/>
  <c r="T654" i="88"/>
  <c r="T655" i="88"/>
  <c r="T656" i="88"/>
  <c r="T657" i="88"/>
  <c r="T658" i="88"/>
  <c r="T659" i="88"/>
  <c r="T660" i="88"/>
  <c r="T661" i="88"/>
  <c r="T662" i="88"/>
  <c r="T663" i="88"/>
  <c r="T664" i="88"/>
  <c r="T665" i="88"/>
  <c r="T666" i="88"/>
  <c r="T667" i="88"/>
  <c r="T668" i="88"/>
  <c r="T669" i="88"/>
  <c r="T670" i="88"/>
  <c r="T671" i="88"/>
  <c r="T672" i="88"/>
  <c r="T673" i="88"/>
  <c r="T674" i="88"/>
  <c r="T675" i="88"/>
  <c r="T676" i="88"/>
  <c r="T677" i="88"/>
  <c r="T678" i="88"/>
  <c r="T679" i="88"/>
  <c r="T680" i="88"/>
  <c r="T681" i="88"/>
  <c r="T682" i="88"/>
  <c r="T683" i="88"/>
  <c r="T684" i="88"/>
  <c r="T685" i="88"/>
  <c r="T686" i="88"/>
  <c r="T687" i="88"/>
  <c r="T688" i="88"/>
  <c r="T689" i="88"/>
  <c r="T690" i="88"/>
  <c r="T691" i="88"/>
  <c r="T692" i="88"/>
  <c r="T693" i="88"/>
  <c r="T694" i="88"/>
  <c r="T695" i="88"/>
  <c r="T696" i="88"/>
  <c r="T697" i="88"/>
  <c r="T698" i="88"/>
  <c r="T699" i="88"/>
  <c r="T700" i="88"/>
  <c r="T701" i="88"/>
  <c r="T702" i="88"/>
  <c r="T703" i="88"/>
  <c r="T704" i="88"/>
  <c r="T705" i="88"/>
  <c r="T706" i="88"/>
  <c r="T707" i="88"/>
  <c r="T708" i="88"/>
  <c r="T709" i="88"/>
  <c r="T710" i="88"/>
  <c r="T711" i="88"/>
  <c r="T712" i="88"/>
  <c r="T713" i="88"/>
  <c r="T714" i="88"/>
  <c r="T715" i="88"/>
  <c r="T716" i="88"/>
  <c r="T717" i="88"/>
  <c r="T718" i="88"/>
  <c r="T719" i="88"/>
  <c r="T720" i="88"/>
  <c r="T721" i="88"/>
  <c r="T722" i="88"/>
  <c r="T723" i="88"/>
  <c r="T724" i="88"/>
  <c r="T725" i="88"/>
  <c r="T726" i="88"/>
  <c r="T727" i="88"/>
  <c r="T728" i="88"/>
  <c r="T729" i="88"/>
  <c r="T730" i="88"/>
  <c r="T731" i="88"/>
  <c r="T732" i="88"/>
  <c r="T733" i="88"/>
  <c r="T734" i="88"/>
  <c r="T735" i="88"/>
  <c r="T736" i="88"/>
  <c r="T737" i="88"/>
  <c r="T738" i="88"/>
  <c r="T739" i="88"/>
  <c r="T740" i="88"/>
  <c r="T741" i="88"/>
  <c r="T742" i="88"/>
  <c r="T743" i="88"/>
  <c r="T744" i="88"/>
  <c r="T745" i="88"/>
  <c r="T746" i="88"/>
  <c r="T747" i="88"/>
  <c r="T748" i="88"/>
  <c r="T749" i="88"/>
  <c r="T750" i="88"/>
  <c r="T751" i="88"/>
  <c r="T752" i="88"/>
  <c r="T753" i="88"/>
  <c r="T754" i="88"/>
  <c r="T755" i="88"/>
  <c r="T756" i="88"/>
  <c r="T757" i="88"/>
  <c r="T758" i="88"/>
  <c r="T759" i="88"/>
  <c r="T760" i="88"/>
  <c r="T761" i="88"/>
  <c r="T762" i="88"/>
  <c r="T763" i="88"/>
  <c r="T764" i="88"/>
  <c r="T765" i="88"/>
  <c r="T766" i="88"/>
  <c r="T767" i="88"/>
  <c r="T768" i="88"/>
  <c r="T769" i="88"/>
  <c r="T770" i="88"/>
  <c r="T771" i="88"/>
  <c r="T772" i="88"/>
  <c r="T773" i="88"/>
  <c r="T774" i="88"/>
  <c r="T775" i="88"/>
  <c r="T776" i="88"/>
  <c r="T777" i="88"/>
  <c r="T778" i="88"/>
  <c r="T779" i="88"/>
  <c r="T780" i="88"/>
  <c r="T781" i="88"/>
  <c r="T782" i="88"/>
  <c r="T783" i="88"/>
  <c r="T784" i="88"/>
  <c r="T785" i="88"/>
  <c r="T786" i="88"/>
  <c r="T787" i="88"/>
  <c r="T788" i="88"/>
  <c r="T789" i="88"/>
  <c r="T790" i="88"/>
  <c r="T791" i="88"/>
  <c r="T792" i="88"/>
  <c r="T793" i="88"/>
  <c r="T794" i="88"/>
  <c r="T795" i="88"/>
  <c r="T796" i="88"/>
  <c r="T797" i="88"/>
  <c r="T798" i="88"/>
  <c r="T799" i="88"/>
  <c r="T800" i="88"/>
  <c r="T801" i="88"/>
  <c r="T802" i="88"/>
  <c r="T803" i="88"/>
  <c r="T804" i="88"/>
  <c r="T805" i="88"/>
  <c r="T806" i="88"/>
  <c r="T807" i="88"/>
  <c r="T808" i="88"/>
  <c r="T809" i="88"/>
  <c r="T810" i="88"/>
  <c r="T811" i="88"/>
  <c r="T812" i="88"/>
  <c r="T813" i="88"/>
  <c r="T814" i="88"/>
  <c r="T815" i="88"/>
  <c r="T816" i="88"/>
  <c r="T817" i="88"/>
  <c r="T818" i="88"/>
  <c r="T819" i="88"/>
  <c r="T820" i="88"/>
  <c r="T821" i="88"/>
  <c r="T822" i="88"/>
  <c r="T823" i="88"/>
  <c r="T824" i="88"/>
  <c r="T825" i="88"/>
  <c r="T826" i="88"/>
  <c r="T827" i="88"/>
  <c r="T828" i="88"/>
  <c r="T829" i="88"/>
  <c r="T830" i="88"/>
  <c r="T831" i="88"/>
  <c r="T832" i="88"/>
  <c r="T833" i="88"/>
  <c r="T834" i="88"/>
  <c r="T835" i="88"/>
  <c r="T836" i="88"/>
  <c r="T837" i="88"/>
  <c r="T838" i="88"/>
  <c r="T839" i="88"/>
  <c r="T840" i="88"/>
  <c r="T841" i="88"/>
  <c r="T842" i="88"/>
  <c r="T843" i="88"/>
  <c r="T844" i="88"/>
  <c r="T845" i="88"/>
  <c r="T846" i="88"/>
  <c r="T847" i="88"/>
  <c r="T848" i="88"/>
  <c r="T849" i="88"/>
  <c r="T850" i="88"/>
  <c r="T851" i="88"/>
  <c r="T852" i="88"/>
  <c r="T853" i="88"/>
  <c r="T854" i="88"/>
  <c r="T855" i="88"/>
  <c r="T856" i="88"/>
  <c r="T857" i="88"/>
  <c r="T858" i="88"/>
  <c r="T859" i="88"/>
  <c r="T860" i="88"/>
  <c r="T861" i="88"/>
  <c r="T862" i="88"/>
  <c r="T863" i="88"/>
  <c r="T864" i="88"/>
  <c r="T865" i="88"/>
  <c r="T866" i="88"/>
  <c r="T867" i="88"/>
  <c r="T868" i="88"/>
  <c r="T869" i="88"/>
  <c r="T870" i="88"/>
  <c r="T871" i="88"/>
  <c r="T872" i="88"/>
  <c r="T873" i="88"/>
  <c r="T874" i="88"/>
  <c r="T875" i="88"/>
  <c r="T876" i="88"/>
  <c r="T877" i="88"/>
  <c r="T878" i="88"/>
  <c r="T879" i="88"/>
  <c r="T880" i="88"/>
  <c r="T881" i="88"/>
  <c r="T882" i="88"/>
  <c r="T883" i="88"/>
  <c r="T884" i="88"/>
  <c r="T885" i="88"/>
  <c r="T886" i="88"/>
  <c r="T887" i="88"/>
  <c r="T888" i="88"/>
  <c r="T889" i="88"/>
  <c r="T890" i="88"/>
  <c r="T891" i="88"/>
  <c r="T892" i="88"/>
  <c r="T893" i="88"/>
  <c r="T894" i="88"/>
  <c r="T895" i="88"/>
  <c r="T896" i="88"/>
  <c r="T897" i="88"/>
  <c r="T898" i="88"/>
  <c r="T899" i="88"/>
  <c r="T900" i="88"/>
  <c r="T901" i="88"/>
  <c r="T902" i="88"/>
  <c r="T903" i="88"/>
  <c r="T904" i="88"/>
  <c r="T905" i="88"/>
  <c r="T906" i="88"/>
  <c r="T907" i="88"/>
  <c r="T908" i="88"/>
  <c r="T909" i="88"/>
  <c r="T910" i="88"/>
  <c r="T911" i="88"/>
  <c r="T912" i="88"/>
  <c r="T913" i="88"/>
  <c r="T914" i="88"/>
  <c r="T915" i="88"/>
  <c r="T916" i="88"/>
  <c r="T917" i="88"/>
  <c r="T918" i="88"/>
  <c r="T919" i="88"/>
  <c r="T920" i="88"/>
  <c r="T921" i="88"/>
  <c r="T922" i="88"/>
  <c r="T923" i="88"/>
  <c r="T924" i="88"/>
  <c r="T925" i="88"/>
  <c r="T926" i="88"/>
  <c r="T927" i="88"/>
  <c r="T928" i="88"/>
  <c r="T929" i="88"/>
  <c r="T930" i="88"/>
  <c r="T931" i="88"/>
  <c r="T932" i="88"/>
  <c r="T933" i="88"/>
  <c r="T934" i="88"/>
  <c r="T935" i="88"/>
  <c r="T936" i="88"/>
  <c r="T937" i="88"/>
  <c r="T938" i="88"/>
  <c r="T939" i="88"/>
  <c r="T940" i="88"/>
  <c r="T941" i="88"/>
  <c r="T942" i="88"/>
  <c r="T943" i="88"/>
  <c r="T944" i="88"/>
  <c r="T3" i="88"/>
  <c r="X6" i="88" s="1"/>
  <c r="Z7" i="88" l="1"/>
  <c r="K128" i="79" s="1"/>
  <c r="Y7" i="88"/>
  <c r="K127" i="79" s="1"/>
  <c r="J126" i="79"/>
  <c r="X7" i="88"/>
  <c r="K126" i="79" s="1"/>
  <c r="Y6" i="88"/>
  <c r="J127" i="79" s="1"/>
  <c r="I127" i="79" s="1"/>
  <c r="Z6" i="88"/>
  <c r="J128" i="79" s="1"/>
  <c r="I128" i="79" s="1"/>
  <c r="Y8" i="88"/>
  <c r="Z8" i="88" l="1"/>
  <c r="X8" i="88"/>
  <c r="M117" i="79"/>
  <c r="M116" i="79"/>
  <c r="M115" i="79"/>
  <c r="M114" i="79"/>
  <c r="J130" i="79"/>
  <c r="F20" i="6" s="1"/>
  <c r="T993" i="88"/>
  <c r="T994" i="88"/>
  <c r="T995" i="88"/>
  <c r="T996" i="88"/>
  <c r="T997" i="88"/>
  <c r="T998" i="88"/>
  <c r="T999" i="88"/>
  <c r="T1000" i="88"/>
  <c r="T1001" i="88"/>
  <c r="T1002" i="88"/>
  <c r="T1003" i="88"/>
  <c r="T1004" i="88"/>
  <c r="T1005" i="88"/>
  <c r="T1006" i="88"/>
  <c r="T1007" i="88"/>
  <c r="T1008" i="88"/>
  <c r="T1009" i="88"/>
  <c r="T1010" i="88"/>
  <c r="T1011" i="88"/>
  <c r="T1012" i="88"/>
  <c r="T1013" i="88"/>
  <c r="T1014" i="88"/>
  <c r="T1015" i="88"/>
  <c r="T1016" i="88"/>
  <c r="T1017" i="88"/>
  <c r="T1018" i="88"/>
  <c r="T1019" i="88"/>
  <c r="T1020" i="88"/>
  <c r="T1021" i="88"/>
  <c r="T1022" i="88"/>
  <c r="T1023" i="88"/>
  <c r="T1024" i="88"/>
  <c r="T1025" i="88"/>
  <c r="T1026" i="88"/>
  <c r="T1027" i="88"/>
  <c r="T1028" i="88"/>
  <c r="T1029" i="88"/>
  <c r="T1030" i="88"/>
  <c r="T1031" i="88"/>
  <c r="T1032" i="88"/>
  <c r="T1033" i="88"/>
  <c r="T1034" i="88"/>
  <c r="T1035" i="88"/>
  <c r="T1036" i="88"/>
  <c r="T1037" i="88"/>
  <c r="T1038" i="88"/>
  <c r="T1039" i="88"/>
  <c r="T1040" i="88"/>
  <c r="T1041" i="88"/>
  <c r="T1042" i="88"/>
  <c r="T1043" i="88"/>
  <c r="T1044" i="88"/>
  <c r="T1045" i="88"/>
  <c r="T1046" i="88"/>
  <c r="T1047" i="88"/>
  <c r="T1048" i="88"/>
  <c r="T1049" i="88"/>
  <c r="T1050" i="88"/>
  <c r="T1051" i="88"/>
  <c r="T1052" i="88"/>
  <c r="T1053" i="88"/>
  <c r="T1054" i="88"/>
  <c r="T1055" i="88"/>
  <c r="T1056" i="88"/>
  <c r="T1057" i="88"/>
  <c r="T1058" i="88"/>
  <c r="T1059" i="88"/>
  <c r="T1060" i="88"/>
  <c r="T1061" i="88"/>
  <c r="T1062" i="88"/>
  <c r="T1063" i="88"/>
  <c r="T1064" i="88"/>
  <c r="T1065" i="88"/>
  <c r="T1066" i="88"/>
  <c r="T1067" i="88"/>
  <c r="T1068" i="88"/>
  <c r="T1069" i="88"/>
  <c r="T1070" i="88"/>
  <c r="T1071" i="88"/>
  <c r="T1072" i="88"/>
  <c r="Q72" i="89"/>
  <c r="F60" i="89"/>
  <c r="Q59" i="89"/>
  <c r="K59" i="89"/>
  <c r="P74" i="89" s="1"/>
  <c r="F59" i="89"/>
  <c r="Q58" i="89"/>
  <c r="J52" i="89"/>
  <c r="Q51" i="89"/>
  <c r="J51" i="89"/>
  <c r="J50" i="89"/>
  <c r="M47" i="89"/>
  <c r="D46" i="89"/>
  <c r="F34" i="89"/>
  <c r="F33" i="89"/>
  <c r="F61" i="89" s="1"/>
  <c r="F31" i="89"/>
  <c r="F28" i="89"/>
  <c r="C28" i="89" s="1"/>
  <c r="F23" i="89"/>
  <c r="F21" i="89"/>
  <c r="M20" i="89"/>
  <c r="F20" i="89"/>
  <c r="M19" i="89"/>
  <c r="M18" i="89"/>
  <c r="F18" i="89"/>
  <c r="M17" i="89"/>
  <c r="F17" i="89"/>
  <c r="F15" i="89"/>
  <c r="G1" i="89"/>
  <c r="AM7" i="1"/>
  <c r="AL7" i="1"/>
  <c r="AK7" i="1"/>
  <c r="AI7" i="1"/>
  <c r="Y7" i="1"/>
  <c r="W7" i="1"/>
  <c r="V7" i="1"/>
  <c r="Q7" i="1"/>
  <c r="N7" i="1"/>
  <c r="L7" i="1"/>
  <c r="U3" i="88"/>
  <c r="I126" i="79" s="1"/>
  <c r="U993" i="88"/>
  <c r="I129" i="79" s="1"/>
  <c r="K129" i="79" s="1"/>
  <c r="AA6" i="88" l="1"/>
  <c r="AA7" i="88"/>
  <c r="W3" i="88"/>
  <c r="W4" i="88"/>
  <c r="K130" i="79"/>
  <c r="F19" i="6" s="1"/>
  <c r="I130" i="79"/>
  <c r="D23" i="89"/>
  <c r="D22" i="89"/>
  <c r="D24" i="89"/>
  <c r="F62" i="89"/>
  <c r="P61" i="89"/>
  <c r="M24" i="89"/>
  <c r="M26" i="89"/>
  <c r="F16" i="89"/>
  <c r="C76" i="89"/>
  <c r="F9" i="89"/>
  <c r="M23" i="89"/>
  <c r="F13" i="89"/>
  <c r="M9" i="89"/>
  <c r="L48" i="89"/>
  <c r="M22" i="89"/>
  <c r="M27" i="89"/>
  <c r="C33" i="89"/>
  <c r="F36" i="89"/>
  <c r="M6" i="89"/>
  <c r="L47" i="89"/>
  <c r="F42" i="89"/>
  <c r="M28" i="89"/>
  <c r="J15" i="89"/>
  <c r="F8" i="89"/>
  <c r="F40" i="89"/>
  <c r="F26" i="89"/>
  <c r="F37" i="89"/>
  <c r="M8" i="89"/>
  <c r="F38" i="89"/>
  <c r="X3" i="88" l="1"/>
  <c r="AA8" i="88"/>
  <c r="AB8" i="88" s="1"/>
  <c r="I13" i="3"/>
  <c r="I131" i="79"/>
  <c r="A3" i="3" s="1"/>
  <c r="F65" i="89"/>
  <c r="Q71" i="89"/>
  <c r="L57" i="89"/>
  <c r="L56" i="89"/>
  <c r="L60" i="89"/>
  <c r="I54" i="89"/>
  <c r="J57" i="89"/>
  <c r="J55" i="89" s="1"/>
  <c r="J58" i="89" s="1"/>
  <c r="Q50" i="89" s="1"/>
  <c r="J53" i="89"/>
  <c r="C27" i="89"/>
  <c r="N59" i="89"/>
  <c r="L59" i="89"/>
  <c r="L58" i="89"/>
  <c r="M59" i="89"/>
  <c r="F68" i="89"/>
  <c r="F51" i="89"/>
  <c r="F64" i="89"/>
  <c r="F66" i="89"/>
  <c r="Q60" i="89" l="1"/>
  <c r="Q73" i="89"/>
  <c r="F1" i="89"/>
  <c r="Q52" i="89"/>
  <c r="Q61" i="89"/>
  <c r="Q74" i="89"/>
  <c r="Q66" i="89"/>
  <c r="Q57" i="89"/>
  <c r="L12" i="86"/>
  <c r="L13" i="86"/>
  <c r="L14" i="86"/>
  <c r="L15" i="86"/>
  <c r="L16" i="86"/>
  <c r="L17" i="86"/>
  <c r="L11" i="86"/>
  <c r="L4" i="86"/>
  <c r="L5" i="86"/>
  <c r="L6" i="86"/>
  <c r="L7" i="86"/>
  <c r="L8" i="86"/>
  <c r="L9" i="86"/>
  <c r="L10" i="86"/>
  <c r="L3" i="86"/>
  <c r="C145" i="87" l="1"/>
  <c r="J142" i="87"/>
  <c r="J140" i="87"/>
  <c r="K145" i="87" s="1"/>
  <c r="K139" i="87"/>
  <c r="K143" i="87" s="1"/>
  <c r="B130" i="87"/>
  <c r="B128" i="87"/>
  <c r="B126" i="87"/>
  <c r="E125" i="87"/>
  <c r="F125" i="87" s="1"/>
  <c r="G125" i="87" s="1"/>
  <c r="D125" i="87"/>
  <c r="E123" i="87"/>
  <c r="F123" i="87" s="1"/>
  <c r="G123" i="87" s="1"/>
  <c r="H123" i="87" s="1"/>
  <c r="I123" i="87" s="1"/>
  <c r="J123" i="87" s="1"/>
  <c r="K123" i="87" s="1"/>
  <c r="L123" i="87" s="1"/>
  <c r="M123" i="87" s="1"/>
  <c r="D123" i="87"/>
  <c r="E119" i="87"/>
  <c r="F119" i="87" s="1"/>
  <c r="G119" i="87" s="1"/>
  <c r="H119" i="87" s="1"/>
  <c r="I119" i="87" s="1"/>
  <c r="J119" i="87" s="1"/>
  <c r="K119" i="87" s="1"/>
  <c r="L119" i="87" s="1"/>
  <c r="M119" i="87" s="1"/>
  <c r="D119" i="87"/>
  <c r="D117" i="87"/>
  <c r="E117" i="87" s="1"/>
  <c r="E115" i="87"/>
  <c r="F115" i="87" s="1"/>
  <c r="G115" i="87" s="1"/>
  <c r="H115" i="87" s="1"/>
  <c r="I115" i="87" s="1"/>
  <c r="J115" i="87" s="1"/>
  <c r="K115" i="87" s="1"/>
  <c r="L115" i="87" s="1"/>
  <c r="M115" i="87" s="1"/>
  <c r="D115" i="87"/>
  <c r="D113" i="87"/>
  <c r="E113" i="87" s="1"/>
  <c r="F113" i="87" s="1"/>
  <c r="G113" i="87" s="1"/>
  <c r="H113" i="87" s="1"/>
  <c r="H111" i="87"/>
  <c r="G111" i="87"/>
  <c r="F111" i="87"/>
  <c r="E111" i="87"/>
  <c r="D111" i="87"/>
  <c r="C111" i="87"/>
  <c r="D110" i="87"/>
  <c r="E110" i="87" s="1"/>
  <c r="F110" i="87" s="1"/>
  <c r="G110" i="87" s="1"/>
  <c r="H110" i="87" s="1"/>
  <c r="I110" i="87" s="1"/>
  <c r="J110" i="87" s="1"/>
  <c r="K110" i="87" s="1"/>
  <c r="L110" i="87" s="1"/>
  <c r="M110" i="87" s="1"/>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B96" i="87"/>
  <c r="B94" i="87"/>
  <c r="B92" i="87"/>
  <c r="B90" i="87"/>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D66" i="87"/>
  <c r="E66" i="87" s="1"/>
  <c r="F66" i="87" s="1"/>
  <c r="G66" i="87" s="1"/>
  <c r="H66" i="87" s="1"/>
  <c r="I66" i="87" s="1"/>
  <c r="C63" i="87"/>
  <c r="I54" i="87"/>
  <c r="J54" i="87" s="1"/>
  <c r="G54" i="87"/>
  <c r="H54" i="87" s="1"/>
  <c r="E54" i="87"/>
  <c r="F54" i="87" s="1"/>
  <c r="P49" i="87"/>
  <c r="P48" i="87"/>
  <c r="K48" i="87"/>
  <c r="V47" i="87"/>
  <c r="T47" i="87"/>
  <c r="R47" i="87"/>
  <c r="P47" i="87"/>
  <c r="Q46" i="87"/>
  <c r="Z46" i="87" s="1"/>
  <c r="J46" i="87"/>
  <c r="AC46" i="87" s="1"/>
  <c r="H46" i="87"/>
  <c r="AB46" i="87" s="1"/>
  <c r="F46" i="87"/>
  <c r="AA46" i="87" s="1"/>
  <c r="U45" i="87"/>
  <c r="Q45" i="87"/>
  <c r="Z45" i="87" s="1"/>
  <c r="J45" i="87"/>
  <c r="AC45" i="87" s="1"/>
  <c r="H45" i="87"/>
  <c r="AB45" i="87" s="1"/>
  <c r="F45" i="87"/>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H31" i="87"/>
  <c r="AB31" i="87" s="1"/>
  <c r="F31" i="87"/>
  <c r="AA31" i="87" s="1"/>
  <c r="Q30" i="87"/>
  <c r="Z30" i="87" s="1"/>
  <c r="J30" i="87"/>
  <c r="AC30" i="87" s="1"/>
  <c r="H30" i="87"/>
  <c r="AB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H27" i="87"/>
  <c r="AB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C19" i="87"/>
  <c r="Q17" i="87"/>
  <c r="Z17" i="87" s="1"/>
  <c r="J17" i="87"/>
  <c r="AC17" i="87" s="1"/>
  <c r="H17" i="87"/>
  <c r="AB17" i="87" s="1"/>
  <c r="F17" i="87"/>
  <c r="AA17" i="87" s="1"/>
  <c r="C17" i="87"/>
  <c r="AC15" i="87"/>
  <c r="Q15" i="87"/>
  <c r="Z15" i="87" s="1"/>
  <c r="J15" i="87"/>
  <c r="W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U8" i="87"/>
  <c r="J8" i="87"/>
  <c r="W8" i="87" s="1"/>
  <c r="H8" i="87"/>
  <c r="AB8" i="87" s="1"/>
  <c r="F8" i="87"/>
  <c r="S8" i="87" s="1"/>
  <c r="C7" i="87"/>
  <c r="C58" i="87" s="1"/>
  <c r="D58" i="87" s="1"/>
  <c r="E58" i="87" s="1"/>
  <c r="F58" i="87" s="1"/>
  <c r="G58" i="87" s="1"/>
  <c r="H58" i="87" s="1"/>
  <c r="I58" i="87" s="1"/>
  <c r="J58" i="87" s="1"/>
  <c r="K58" i="87" s="1"/>
  <c r="L58" i="87" s="1"/>
  <c r="M58" i="87" s="1"/>
  <c r="N58" i="87" s="1"/>
  <c r="O58" i="87" s="1"/>
  <c r="D2" i="87"/>
  <c r="F117" i="87" l="1"/>
  <c r="G117" i="87" s="1"/>
  <c r="H39" i="87"/>
  <c r="AB39" i="87" s="1"/>
  <c r="J39" i="87"/>
  <c r="AC39" i="87" s="1"/>
  <c r="F39" i="87"/>
  <c r="AA39" i="87" s="1"/>
  <c r="AA8" i="87"/>
  <c r="AC8" i="87"/>
  <c r="U9" i="87"/>
  <c r="S10" i="87"/>
  <c r="W10" i="87"/>
  <c r="U11" i="87"/>
  <c r="S12" i="87"/>
  <c r="W12" i="87"/>
  <c r="U13" i="87"/>
  <c r="S14" i="87"/>
  <c r="W14" i="87"/>
  <c r="S15" i="87"/>
  <c r="W17" i="87"/>
  <c r="AA19" i="87"/>
  <c r="S19" i="87"/>
  <c r="H7" i="87"/>
  <c r="F7" i="87"/>
  <c r="J7" i="87"/>
  <c r="S9" i="87"/>
  <c r="W9" i="87"/>
  <c r="U10" i="87"/>
  <c r="S11" i="87"/>
  <c r="W11" i="87"/>
  <c r="U12" i="87"/>
  <c r="S13" i="87"/>
  <c r="W13" i="87"/>
  <c r="U14" i="87"/>
  <c r="U15" i="87"/>
  <c r="S17"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U40" i="87"/>
  <c r="S41" i="87"/>
  <c r="W41" i="87"/>
  <c r="U42" i="87"/>
  <c r="S43" i="87"/>
  <c r="W43" i="87"/>
  <c r="U44" i="87"/>
  <c r="AA45" i="87"/>
  <c r="S45"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U43" i="87"/>
  <c r="S44" i="87"/>
  <c r="W44" i="87"/>
  <c r="W45" i="87"/>
  <c r="U46" i="87"/>
  <c r="K141" i="87"/>
  <c r="S46" i="87"/>
  <c r="W46" i="87"/>
  <c r="K144" i="87"/>
  <c r="M41" i="86"/>
  <c r="D39" i="86"/>
  <c r="R37" i="86"/>
  <c r="Q37" i="86"/>
  <c r="P37" i="86"/>
  <c r="O37" i="86"/>
  <c r="N37" i="86"/>
  <c r="M37" i="86"/>
  <c r="L37" i="86"/>
  <c r="K37" i="86"/>
  <c r="J37" i="86"/>
  <c r="I37" i="86"/>
  <c r="H37" i="86"/>
  <c r="G37" i="86"/>
  <c r="D37" i="86"/>
  <c r="C37" i="86"/>
  <c r="B37" i="86"/>
  <c r="H18" i="86"/>
  <c r="G18" i="86"/>
  <c r="F18" i="86"/>
  <c r="E18" i="86"/>
  <c r="D18" i="86"/>
  <c r="C18" i="86"/>
  <c r="I18" i="86" s="1"/>
  <c r="I17" i="86"/>
  <c r="I16" i="86"/>
  <c r="I15" i="86"/>
  <c r="I14" i="86"/>
  <c r="I13" i="86"/>
  <c r="I12" i="86"/>
  <c r="I11" i="86"/>
  <c r="I9" i="86"/>
  <c r="I8" i="86"/>
  <c r="I7" i="86"/>
  <c r="I6" i="86"/>
  <c r="I5" i="86"/>
  <c r="I4" i="86"/>
  <c r="I3" i="86"/>
  <c r="W39" i="87" l="1"/>
  <c r="AC7" i="87"/>
  <c r="V48" i="87" s="1"/>
  <c r="I48" i="87" s="1"/>
  <c r="W7" i="87"/>
  <c r="U7" i="87"/>
  <c r="AB7" i="87"/>
  <c r="T48" i="87" s="1"/>
  <c r="G48" i="87" s="1"/>
  <c r="AA7" i="87"/>
  <c r="R48" i="87" s="1"/>
  <c r="S7" i="87"/>
  <c r="L111" i="79"/>
  <c r="K111" i="79"/>
  <c r="J117" i="79"/>
  <c r="L110" i="79"/>
  <c r="K109" i="79"/>
  <c r="G53" i="87" l="1"/>
  <c r="H53" i="87" s="1"/>
  <c r="G52" i="87"/>
  <c r="H52" i="87" s="1"/>
  <c r="R49" i="87"/>
  <c r="E48" i="87"/>
  <c r="I52" i="87"/>
  <c r="J52" i="87" s="1"/>
  <c r="L109" i="79"/>
  <c r="J109" i="79"/>
  <c r="L120" i="79"/>
  <c r="K121" i="79"/>
  <c r="K95" i="79"/>
  <c r="K96" i="79"/>
  <c r="K110" i="79"/>
  <c r="J116" i="79"/>
  <c r="J114" i="79"/>
  <c r="I113" i="79"/>
  <c r="I112" i="79"/>
  <c r="I110" i="79"/>
  <c r="I111" i="79"/>
  <c r="I109" i="79"/>
  <c r="L99" i="79"/>
  <c r="K99" i="79"/>
  <c r="K98" i="79"/>
  <c r="L98" i="79"/>
  <c r="J97" i="79"/>
  <c r="I97" i="79"/>
  <c r="L121" i="79"/>
  <c r="I105" i="79"/>
  <c r="I101" i="79"/>
  <c r="E53" i="87" l="1"/>
  <c r="F53" i="87" s="1"/>
  <c r="E52" i="87"/>
  <c r="F52" i="87" s="1"/>
  <c r="I53" i="87"/>
  <c r="J53" i="87" s="1"/>
  <c r="C49" i="87"/>
  <c r="C48" i="87"/>
  <c r="U7" i="1" s="1"/>
  <c r="K97" i="79"/>
  <c r="F6" i="89"/>
  <c r="K1074" i="84" l="1"/>
  <c r="D14" i="9" l="1"/>
  <c r="J52" i="15" l="1"/>
  <c r="J52" i="82"/>
  <c r="Q51" i="82" s="1"/>
  <c r="J52" i="81"/>
  <c r="J52" i="80"/>
  <c r="Y6" i="1"/>
  <c r="Q72" i="82"/>
  <c r="Q59" i="82"/>
  <c r="K59" i="82"/>
  <c r="P61" i="82" s="1"/>
  <c r="F59" i="82"/>
  <c r="Q58" i="82"/>
  <c r="J50" i="82"/>
  <c r="M47" i="82"/>
  <c r="D46" i="82"/>
  <c r="F33" i="82"/>
  <c r="F61" i="82" s="1"/>
  <c r="F31" i="82"/>
  <c r="F23" i="82"/>
  <c r="D24"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D13" i="79"/>
  <c r="D28" i="79"/>
  <c r="C56" i="79"/>
  <c r="D56" i="79"/>
  <c r="E56" i="79" s="1"/>
  <c r="G57" i="79"/>
  <c r="G58" i="79"/>
  <c r="G56" i="79" s="1"/>
  <c r="G59" i="79"/>
  <c r="H60" i="79"/>
  <c r="C62" i="79"/>
  <c r="D62" i="79"/>
  <c r="E62" i="79" s="1"/>
  <c r="H62" i="79"/>
  <c r="H63" i="79"/>
  <c r="C68" i="79"/>
  <c r="D68" i="79"/>
  <c r="C73" i="79"/>
  <c r="D73" i="79"/>
  <c r="E73" i="79"/>
  <c r="C77" i="79"/>
  <c r="D77" i="79"/>
  <c r="E77" i="79" s="1"/>
  <c r="C81" i="79"/>
  <c r="D81" i="79"/>
  <c r="E81" i="79" s="1"/>
  <c r="C84" i="79"/>
  <c r="D84" i="79"/>
  <c r="C86" i="79"/>
  <c r="D89" i="79"/>
  <c r="H61" i="79" s="1"/>
  <c r="C92" i="79"/>
  <c r="C94" i="79"/>
  <c r="D94" i="79"/>
  <c r="E94" i="79" s="1"/>
  <c r="I95" i="79"/>
  <c r="I98" i="79"/>
  <c r="I99" i="79"/>
  <c r="I100" i="79"/>
  <c r="C101" i="79"/>
  <c r="D101" i="79"/>
  <c r="E101" i="79"/>
  <c r="J102" i="79"/>
  <c r="J104" i="79"/>
  <c r="J105" i="79"/>
  <c r="C106" i="79"/>
  <c r="D106" i="79"/>
  <c r="E106" i="79" s="1"/>
  <c r="C111" i="79"/>
  <c r="D111" i="79"/>
  <c r="E111" i="79" s="1"/>
  <c r="C116" i="79"/>
  <c r="D116" i="79"/>
  <c r="E116" i="79"/>
  <c r="C121" i="79"/>
  <c r="D121" i="79"/>
  <c r="E121" i="79" s="1"/>
  <c r="C126" i="79"/>
  <c r="D129" i="79"/>
  <c r="J103" i="79" s="1"/>
  <c r="C133" i="79"/>
  <c r="D3" i="4"/>
  <c r="L112" i="79" l="1"/>
  <c r="H56" i="79"/>
  <c r="E84" i="79"/>
  <c r="E68" i="79"/>
  <c r="D22" i="80"/>
  <c r="D23" i="81"/>
  <c r="D22" i="82"/>
  <c r="P74" i="80"/>
  <c r="P74" i="81"/>
  <c r="P74" i="82"/>
  <c r="D23" i="80"/>
  <c r="D23" i="82"/>
  <c r="I56" i="79"/>
  <c r="D133" i="79"/>
  <c r="D126" i="79"/>
  <c r="E126" i="79" s="1"/>
  <c r="E133" i="79" s="1"/>
  <c r="I96" i="79" s="1"/>
  <c r="D86" i="79"/>
  <c r="G14" i="73"/>
  <c r="F14" i="73"/>
  <c r="E14" i="73"/>
  <c r="K120" i="79" l="1"/>
  <c r="D92" i="79"/>
  <c r="E86" i="79"/>
  <c r="E92" i="79"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P22" i="71"/>
  <c r="O22" i="71"/>
  <c r="N22" i="71"/>
  <c r="A2" i="53"/>
  <c r="K59" i="67"/>
  <c r="P61" i="67" s="1"/>
  <c r="K59" i="15"/>
  <c r="P74" i="15" s="1"/>
  <c r="P61" i="15"/>
  <c r="D116" i="39"/>
  <c r="E116" i="39"/>
  <c r="F116" i="39"/>
  <c r="G116" i="39"/>
  <c r="H116" i="39"/>
  <c r="I116" i="39"/>
  <c r="J116" i="39"/>
  <c r="K116" i="39"/>
  <c r="L116" i="39"/>
  <c r="M116" i="39"/>
  <c r="C116" i="39"/>
  <c r="A21" i="62"/>
  <c r="A20" i="62"/>
  <c r="A22" i="51"/>
  <c r="A21" i="51"/>
  <c r="A20" i="51"/>
  <c r="A15" i="62"/>
  <c r="B61" i="72" s="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6" i="71"/>
  <c r="F85" i="71"/>
  <c r="F84" i="71" s="1"/>
  <c r="E85" i="71"/>
  <c r="E84" i="71" s="1"/>
  <c r="E83" i="71" s="1"/>
  <c r="C85" i="71"/>
  <c r="D85" i="71" s="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AB36" i="71" s="1"/>
  <c r="P36" i="71"/>
  <c r="AA36" i="71"/>
  <c r="O36" i="71"/>
  <c r="Y36" i="7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D47" i="71"/>
  <c r="P25" i="7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D80" i="71"/>
  <c r="C79" i="71"/>
  <c r="D79" i="71"/>
  <c r="D72" i="71"/>
  <c r="C71" i="71"/>
  <c r="D71" i="71" s="1"/>
  <c r="D84" i="71"/>
  <c r="D76" i="71"/>
  <c r="C75" i="71"/>
  <c r="D75" i="71" s="1"/>
  <c r="D68" i="71"/>
  <c r="C67" i="71"/>
  <c r="D67" i="71"/>
  <c r="C57" i="71"/>
  <c r="D56" i="71"/>
  <c r="P64" i="71"/>
  <c r="E63" i="71"/>
  <c r="P62" i="71" s="1"/>
  <c r="D40" i="71"/>
  <c r="D36" i="71"/>
  <c r="D32"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D83" i="21"/>
  <c r="F21" i="21"/>
  <c r="AA21" i="21" s="1"/>
  <c r="D81" i="21"/>
  <c r="H19" i="21" s="1"/>
  <c r="AB19" i="21" s="1"/>
  <c r="G20" i="20"/>
  <c r="B86" i="43"/>
  <c r="C22" i="20"/>
  <c r="B75" i="43"/>
  <c r="B55" i="43"/>
  <c r="B66" i="43"/>
  <c r="C25" i="40"/>
  <c r="C29" i="39"/>
  <c r="S25" i="40"/>
  <c r="S29" i="39"/>
  <c r="U18" i="36"/>
  <c r="H25" i="40"/>
  <c r="J25" i="40"/>
  <c r="F103" i="39"/>
  <c r="H29" i="39"/>
  <c r="G103" i="39"/>
  <c r="J29" i="39"/>
  <c r="J18" i="36"/>
  <c r="F68" i="35"/>
  <c r="G68" i="35" s="1"/>
  <c r="H18" i="35"/>
  <c r="S18" i="35"/>
  <c r="J18" i="35"/>
  <c r="AC18" i="35" s="1"/>
  <c r="H21" i="37"/>
  <c r="U21" i="37" s="1"/>
  <c r="F21" i="37"/>
  <c r="S21" i="37" s="1"/>
  <c r="H21" i="34"/>
  <c r="U21" i="34" s="1"/>
  <c r="F83" i="33"/>
  <c r="H21" i="33"/>
  <c r="F21" i="33"/>
  <c r="S21" i="33" s="1"/>
  <c r="E83" i="21"/>
  <c r="F83" i="21" s="1"/>
  <c r="G83" i="21" s="1"/>
  <c r="H1" i="69"/>
  <c r="AC25" i="40"/>
  <c r="W25" i="40"/>
  <c r="AB25" i="40"/>
  <c r="U25" i="40"/>
  <c r="AB29" i="39"/>
  <c r="U29" i="39"/>
  <c r="AC29" i="39"/>
  <c r="W29" i="39"/>
  <c r="AC18" i="36"/>
  <c r="W18" i="36"/>
  <c r="AB21" i="37"/>
  <c r="AA21" i="37"/>
  <c r="AB21" i="34"/>
  <c r="U21" i="33"/>
  <c r="AB21" i="33"/>
  <c r="AB18" i="35"/>
  <c r="U18" i="35"/>
  <c r="W18" i="35"/>
  <c r="G77" i="37"/>
  <c r="J21" i="37"/>
  <c r="AC21" i="37" s="1"/>
  <c r="J21" i="34"/>
  <c r="AC21" i="34" s="1"/>
  <c r="G83" i="33"/>
  <c r="J21" i="33"/>
  <c r="AC21" i="33" s="1"/>
  <c r="H21" i="21"/>
  <c r="AB21" i="21" s="1"/>
  <c r="F38" i="69"/>
  <c r="E37" i="69"/>
  <c r="F36" i="69"/>
  <c r="F35" i="69"/>
  <c r="F21" i="69"/>
  <c r="F40" i="69" s="1"/>
  <c r="C21" i="69"/>
  <c r="F20" i="69"/>
  <c r="F39" i="69" s="1"/>
  <c r="E10" i="69"/>
  <c r="E9" i="69"/>
  <c r="C7" i="69"/>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F22" i="12"/>
  <c r="F23" i="12"/>
  <c r="C17" i="9"/>
  <c r="D17" i="9"/>
  <c r="I55" i="9"/>
  <c r="F55" i="9"/>
  <c r="O53" i="9" s="1"/>
  <c r="D89" i="9"/>
  <c r="C89" i="9" s="1"/>
  <c r="C87" i="9" s="1"/>
  <c r="J55" i="9"/>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H31" i="21" s="1"/>
  <c r="B96" i="21"/>
  <c r="B94" i="21"/>
  <c r="J29" i="21" s="1"/>
  <c r="AC29" i="21" s="1"/>
  <c r="B92" i="21"/>
  <c r="B90" i="21"/>
  <c r="J27" i="2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s="1"/>
  <c r="K9" i="1" s="1"/>
  <c r="M9" i="1" s="1"/>
  <c r="O9" i="1" s="1"/>
  <c r="P9" i="1"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c r="J19" i="21"/>
  <c r="W19" i="21" s="1"/>
  <c r="J12" i="21"/>
  <c r="AC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AA19" i="34" s="1"/>
  <c r="F15" i="34"/>
  <c r="S15" i="34" s="1"/>
  <c r="J15" i="34"/>
  <c r="H15" i="34"/>
  <c r="AB15" i="34" s="1"/>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S41" i="33"/>
  <c r="H37" i="33"/>
  <c r="AB37" i="33"/>
  <c r="H15" i="33"/>
  <c r="AB15" i="33"/>
  <c r="H11" i="33"/>
  <c r="AB11" i="33"/>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c r="AA14" i="37"/>
  <c r="W31" i="34"/>
  <c r="W13" i="36"/>
  <c r="AB46" i="34"/>
  <c r="AB45" i="33"/>
  <c r="U13" i="33"/>
  <c r="S44" i="34"/>
  <c r="BA586" i="3"/>
  <c r="BA585" i="3"/>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31" i="33"/>
  <c r="AC45" i="33"/>
  <c r="W44" i="33"/>
  <c r="U11" i="33"/>
  <c r="W44" i="21"/>
  <c r="U26" i="21"/>
  <c r="AC46"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c r="C7" i="37"/>
  <c r="C7" i="34"/>
  <c r="C7" i="36"/>
  <c r="W35" i="40"/>
  <c r="A118" i="9"/>
  <c r="J11" i="39"/>
  <c r="W11" i="39" s="1"/>
  <c r="F11" i="39"/>
  <c r="AA11" i="39" s="1"/>
  <c r="A12" i="52"/>
  <c r="B56" i="72" s="1"/>
  <c r="S11" i="39"/>
  <c r="G4" i="4"/>
  <c r="I4" i="4"/>
  <c r="F59" i="43"/>
  <c r="H62" i="43" s="1"/>
  <c r="AZ20" i="3"/>
  <c r="AZ28" i="3"/>
  <c r="AZ32"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AZ148" i="3" s="1"/>
  <c r="G149" i="3"/>
  <c r="BA151" i="3"/>
  <c r="AZ151" i="3" s="1"/>
  <c r="BL152" i="3"/>
  <c r="G153" i="3"/>
  <c r="BA155" i="3"/>
  <c r="AZ155" i="3" s="1"/>
  <c r="BL156" i="3"/>
  <c r="G157" i="3"/>
  <c r="BA159" i="3"/>
  <c r="AZ159" i="3"/>
  <c r="BL160" i="3"/>
  <c r="G161" i="3"/>
  <c r="BA163" i="3"/>
  <c r="BL164" i="3"/>
  <c r="AZ164" i="3"/>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AZ195" i="3" s="1"/>
  <c r="BL196" i="3"/>
  <c r="AZ196" i="3" s="1"/>
  <c r="G197" i="3"/>
  <c r="BA199" i="3"/>
  <c r="AZ199" i="3" s="1"/>
  <c r="BL200" i="3"/>
  <c r="G201" i="3"/>
  <c r="BA203" i="3"/>
  <c r="AZ203" i="3" s="1"/>
  <c r="BL204" i="3"/>
  <c r="AZ51" i="3"/>
  <c r="AZ55" i="3"/>
  <c r="AZ67" i="3"/>
  <c r="AZ71" i="3"/>
  <c r="AZ83" i="3"/>
  <c r="AZ136" i="3"/>
  <c r="AZ152" i="3"/>
  <c r="AZ160" i="3"/>
  <c r="AZ176" i="3"/>
  <c r="AZ200" i="3"/>
  <c r="AZ85" i="3"/>
  <c r="AZ93"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46" i="3"/>
  <c r="AZ150" i="3"/>
  <c r="AZ158" i="3"/>
  <c r="AZ170" i="3"/>
  <c r="AZ186" i="3"/>
  <c r="AZ194" i="3"/>
  <c r="AZ198" i="3"/>
  <c r="AZ206" i="3"/>
  <c r="AZ500"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33" i="3"/>
  <c r="AZ241" i="3"/>
  <c r="AZ245" i="3"/>
  <c r="AZ257" i="3"/>
  <c r="AZ261" i="3"/>
  <c r="AZ265" i="3"/>
  <c r="BA379" i="3"/>
  <c r="AZ379" i="3" s="1"/>
  <c r="BL380" i="3"/>
  <c r="G381" i="3"/>
  <c r="BA383" i="3"/>
  <c r="BL384" i="3"/>
  <c r="AZ384" i="3" s="1"/>
  <c r="G385" i="3"/>
  <c r="BA387" i="3"/>
  <c r="AZ387" i="3" s="1"/>
  <c r="BL388" i="3"/>
  <c r="G389" i="3"/>
  <c r="BA391" i="3"/>
  <c r="AZ391" i="3" s="1"/>
  <c r="BL392" i="3"/>
  <c r="G393" i="3"/>
  <c r="AZ263" i="3"/>
  <c r="AZ291" i="3"/>
  <c r="AZ309" i="3"/>
  <c r="AZ317" i="3"/>
  <c r="AZ325" i="3"/>
  <c r="AZ341" i="3"/>
  <c r="AZ549" i="3"/>
  <c r="AZ506" i="3"/>
  <c r="AZ496" i="3"/>
  <c r="G548" i="3"/>
  <c r="G538" i="3"/>
  <c r="G520" i="3"/>
  <c r="G502" i="3"/>
  <c r="BP5" i="3"/>
  <c r="AZ343" i="3"/>
  <c r="G17" i="3"/>
  <c r="BT5" i="3"/>
  <c r="AZ352" i="3"/>
  <c r="AZ360" i="3"/>
  <c r="AZ380" i="3"/>
  <c r="AZ396" i="3"/>
  <c r="AZ394" i="3"/>
  <c r="AZ499" i="3"/>
  <c r="AZ509" i="3"/>
  <c r="G509" i="3"/>
  <c r="BL493" i="3"/>
  <c r="AZ491" i="3"/>
  <c r="AZ376" i="3"/>
  <c r="AZ390" i="3"/>
  <c r="AZ493" i="3"/>
  <c r="U36" i="40"/>
  <c r="F81" i="43"/>
  <c r="H83" i="43" s="1"/>
  <c r="F48" i="43"/>
  <c r="H52" i="43" s="1"/>
  <c r="F70" i="43"/>
  <c r="H73" i="43" s="1"/>
  <c r="F39" i="43"/>
  <c r="F6" i="1"/>
  <c r="U17" i="39"/>
  <c r="S14" i="35"/>
  <c r="U35" i="21"/>
  <c r="U10"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3" i="3"/>
  <c r="AZ256" i="3"/>
  <c r="AZ259" i="3"/>
  <c r="AZ268" i="3"/>
  <c r="AZ280" i="3"/>
  <c r="AZ296" i="3"/>
  <c r="AZ114" i="3"/>
  <c r="AZ130" i="3"/>
  <c r="AZ21" i="3"/>
  <c r="AZ37" i="3"/>
  <c r="AZ42" i="3"/>
  <c r="AZ53" i="3"/>
  <c r="AZ58" i="3"/>
  <c r="AZ69"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7" i="43"/>
  <c r="D93" i="9"/>
  <c r="AC26" i="33"/>
  <c r="W27" i="34"/>
  <c r="AC27" i="34"/>
  <c r="AB34" i="36"/>
  <c r="U34" i="36"/>
  <c r="AB33" i="36"/>
  <c r="U33" i="36"/>
  <c r="AC12" i="39"/>
  <c r="W12" i="39"/>
  <c r="AC39" i="40"/>
  <c r="W39" i="40"/>
  <c r="AZ412" i="3"/>
  <c r="AZ428" i="3"/>
  <c r="AC12" i="33"/>
  <c r="AA32" i="36"/>
  <c r="S32" i="36"/>
  <c r="AZ437" i="3"/>
  <c r="AZ441" i="3"/>
  <c r="AZ490" i="3"/>
  <c r="AZ266" i="3"/>
  <c r="U30" i="33"/>
  <c r="AC13" i="34"/>
  <c r="AA47" i="34"/>
  <c r="W28" i="37"/>
  <c r="S19" i="39"/>
  <c r="F12" i="33"/>
  <c r="H12" i="39"/>
  <c r="AB12" i="39" s="1"/>
  <c r="F39" i="40"/>
  <c r="S39" i="40" s="1"/>
  <c r="AZ367" i="3"/>
  <c r="AZ234" i="3"/>
  <c r="AZ254" i="3"/>
  <c r="AZ157" i="3"/>
  <c r="AZ165" i="3"/>
  <c r="AZ181" i="3"/>
  <c r="AZ35" i="3"/>
  <c r="S12" i="1"/>
  <c r="AR12" i="1" s="1"/>
  <c r="R12" i="1"/>
  <c r="B12" i="1"/>
  <c r="E12" i="1" s="1"/>
  <c r="S10" i="1"/>
  <c r="R10" i="1"/>
  <c r="B10" i="1"/>
  <c r="E10" i="1" s="1"/>
  <c r="AZ107" i="3"/>
  <c r="AZ111" i="3"/>
  <c r="K12" i="1"/>
  <c r="M12" i="1" s="1"/>
  <c r="O12" i="1" s="1"/>
  <c r="P12" i="1" s="1"/>
  <c r="S13" i="1"/>
  <c r="AR13" i="1" s="1"/>
  <c r="R13" i="1"/>
  <c r="S11" i="1"/>
  <c r="AQ11" i="1" s="1"/>
  <c r="R11" i="1"/>
  <c r="J51" i="67"/>
  <c r="C42" i="1"/>
  <c r="C77" i="9" s="1"/>
  <c r="C74" i="9" s="1"/>
  <c r="H100" i="43"/>
  <c r="AC34" i="33"/>
  <c r="AA34" i="33"/>
  <c r="B41" i="1"/>
  <c r="F30" i="11" s="1"/>
  <c r="S22" i="31"/>
  <c r="J100" i="43"/>
  <c r="AB37" i="40"/>
  <c r="S35" i="40"/>
  <c r="U35" i="40"/>
  <c r="AC36" i="40"/>
  <c r="W38" i="40"/>
  <c r="AA32" i="40"/>
  <c r="S17" i="40"/>
  <c r="S23" i="40"/>
  <c r="AC17" i="40"/>
  <c r="AC15" i="40"/>
  <c r="S30" i="40"/>
  <c r="S28" i="40"/>
  <c r="U21" i="40"/>
  <c r="W42" i="39"/>
  <c r="U37" i="39"/>
  <c r="W39" i="39"/>
  <c r="S43" i="39"/>
  <c r="S37" i="39"/>
  <c r="U35" i="39"/>
  <c r="F32" i="39"/>
  <c r="S32" i="39" s="1"/>
  <c r="U25" i="39"/>
  <c r="AB27" i="39"/>
  <c r="U31" i="39"/>
  <c r="S25" i="39"/>
  <c r="J21" i="39"/>
  <c r="W21" i="39" s="1"/>
  <c r="F21" i="39"/>
  <c r="G95" i="39"/>
  <c r="H21" i="39"/>
  <c r="W19" i="39"/>
  <c r="U19" i="39"/>
  <c r="S17"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26" i="35" s="1"/>
  <c r="AB40" i="37"/>
  <c r="W27" i="37"/>
  <c r="AC9" i="37"/>
  <c r="AC29" i="37"/>
  <c r="U29" i="37"/>
  <c r="S32" i="37"/>
  <c r="AB31" i="37"/>
  <c r="W30" i="37"/>
  <c r="S36" i="37"/>
  <c r="AA38" i="37"/>
  <c r="U32" i="37"/>
  <c r="W38" i="37"/>
  <c r="AC35" i="37"/>
  <c r="W39" i="37"/>
  <c r="S30" i="37"/>
  <c r="S37" i="37"/>
  <c r="AC15" i="37"/>
  <c r="J17" i="37"/>
  <c r="W17" i="37"/>
  <c r="F17" i="37"/>
  <c r="AA17" i="37" s="1"/>
  <c r="AB17" i="37"/>
  <c r="F75" i="37"/>
  <c r="F19" i="37"/>
  <c r="F79" i="37"/>
  <c r="G79" i="37" s="1"/>
  <c r="F23" i="37"/>
  <c r="S23" i="37" s="1"/>
  <c r="U23" i="37"/>
  <c r="U15" i="37"/>
  <c r="AC13" i="37"/>
  <c r="AA13" i="37"/>
  <c r="AA9" i="37"/>
  <c r="H10" i="37"/>
  <c r="H60" i="37"/>
  <c r="I60" i="37" s="1"/>
  <c r="F63" i="37"/>
  <c r="F11" i="37"/>
  <c r="S11" i="37" s="1"/>
  <c r="S27" i="34"/>
  <c r="W25" i="34"/>
  <c r="AA33" i="34"/>
  <c r="U44" i="34"/>
  <c r="U43" i="34"/>
  <c r="AC39" i="34"/>
  <c r="W41" i="34"/>
  <c r="AC42" i="34"/>
  <c r="AB35" i="34"/>
  <c r="U39" i="34"/>
  <c r="S43" i="34"/>
  <c r="AB41" i="34"/>
  <c r="AA45" i="34"/>
  <c r="W34" i="34"/>
  <c r="AA25" i="34"/>
  <c r="U28" i="34"/>
  <c r="AA29" i="34"/>
  <c r="U27" i="34"/>
  <c r="S23" i="34"/>
  <c r="U15" i="34"/>
  <c r="S10" i="34"/>
  <c r="S13" i="34"/>
  <c r="H67" i="34"/>
  <c r="H10" i="34"/>
  <c r="U10" i="34" s="1"/>
  <c r="F11" i="34"/>
  <c r="S11" i="34" s="1"/>
  <c r="F70" i="34"/>
  <c r="W42" i="33"/>
  <c r="AA35" i="33"/>
  <c r="S27" i="33"/>
  <c r="S32" i="33"/>
  <c r="AA29" i="33"/>
  <c r="AB29" i="33"/>
  <c r="W38" i="33"/>
  <c r="H41" i="33"/>
  <c r="U4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AA36" i="21"/>
  <c r="J15" i="21"/>
  <c r="W15" i="21" s="1"/>
  <c r="E85" i="21"/>
  <c r="AC11" i="21"/>
  <c r="AA14" i="21"/>
  <c r="S8" i="21"/>
  <c r="M3" i="43"/>
  <c r="D120" i="9"/>
  <c r="D121" i="9" s="1"/>
  <c r="D7" i="52" s="1"/>
  <c r="F34" i="67"/>
  <c r="F62" i="67" s="1"/>
  <c r="J56" i="9"/>
  <c r="J57" i="9" s="1"/>
  <c r="J59" i="9" s="1"/>
  <c r="J61" i="9" s="1"/>
  <c r="A24" i="51"/>
  <c r="B18" i="72" s="1"/>
  <c r="U29" i="34"/>
  <c r="E5" i="6"/>
  <c r="D9" i="11" s="1"/>
  <c r="C9" i="11" s="1"/>
  <c r="E32" i="6"/>
  <c r="L19" i="6"/>
  <c r="K1" i="12"/>
  <c r="G22" i="69"/>
  <c r="G26" i="12"/>
  <c r="C100" i="43"/>
  <c r="E11" i="43"/>
  <c r="E10" i="43"/>
  <c r="E9" i="43"/>
  <c r="E8" i="43"/>
  <c r="C7" i="43"/>
  <c r="E81" i="43"/>
  <c r="B79" i="43"/>
  <c r="E48" i="43"/>
  <c r="B46" i="43" s="1"/>
  <c r="E70" i="43"/>
  <c r="B68" i="43" s="1"/>
  <c r="F100" i="43"/>
  <c r="H81" i="43"/>
  <c r="C17" i="43"/>
  <c r="N3" i="43"/>
  <c r="M9" i="43"/>
  <c r="B19" i="53"/>
  <c r="B37" i="72" s="1"/>
  <c r="C7" i="39"/>
  <c r="C68" i="39" s="1"/>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C48" i="35"/>
  <c r="D48" i="35" s="1"/>
  <c r="C4" i="12"/>
  <c r="H65" i="43"/>
  <c r="H63" i="43"/>
  <c r="H56" i="43"/>
  <c r="L20" i="6"/>
  <c r="B6" i="1"/>
  <c r="E6" i="1" s="1"/>
  <c r="K11" i="1"/>
  <c r="M11" i="1" s="1"/>
  <c r="O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AC33" i="21" s="1"/>
  <c r="H33" i="21"/>
  <c r="AB33" i="21" s="1"/>
  <c r="F37" i="21"/>
  <c r="AA37" i="21"/>
  <c r="AA26" i="21"/>
  <c r="AB14" i="21"/>
  <c r="AB46" i="21"/>
  <c r="AB31" i="21"/>
  <c r="U31" i="21"/>
  <c r="AC15" i="21"/>
  <c r="U13" i="21"/>
  <c r="W8" i="21"/>
  <c r="J37" i="21"/>
  <c r="AC37" i="21" s="1"/>
  <c r="H15" i="21"/>
  <c r="U15" i="21" s="1"/>
  <c r="AC14" i="21"/>
  <c r="W30" i="21"/>
  <c r="S46" i="21"/>
  <c r="H45" i="21"/>
  <c r="U45" i="21" s="1"/>
  <c r="F29" i="21"/>
  <c r="S29" i="21" s="1"/>
  <c r="F13" i="21"/>
  <c r="AA13" i="21" s="1"/>
  <c r="AC38" i="21"/>
  <c r="H32" i="21"/>
  <c r="AB32" i="21" s="1"/>
  <c r="J9" i="21"/>
  <c r="W9" i="21" s="1"/>
  <c r="J32" i="21"/>
  <c r="W32" i="21" s="1"/>
  <c r="F32" i="21"/>
  <c r="AA32" i="21" s="1"/>
  <c r="AA31" i="21"/>
  <c r="W29" i="21"/>
  <c r="S19" i="21"/>
  <c r="K141" i="21"/>
  <c r="K144" i="21"/>
  <c r="K143" i="21"/>
  <c r="U27" i="21"/>
  <c r="AB25" i="21"/>
  <c r="AB44" i="21"/>
  <c r="AA30" i="21"/>
  <c r="W13" i="21"/>
  <c r="W42" i="21"/>
  <c r="AC45" i="21"/>
  <c r="F10" i="21"/>
  <c r="S10" i="21" s="1"/>
  <c r="K145" i="21"/>
  <c r="W25" i="21"/>
  <c r="W31" i="21"/>
  <c r="S27" i="21"/>
  <c r="AA15" i="21"/>
  <c r="AC27" i="21"/>
  <c r="AC26" i="21"/>
  <c r="AB29" i="21"/>
  <c r="S28" i="21"/>
  <c r="AC34" i="21"/>
  <c r="W10" i="21"/>
  <c r="W12" i="21"/>
  <c r="AB36" i="21"/>
  <c r="W30" i="40"/>
  <c r="C19" i="39"/>
  <c r="C15" i="40"/>
  <c r="C17" i="40"/>
  <c r="C23" i="40"/>
  <c r="C21" i="40"/>
  <c r="U30" i="40"/>
  <c r="B65" i="43"/>
  <c r="B49" i="43"/>
  <c r="B52" i="43"/>
  <c r="B56" i="43"/>
  <c r="B60" i="43"/>
  <c r="B63" i="43"/>
  <c r="B67" i="43"/>
  <c r="D23" i="15"/>
  <c r="D22" i="15"/>
  <c r="E4" i="4"/>
  <c r="B5" i="62" s="1"/>
  <c r="B73" i="72" s="1"/>
  <c r="C4" i="4"/>
  <c r="AA39" i="40"/>
  <c r="S12" i="33"/>
  <c r="AA12" i="33"/>
  <c r="J32" i="39"/>
  <c r="W32" i="39" s="1"/>
  <c r="H32" i="39"/>
  <c r="U32" i="39" s="1"/>
  <c r="AA32" i="39"/>
  <c r="AB21" i="39"/>
  <c r="U21" i="39"/>
  <c r="AA21" i="39"/>
  <c r="S21" i="39"/>
  <c r="AC21" i="39"/>
  <c r="S26" i="35"/>
  <c r="U9" i="35"/>
  <c r="AB9" i="35"/>
  <c r="S9" i="35"/>
  <c r="AC26" i="35"/>
  <c r="W26" i="35"/>
  <c r="U26" i="35"/>
  <c r="AC17" i="37"/>
  <c r="S17" i="37"/>
  <c r="J19" i="37"/>
  <c r="W19" i="37" s="1"/>
  <c r="G75" i="37"/>
  <c r="S19" i="37"/>
  <c r="AA19" i="37"/>
  <c r="AA23" i="37"/>
  <c r="J23" i="37"/>
  <c r="W23" i="37" s="1"/>
  <c r="J10" i="37"/>
  <c r="W10" i="37" s="1"/>
  <c r="G63" i="37"/>
  <c r="H11" i="37"/>
  <c r="AB11" i="37" s="1"/>
  <c r="AB10" i="37"/>
  <c r="U10" i="37"/>
  <c r="G70" i="34"/>
  <c r="H70" i="34" s="1"/>
  <c r="I70" i="34" s="1"/>
  <c r="J70" i="34" s="1"/>
  <c r="K70" i="34" s="1"/>
  <c r="L70" i="34" s="1"/>
  <c r="M70" i="34" s="1"/>
  <c r="H11" i="34"/>
  <c r="AB11" i="34" s="1"/>
  <c r="AB10" i="34"/>
  <c r="J10" i="34"/>
  <c r="AC10" i="34" s="1"/>
  <c r="I67" i="34"/>
  <c r="AB41" i="33"/>
  <c r="W35" i="33"/>
  <c r="AC35" i="33"/>
  <c r="H111" i="33"/>
  <c r="I111" i="33" s="1"/>
  <c r="J111" i="33" s="1"/>
  <c r="K111" i="33" s="1"/>
  <c r="L111" i="33" s="1"/>
  <c r="M111" i="33" s="1"/>
  <c r="J36" i="33"/>
  <c r="AC36" i="33" s="1"/>
  <c r="H36" i="33"/>
  <c r="U36" i="33" s="1"/>
  <c r="S36" i="33"/>
  <c r="AA36" i="33"/>
  <c r="AC32" i="33"/>
  <c r="U27" i="33"/>
  <c r="AB27" i="33"/>
  <c r="G91" i="33"/>
  <c r="H91" i="33" s="1"/>
  <c r="I91" i="33" s="1"/>
  <c r="J91" i="33" s="1"/>
  <c r="K91" i="33" s="1"/>
  <c r="L91" i="33" s="1"/>
  <c r="M91" i="33" s="1"/>
  <c r="J27" i="33"/>
  <c r="AC27" i="33" s="1"/>
  <c r="U25" i="33"/>
  <c r="AB25" i="33"/>
  <c r="AA25" i="33"/>
  <c r="J25" i="33"/>
  <c r="W25" i="33" s="1"/>
  <c r="AB23" i="33"/>
  <c r="U23" i="33"/>
  <c r="F23" i="33"/>
  <c r="G85" i="33"/>
  <c r="AC23" i="33"/>
  <c r="W23" i="33"/>
  <c r="AA19" i="33"/>
  <c r="H19" i="33"/>
  <c r="AB19" i="33" s="1"/>
  <c r="G79" i="33"/>
  <c r="H17" i="33"/>
  <c r="F17" i="33"/>
  <c r="AA17" i="33" s="1"/>
  <c r="AC17" i="33"/>
  <c r="U10" i="33"/>
  <c r="AB10" i="33"/>
  <c r="W10" i="33"/>
  <c r="S37" i="21"/>
  <c r="S13" i="21"/>
  <c r="R22" i="31"/>
  <c r="AP7" i="1"/>
  <c r="AB45" i="21"/>
  <c r="U32" i="21"/>
  <c r="AA10" i="21"/>
  <c r="A18" i="62"/>
  <c r="B64" i="72" s="1"/>
  <c r="AB32" i="39"/>
  <c r="AC32" i="39"/>
  <c r="AC19" i="37"/>
  <c r="AC23" i="37"/>
  <c r="U11" i="37"/>
  <c r="H63" i="37"/>
  <c r="I63" i="37" s="1"/>
  <c r="J63" i="37" s="1"/>
  <c r="K63" i="37" s="1"/>
  <c r="L63" i="37" s="1"/>
  <c r="M63" i="37" s="1"/>
  <c r="J11" i="37"/>
  <c r="W11" i="37" s="1"/>
  <c r="AC10" i="37"/>
  <c r="W10" i="34"/>
  <c r="J11" i="34"/>
  <c r="W11" i="34" s="1"/>
  <c r="W36" i="33"/>
  <c r="AB36" i="33"/>
  <c r="W27" i="33"/>
  <c r="AC25" i="33"/>
  <c r="AA23" i="33"/>
  <c r="S23" i="33"/>
  <c r="S17" i="33"/>
  <c r="U17" i="33"/>
  <c r="AB17" i="33"/>
  <c r="AC11" i="37"/>
  <c r="AC11" i="34"/>
  <c r="F34" i="11"/>
  <c r="F34" i="68"/>
  <c r="AG6" i="1"/>
  <c r="H109" i="9"/>
  <c r="H112" i="9"/>
  <c r="D21" i="53"/>
  <c r="B39" i="72" s="1"/>
  <c r="H111" i="9"/>
  <c r="D126" i="9" s="1"/>
  <c r="D19" i="53"/>
  <c r="B38" i="72" s="1"/>
  <c r="I14" i="74"/>
  <c r="B8" i="74" s="1"/>
  <c r="D127" i="9"/>
  <c r="D13" i="52" s="1"/>
  <c r="D12" i="52"/>
  <c r="AD3" i="71"/>
  <c r="J1" i="73"/>
  <c r="H67" i="43"/>
  <c r="H60" i="43"/>
  <c r="N12" i="43"/>
  <c r="M7" i="43"/>
  <c r="H54" i="43"/>
  <c r="H48" i="43"/>
  <c r="M6" i="43"/>
  <c r="H49" i="43"/>
  <c r="L17" i="43"/>
  <c r="M17" i="43"/>
  <c r="C70" i="39"/>
  <c r="E46" i="36"/>
  <c r="F46" i="36" s="1"/>
  <c r="G46" i="36" s="1"/>
  <c r="H46" i="36" s="1"/>
  <c r="I46" i="36" s="1"/>
  <c r="AB19" i="71"/>
  <c r="X17" i="71"/>
  <c r="X16" i="71"/>
  <c r="AA17" i="71"/>
  <c r="AA16" i="71"/>
  <c r="X20" i="71"/>
  <c r="Y16" i="71"/>
  <c r="Z16" i="71" s="1"/>
  <c r="AB17" i="71"/>
  <c r="AB16" i="71"/>
  <c r="C94" i="9"/>
  <c r="C92" i="9"/>
  <c r="Y17" i="71"/>
  <c r="Z17" i="71" s="1"/>
  <c r="X3" i="71"/>
  <c r="G20" i="43"/>
  <c r="E41" i="43"/>
  <c r="C41" i="43" s="1"/>
  <c r="E13" i="76"/>
  <c r="F7" i="73"/>
  <c r="E8" i="76"/>
  <c r="F20" i="31"/>
  <c r="D4" i="73"/>
  <c r="E2" i="68"/>
  <c r="F4" i="73"/>
  <c r="AO10" i="1"/>
  <c r="D2" i="21"/>
  <c r="E10" i="76"/>
  <c r="D2" i="36"/>
  <c r="F5" i="73"/>
  <c r="B9" i="76"/>
  <c r="D6" i="73"/>
  <c r="E12" i="76"/>
  <c r="B11" i="76"/>
  <c r="AO13" i="1"/>
  <c r="D2" i="35"/>
  <c r="E7" i="76"/>
  <c r="B13" i="76"/>
  <c r="F6" i="73"/>
  <c r="AO12" i="1"/>
  <c r="D2" i="37"/>
  <c r="D2" i="34"/>
  <c r="D3" i="73"/>
  <c r="D35" i="9"/>
  <c r="E2" i="69"/>
  <c r="B10" i="76"/>
  <c r="AE7" i="1"/>
  <c r="F3" i="73"/>
  <c r="E9" i="76"/>
  <c r="B8" i="76"/>
  <c r="B12" i="76"/>
  <c r="D2" i="33"/>
  <c r="AO11" i="1"/>
  <c r="E11" i="76"/>
  <c r="B7" i="76"/>
  <c r="D34" i="9"/>
  <c r="G1" i="67" l="1"/>
  <c r="G1" i="15"/>
  <c r="G1" i="68"/>
  <c r="W41" i="21"/>
  <c r="AB41" i="21"/>
  <c r="S39" i="21"/>
  <c r="S40" i="21"/>
  <c r="AC40" i="21"/>
  <c r="C13" i="12"/>
  <c r="F31" i="12"/>
  <c r="B54" i="43"/>
  <c r="C27" i="39"/>
  <c r="F85" i="21"/>
  <c r="F3" i="35"/>
  <c r="G23" i="3"/>
  <c r="I4" i="6"/>
  <c r="G3" i="43" s="1"/>
  <c r="H22" i="43" s="1"/>
  <c r="E20" i="6"/>
  <c r="K7" i="1" s="1"/>
  <c r="BL17" i="3"/>
  <c r="BL16" i="3"/>
  <c r="BF5" i="3"/>
  <c r="BL19" i="3"/>
  <c r="AZ19" i="3" s="1"/>
  <c r="G18" i="3"/>
  <c r="BL15" i="3"/>
  <c r="BA15" i="3"/>
  <c r="BA18" i="3"/>
  <c r="AZ18" i="3" s="1"/>
  <c r="BA17" i="3"/>
  <c r="BJ5" i="3"/>
  <c r="BB5" i="3"/>
  <c r="E10" i="6" s="1"/>
  <c r="BQ5" i="3"/>
  <c r="BA16" i="3"/>
  <c r="BI5" i="3"/>
  <c r="BO5" i="3"/>
  <c r="BR5" i="3"/>
  <c r="G28" i="6" s="1"/>
  <c r="BD5" i="3"/>
  <c r="BH5" i="3"/>
  <c r="AZ17" i="3"/>
  <c r="BL14" i="3"/>
  <c r="BN5" i="3"/>
  <c r="G29" i="6" s="1"/>
  <c r="U40" i="21"/>
  <c r="W12" i="37"/>
  <c r="AC12" i="37"/>
  <c r="H76" i="43"/>
  <c r="U19" i="33"/>
  <c r="D6" i="52"/>
  <c r="U33" i="21"/>
  <c r="F30" i="69"/>
  <c r="C30" i="69" s="1"/>
  <c r="AA29" i="21"/>
  <c r="AB37" i="21"/>
  <c r="AA39" i="39"/>
  <c r="H72" i="43"/>
  <c r="H78" i="43"/>
  <c r="AA12" i="37"/>
  <c r="U9" i="37"/>
  <c r="AB20" i="36"/>
  <c r="AC15" i="39"/>
  <c r="AB19" i="40"/>
  <c r="AA27" i="40"/>
  <c r="AA19" i="40"/>
  <c r="AB27" i="40"/>
  <c r="AA39" i="34"/>
  <c r="H75" i="43"/>
  <c r="AZ372" i="3"/>
  <c r="AZ337" i="3"/>
  <c r="AZ305" i="3"/>
  <c r="AZ362" i="3"/>
  <c r="S12" i="21"/>
  <c r="AA12" i="21"/>
  <c r="AC12" i="40"/>
  <c r="W12" i="40"/>
  <c r="AB40" i="40"/>
  <c r="U40" i="40"/>
  <c r="AA41" i="34"/>
  <c r="AZ513" i="3"/>
  <c r="AZ504" i="3"/>
  <c r="AZ534" i="3"/>
  <c r="AZ542" i="3"/>
  <c r="AZ556" i="3"/>
  <c r="AC28" i="21"/>
  <c r="U31" i="33"/>
  <c r="AA14" i="34"/>
  <c r="W11" i="36"/>
  <c r="AB30" i="21"/>
  <c r="U46" i="33"/>
  <c r="AA29" i="35"/>
  <c r="U33" i="35"/>
  <c r="W28" i="35"/>
  <c r="H12" i="21"/>
  <c r="H12" i="33"/>
  <c r="F25" i="37"/>
  <c r="G574" i="3"/>
  <c r="G558" i="3"/>
  <c r="G542" i="3"/>
  <c r="BS5" i="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AZ487" i="3"/>
  <c r="AZ548" i="3"/>
  <c r="BL586" i="3"/>
  <c r="AZ586" i="3" s="1"/>
  <c r="BL585" i="3"/>
  <c r="AZ585" i="3" s="1"/>
  <c r="BA551" i="3"/>
  <c r="AZ551" i="3" s="1"/>
  <c r="BL550" i="3"/>
  <c r="BA550" i="3"/>
  <c r="AZ550" i="3" s="1"/>
  <c r="BL548" i="3"/>
  <c r="AC5" i="3"/>
  <c r="BK5" i="3"/>
  <c r="BG5" i="3"/>
  <c r="C23" i="12"/>
  <c r="BM5" i="3"/>
  <c r="F29" i="6" s="1"/>
  <c r="AZ442" i="3"/>
  <c r="AZ446" i="3"/>
  <c r="BL237" i="3"/>
  <c r="AZ237" i="3" s="1"/>
  <c r="G242" i="3"/>
  <c r="BL242" i="3"/>
  <c r="G245" i="3"/>
  <c r="G246" i="3"/>
  <c r="BL246" i="3"/>
  <c r="BA247" i="3"/>
  <c r="AZ247" i="3" s="1"/>
  <c r="BA248" i="3"/>
  <c r="AZ248" i="3" s="1"/>
  <c r="BA249" i="3"/>
  <c r="AZ249" i="3" s="1"/>
  <c r="BA250" i="3"/>
  <c r="AZ250" i="3" s="1"/>
  <c r="BA251" i="3"/>
  <c r="AZ251" i="3" s="1"/>
  <c r="BL253" i="3"/>
  <c r="AZ253" i="3" s="1"/>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AZ242" i="3"/>
  <c r="AZ246" i="3"/>
  <c r="AZ255" i="3"/>
  <c r="AZ258" i="3"/>
  <c r="AZ267" i="3"/>
  <c r="BL276" i="3"/>
  <c r="BA277" i="3"/>
  <c r="AZ277" i="3" s="1"/>
  <c r="BL279" i="3"/>
  <c r="AZ279" i="3" s="1"/>
  <c r="BL281" i="3"/>
  <c r="AZ281" i="3" s="1"/>
  <c r="BA282" i="3"/>
  <c r="AZ282" i="3" s="1"/>
  <c r="BA283" i="3"/>
  <c r="AZ283" i="3" s="1"/>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BA128" i="3"/>
  <c r="AZ128" i="3" s="1"/>
  <c r="BL129" i="3"/>
  <c r="G132" i="3"/>
  <c r="BA133" i="3"/>
  <c r="AZ133" i="3" s="1"/>
  <c r="G136" i="3"/>
  <c r="BL138" i="3"/>
  <c r="AZ138" i="3" s="1"/>
  <c r="BA140" i="3"/>
  <c r="AZ140" i="3" s="1"/>
  <c r="BL141" i="3"/>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BA23" i="3"/>
  <c r="AZ23" i="3" s="1"/>
  <c r="BA24" i="3"/>
  <c r="AZ24" i="3" s="1"/>
  <c r="BL26" i="3"/>
  <c r="AZ26" i="3" s="1"/>
  <c r="G28" i="3"/>
  <c r="G29" i="3"/>
  <c r="AZ292" i="3"/>
  <c r="AZ113" i="3"/>
  <c r="AZ126" i="3"/>
  <c r="AZ129" i="3"/>
  <c r="AZ141" i="3"/>
  <c r="AZ169" i="3"/>
  <c r="BA29" i="3"/>
  <c r="AZ29" i="3" s="1"/>
  <c r="BL31" i="3"/>
  <c r="AZ31" i="3" s="1"/>
  <c r="BL33" i="3"/>
  <c r="AZ33"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J51" i="80"/>
  <c r="J51" i="81"/>
  <c r="J51" i="82"/>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C44" i="71"/>
  <c r="D44" i="71" s="1"/>
  <c r="D43" i="71"/>
  <c r="E20" i="71"/>
  <c r="E19" i="71" s="1"/>
  <c r="E18" i="71" s="1"/>
  <c r="E17" i="71" s="1"/>
  <c r="V21" i="71"/>
  <c r="G105" i="3"/>
  <c r="G106" i="3"/>
  <c r="BL106" i="3"/>
  <c r="AZ106" i="3" s="1"/>
  <c r="G109" i="3"/>
  <c r="G110" i="3"/>
  <c r="G111" i="3"/>
  <c r="G112" i="3"/>
  <c r="BL112" i="3"/>
  <c r="AZ112" i="3" s="1"/>
  <c r="G1" i="82"/>
  <c r="G1" i="80"/>
  <c r="G1" i="81"/>
  <c r="G8" i="1"/>
  <c r="J51" i="15"/>
  <c r="E59" i="43"/>
  <c r="B57" i="43" s="1"/>
  <c r="W21" i="37"/>
  <c r="AA21" i="33"/>
  <c r="X26" i="71"/>
  <c r="AA32" i="71"/>
  <c r="AE10" i="43"/>
  <c r="X28" i="71"/>
  <c r="AB29" i="71"/>
  <c r="P74" i="67"/>
  <c r="F19" i="71"/>
  <c r="F18" i="71" s="1"/>
  <c r="F17" i="71" s="1"/>
  <c r="F16" i="71" s="1"/>
  <c r="F15" i="71" s="1"/>
  <c r="F14" i="71" s="1"/>
  <c r="T11" i="1"/>
  <c r="C18" i="9"/>
  <c r="D18" i="9" s="1"/>
  <c r="G13" i="3"/>
  <c r="W39" i="21"/>
  <c r="W37" i="21"/>
  <c r="W36" i="21"/>
  <c r="AC35" i="21"/>
  <c r="AB39" i="21"/>
  <c r="U43" i="21"/>
  <c r="S35" i="21"/>
  <c r="AA38" i="21"/>
  <c r="AA43" i="21"/>
  <c r="W43" i="21"/>
  <c r="S34" i="21"/>
  <c r="S42" i="21"/>
  <c r="U34" i="21"/>
  <c r="S32" i="21"/>
  <c r="AC32" i="21"/>
  <c r="W33" i="21"/>
  <c r="AA33" i="21"/>
  <c r="S21" i="21"/>
  <c r="AC19" i="21"/>
  <c r="U19" i="21"/>
  <c r="F79" i="21"/>
  <c r="G79" i="21" s="1"/>
  <c r="H17" i="21"/>
  <c r="AB17" i="21" s="1"/>
  <c r="F17" i="21"/>
  <c r="J17" i="21"/>
  <c r="U17" i="21"/>
  <c r="AB15" i="21"/>
  <c r="AC9" i="21"/>
  <c r="AA9" i="21"/>
  <c r="H9" i="21"/>
  <c r="AB8" i="21"/>
  <c r="F34" i="15"/>
  <c r="F62" i="15" s="1"/>
  <c r="C48" i="11"/>
  <c r="C30" i="11"/>
  <c r="D68" i="9"/>
  <c r="M18" i="15"/>
  <c r="M18" i="67"/>
  <c r="W37" i="34"/>
  <c r="AB8" i="34"/>
  <c r="U11" i="34"/>
  <c r="AA11" i="34"/>
  <c r="AB23" i="34"/>
  <c r="F22" i="43"/>
  <c r="G14" i="3"/>
  <c r="BA14" i="3"/>
  <c r="AZ14" i="3" s="1"/>
  <c r="M7" i="1"/>
  <c r="B113" i="43"/>
  <c r="G118" i="43" s="1"/>
  <c r="H118" i="43" s="1"/>
  <c r="M6" i="1"/>
  <c r="BE5" i="3"/>
  <c r="BC5" i="3"/>
  <c r="M8" i="1"/>
  <c r="U19" i="34"/>
  <c r="J19" i="34"/>
  <c r="S21" i="34"/>
  <c r="F80" i="34"/>
  <c r="G80" i="34" s="1"/>
  <c r="H17" i="34"/>
  <c r="U17" i="34" s="1"/>
  <c r="J17" i="34"/>
  <c r="W17" i="34" s="1"/>
  <c r="F17" i="34"/>
  <c r="AC17" i="34"/>
  <c r="AB17" i="34"/>
  <c r="AA15" i="34"/>
  <c r="M20" i="15"/>
  <c r="M20" i="81"/>
  <c r="F34" i="80"/>
  <c r="F62" i="80" s="1"/>
  <c r="M20" i="80"/>
  <c r="F34" i="82"/>
  <c r="F62" i="82" s="1"/>
  <c r="M20" i="82"/>
  <c r="F34" i="81"/>
  <c r="F62" i="81" s="1"/>
  <c r="F48" i="9"/>
  <c r="O52" i="9" s="1"/>
  <c r="M18" i="81"/>
  <c r="F28" i="80"/>
  <c r="C28" i="80" s="1"/>
  <c r="M18" i="80"/>
  <c r="F32" i="82"/>
  <c r="F28" i="82"/>
  <c r="C28" i="82" s="1"/>
  <c r="M18" i="82"/>
  <c r="F32" i="81"/>
  <c r="F28" i="81"/>
  <c r="C28" i="81" s="1"/>
  <c r="F54" i="9"/>
  <c r="F28" i="15"/>
  <c r="C28" i="15" s="1"/>
  <c r="F32" i="15"/>
  <c r="F60" i="15" s="1"/>
  <c r="F32" i="67"/>
  <c r="F60" i="67" s="1"/>
  <c r="F52" i="9"/>
  <c r="F28" i="67"/>
  <c r="F30" i="68"/>
  <c r="G22" i="11"/>
  <c r="G22" i="68"/>
  <c r="E1" i="73"/>
  <c r="L27" i="6"/>
  <c r="AQ10" i="1"/>
  <c r="AR10" i="1"/>
  <c r="T13" i="1"/>
  <c r="AQ12" i="1"/>
  <c r="D9" i="69"/>
  <c r="C9" i="69" s="1"/>
  <c r="AR11" i="1"/>
  <c r="AQ13" i="1"/>
  <c r="T10" i="1"/>
  <c r="T12" i="1"/>
  <c r="P10" i="1"/>
  <c r="C36" i="69"/>
  <c r="D19" i="12"/>
  <c r="C19" i="12" s="1"/>
  <c r="BL13" i="3"/>
  <c r="BA13" i="3"/>
  <c r="C36" i="11"/>
  <c r="K5" i="4"/>
  <c r="B47" i="48" s="1"/>
  <c r="E17" i="43"/>
  <c r="O17" i="43"/>
  <c r="N17" i="43"/>
  <c r="N4" i="43"/>
  <c r="H74" i="43"/>
  <c r="M8" i="43"/>
  <c r="H70" i="43"/>
  <c r="M10" i="43"/>
  <c r="M4" i="43"/>
  <c r="H77" i="43"/>
  <c r="M12" i="43"/>
  <c r="F37" i="43"/>
  <c r="K17" i="43"/>
  <c r="H71" i="43"/>
  <c r="H88" i="43"/>
  <c r="H17" i="43"/>
  <c r="N8" i="43"/>
  <c r="H86" i="43"/>
  <c r="F35" i="43"/>
  <c r="M11" i="43"/>
  <c r="F36" i="43"/>
  <c r="N2" i="43"/>
  <c r="N7" i="43"/>
  <c r="N10" i="43"/>
  <c r="N9" i="43"/>
  <c r="M2" i="43"/>
  <c r="N11" i="43"/>
  <c r="M5" i="43"/>
  <c r="N5" i="43"/>
  <c r="N6" i="43"/>
  <c r="H84" i="43"/>
  <c r="H85" i="43"/>
  <c r="M1" i="43"/>
  <c r="H82" i="43"/>
  <c r="H61" i="43"/>
  <c r="H59" i="43"/>
  <c r="H51" i="43"/>
  <c r="H55" i="43"/>
  <c r="H64" i="43"/>
  <c r="H66" i="43"/>
  <c r="F38" i="43"/>
  <c r="C6" i="43"/>
  <c r="F34" i="43"/>
  <c r="F33" i="43"/>
  <c r="H53" i="43"/>
  <c r="H50" i="43"/>
  <c r="J17" i="43"/>
  <c r="I17" i="43"/>
  <c r="D17" i="43"/>
  <c r="H113" i="43"/>
  <c r="G6" i="1"/>
  <c r="G7" i="1"/>
  <c r="G13" i="1"/>
  <c r="G9" i="1"/>
  <c r="G12" i="1"/>
  <c r="G10" i="1"/>
  <c r="D70" i="39"/>
  <c r="E68" i="39"/>
  <c r="C24" i="12"/>
  <c r="C28" i="67"/>
  <c r="A2" i="9"/>
  <c r="A4" i="52"/>
  <c r="B41" i="72" s="1"/>
  <c r="C20" i="43"/>
  <c r="M49" i="9"/>
  <c r="D124" i="9"/>
  <c r="D20" i="53"/>
  <c r="B40" i="72" s="1"/>
  <c r="D16" i="53"/>
  <c r="H110" i="9"/>
  <c r="D18" i="53" s="1"/>
  <c r="B35" i="72" s="1"/>
  <c r="P7" i="1"/>
  <c r="C48" i="69"/>
  <c r="P6" i="1"/>
  <c r="P11" i="1"/>
  <c r="F53" i="9"/>
  <c r="C31" i="12"/>
  <c r="AZ521" i="3"/>
  <c r="AZ508" i="3"/>
  <c r="AZ520" i="3"/>
  <c r="U11" i="36"/>
  <c r="AB11" i="36"/>
  <c r="S12" i="34"/>
  <c r="AA12" i="34"/>
  <c r="AZ511" i="3"/>
  <c r="AZ515" i="3"/>
  <c r="AZ519" i="3"/>
  <c r="AZ565" i="3"/>
  <c r="AZ569" i="3"/>
  <c r="AZ573" i="3"/>
  <c r="AZ577" i="3"/>
  <c r="AZ583" i="3"/>
  <c r="AZ558" i="3"/>
  <c r="S44" i="33"/>
  <c r="AA44" i="33"/>
  <c r="S14" i="33"/>
  <c r="AA14" i="33"/>
  <c r="AA11" i="36"/>
  <c r="S11" i="36"/>
  <c r="AC11" i="35"/>
  <c r="W11" i="35"/>
  <c r="W30" i="34"/>
  <c r="AC30" i="34"/>
  <c r="AA45" i="33"/>
  <c r="S45" i="33"/>
  <c r="AC29" i="33"/>
  <c r="W29" i="33"/>
  <c r="AC9" i="34"/>
  <c r="W9" i="34"/>
  <c r="AC34" i="35"/>
  <c r="W34" i="35"/>
  <c r="AB26" i="33"/>
  <c r="U30" i="35"/>
  <c r="H9" i="34"/>
  <c r="F34" i="35"/>
  <c r="H34" i="35"/>
  <c r="J36" i="35"/>
  <c r="F26" i="37"/>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53" i="3"/>
  <c r="AZ185" i="3"/>
  <c r="AZ207" i="3"/>
  <c r="AZ22" i="3"/>
  <c r="AZ54" i="3"/>
  <c r="AZ57" i="3"/>
  <c r="AZ70" i="3"/>
  <c r="AZ92" i="3"/>
  <c r="AZ103" i="3"/>
  <c r="M100" i="43"/>
  <c r="I100" i="43"/>
  <c r="E100" i="43"/>
  <c r="D100" i="43"/>
  <c r="C40" i="68"/>
  <c r="C21" i="68"/>
  <c r="T37" i="71"/>
  <c r="D37" i="71"/>
  <c r="T33" i="71"/>
  <c r="D33" i="71"/>
  <c r="C24" i="71"/>
  <c r="T25" i="71"/>
  <c r="D25" i="71"/>
  <c r="U25" i="71" s="1"/>
  <c r="D48" i="71"/>
  <c r="C49" i="71"/>
  <c r="D51" i="71"/>
  <c r="C52" i="71"/>
  <c r="Q63" i="71"/>
  <c r="Q62" i="71"/>
  <c r="X5" i="71"/>
  <c r="Y5" i="71"/>
  <c r="Z5" i="71" s="1"/>
  <c r="AA5" i="71"/>
  <c r="AB5" i="71"/>
  <c r="T41" i="71"/>
  <c r="D41" i="71"/>
  <c r="D59" i="71"/>
  <c r="C60" i="71"/>
  <c r="S18" i="36"/>
  <c r="C29" i="71"/>
  <c r="AA24" i="71"/>
  <c r="AA22" i="71"/>
  <c r="AB24" i="71"/>
  <c r="S25" i="71"/>
  <c r="X24" i="71"/>
  <c r="AB34" i="71"/>
  <c r="AA33" i="71"/>
  <c r="AB30" i="71"/>
  <c r="Y30" i="71"/>
  <c r="Z30" i="71" s="1"/>
  <c r="X29" i="71"/>
  <c r="X34" i="71"/>
  <c r="AA26" i="71"/>
  <c r="Y6" i="71"/>
  <c r="Z6" i="71" s="1"/>
  <c r="Y7" i="71"/>
  <c r="Z7" i="71" s="1"/>
  <c r="AA6" i="71"/>
  <c r="AA7" i="71"/>
  <c r="B64" i="71"/>
  <c r="AF10" i="43"/>
  <c r="AC12" i="43"/>
  <c r="AC10" i="43"/>
  <c r="AG12" i="43"/>
  <c r="AG10" i="43"/>
  <c r="X21" i="71"/>
  <c r="Y21" i="71"/>
  <c r="Z21" i="71" s="1"/>
  <c r="AA19" i="71"/>
  <c r="X19" i="71"/>
  <c r="AA18" i="71"/>
  <c r="X18" i="71"/>
  <c r="X14" i="71"/>
  <c r="Y14" i="71"/>
  <c r="Z14" i="71" s="1"/>
  <c r="AA14" i="71"/>
  <c r="AB15" i="71"/>
  <c r="Y11" i="71"/>
  <c r="Z11" i="71" s="1"/>
  <c r="X6" i="71"/>
  <c r="X7" i="71"/>
  <c r="AB7" i="71"/>
  <c r="AB6" i="71"/>
  <c r="Z12" i="43"/>
  <c r="Z10" i="43"/>
  <c r="AD12" i="43"/>
  <c r="AD10" i="43"/>
  <c r="AH12" i="43"/>
  <c r="AH10" i="43"/>
  <c r="Y18" i="71"/>
  <c r="Z18" i="71" s="1"/>
  <c r="AB18" i="71"/>
  <c r="Y15" i="71"/>
  <c r="Z15" i="71" s="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B20" i="31"/>
  <c r="B21" i="31" s="1"/>
  <c r="I1" i="73"/>
  <c r="B39" i="1" s="1"/>
  <c r="B12" i="70"/>
  <c r="B11" i="70"/>
  <c r="B13" i="70"/>
  <c r="D9" i="68"/>
  <c r="C36" i="68"/>
  <c r="F41" i="89"/>
  <c r="M29" i="89"/>
  <c r="F42" i="67"/>
  <c r="L47" i="67"/>
  <c r="F38" i="67"/>
  <c r="M22" i="67"/>
  <c r="F40" i="15"/>
  <c r="F26" i="15"/>
  <c r="L47" i="15"/>
  <c r="F9" i="67"/>
  <c r="F40" i="67"/>
  <c r="C76" i="67"/>
  <c r="F26" i="67"/>
  <c r="D5" i="73"/>
  <c r="F6" i="15"/>
  <c r="F43" i="89"/>
  <c r="F6" i="67"/>
  <c r="F37" i="67"/>
  <c r="J15" i="67"/>
  <c r="M27" i="67"/>
  <c r="M8" i="15"/>
  <c r="M28" i="15"/>
  <c r="C76" i="15"/>
  <c r="F13" i="15"/>
  <c r="F36" i="67"/>
  <c r="M24" i="67"/>
  <c r="D7" i="73"/>
  <c r="M6" i="67"/>
  <c r="F38" i="15"/>
  <c r="M9" i="15"/>
  <c r="M23" i="67"/>
  <c r="J15" i="15"/>
  <c r="F7" i="15"/>
  <c r="F9" i="15"/>
  <c r="M29" i="67"/>
  <c r="M26" i="15"/>
  <c r="L48" i="15"/>
  <c r="F7" i="89"/>
  <c r="M28" i="67"/>
  <c r="F42" i="15"/>
  <c r="M22" i="15"/>
  <c r="M6" i="15"/>
  <c r="F43" i="15"/>
  <c r="M27" i="15"/>
  <c r="M29" i="15"/>
  <c r="L48" i="67"/>
  <c r="F36" i="15"/>
  <c r="C16" i="89"/>
  <c r="F16" i="67"/>
  <c r="F13" i="67"/>
  <c r="M8" i="67"/>
  <c r="M9" i="67"/>
  <c r="M23" i="15"/>
  <c r="F37" i="15"/>
  <c r="F8" i="15"/>
  <c r="F43" i="67"/>
  <c r="M26" i="67"/>
  <c r="F8" i="67"/>
  <c r="F16" i="15"/>
  <c r="M24" i="15"/>
  <c r="F7" i="67"/>
  <c r="AH11" i="43" l="1"/>
  <c r="AH13" i="43" s="1"/>
  <c r="N104" i="46"/>
  <c r="L101" i="43"/>
  <c r="L105" i="43" s="1"/>
  <c r="AE11" i="43"/>
  <c r="AE13" i="43" s="1"/>
  <c r="J101" i="43"/>
  <c r="J109" i="43" s="1"/>
  <c r="AG11" i="43"/>
  <c r="AG13" i="43" s="1"/>
  <c r="F69" i="89"/>
  <c r="F101" i="43"/>
  <c r="F104" i="43" s="1"/>
  <c r="E22" i="43"/>
  <c r="I101" i="43"/>
  <c r="I106" i="43" s="1"/>
  <c r="Z11" i="43"/>
  <c r="Z13" i="43" s="1"/>
  <c r="E101" i="43"/>
  <c r="E102" i="43" s="1"/>
  <c r="AJ11" i="43"/>
  <c r="AJ13" i="43" s="1"/>
  <c r="J22" i="43"/>
  <c r="AF11" i="43"/>
  <c r="AF13" i="43" s="1"/>
  <c r="Z7" i="43"/>
  <c r="C6" i="89"/>
  <c r="C32" i="89" s="1"/>
  <c r="F50" i="89"/>
  <c r="C49" i="89" s="1"/>
  <c r="M7" i="89"/>
  <c r="J6" i="89" s="1"/>
  <c r="J18" i="89" s="1"/>
  <c r="F71" i="89"/>
  <c r="E8" i="6"/>
  <c r="F27" i="6" s="1"/>
  <c r="F31" i="6" s="1"/>
  <c r="F11" i="89"/>
  <c r="M11" i="89"/>
  <c r="J10" i="89" s="1"/>
  <c r="J5" i="89" s="1"/>
  <c r="L59" i="15"/>
  <c r="Q74" i="15" s="1"/>
  <c r="M59" i="15"/>
  <c r="N59" i="15"/>
  <c r="Q71" i="15"/>
  <c r="F50" i="15"/>
  <c r="M7" i="15"/>
  <c r="C27" i="15"/>
  <c r="F68" i="15"/>
  <c r="F51" i="67"/>
  <c r="F66" i="67"/>
  <c r="L59" i="67"/>
  <c r="Q61" i="67" s="1"/>
  <c r="N59" i="67"/>
  <c r="M59" i="67"/>
  <c r="F65" i="67"/>
  <c r="F70" i="67"/>
  <c r="F48" i="69"/>
  <c r="G85" i="21"/>
  <c r="J23" i="21"/>
  <c r="H23" i="21"/>
  <c r="F23" i="21"/>
  <c r="K101" i="43"/>
  <c r="K106" i="43" s="1"/>
  <c r="C101" i="43"/>
  <c r="C109" i="43" s="1"/>
  <c r="D101" i="43"/>
  <c r="D107" i="43" s="1"/>
  <c r="G22" i="43"/>
  <c r="AD11" i="43"/>
  <c r="AD13" i="43" s="1"/>
  <c r="AI11" i="43"/>
  <c r="AI13" i="43" s="1"/>
  <c r="AA11" i="43"/>
  <c r="AA13" i="43" s="1"/>
  <c r="N101" i="43"/>
  <c r="N109" i="43" s="1"/>
  <c r="H101" i="43"/>
  <c r="H104" i="43" s="1"/>
  <c r="AB11" i="43"/>
  <c r="AB13" i="43" s="1"/>
  <c r="Y11" i="43"/>
  <c r="Y13" i="43" s="1"/>
  <c r="M101" i="43"/>
  <c r="M103" i="43" s="1"/>
  <c r="AC11" i="43"/>
  <c r="AC13" i="43" s="1"/>
  <c r="G101" i="43"/>
  <c r="G107" i="43" s="1"/>
  <c r="C9" i="68"/>
  <c r="M7" i="67"/>
  <c r="J6" i="67" s="1"/>
  <c r="J18" i="67" s="1"/>
  <c r="F50" i="67"/>
  <c r="C49" i="67" s="1"/>
  <c r="F71" i="67"/>
  <c r="Q16" i="1"/>
  <c r="F27" i="69" s="1"/>
  <c r="F45" i="69" s="1"/>
  <c r="H16" i="1"/>
  <c r="AZ16" i="3"/>
  <c r="AZ15" i="3"/>
  <c r="F28" i="6"/>
  <c r="G30" i="6"/>
  <c r="G31" i="6" s="1"/>
  <c r="E29" i="6"/>
  <c r="K15" i="1" s="1"/>
  <c r="BL5" i="3"/>
  <c r="E13" i="6"/>
  <c r="E58" i="40" s="1"/>
  <c r="E14" i="6"/>
  <c r="E59" i="40" s="1"/>
  <c r="I115" i="43"/>
  <c r="J115" i="43" s="1"/>
  <c r="K115" i="43" s="1"/>
  <c r="L115" i="43" s="1"/>
  <c r="M115" i="43" s="1"/>
  <c r="F71" i="15"/>
  <c r="F66" i="15"/>
  <c r="F51" i="15"/>
  <c r="F68" i="67"/>
  <c r="F64" i="15"/>
  <c r="C6" i="15"/>
  <c r="C32" i="15" s="1"/>
  <c r="F64" i="67"/>
  <c r="C6" i="67"/>
  <c r="C32" i="67" s="1"/>
  <c r="J53" i="15"/>
  <c r="L56" i="15" s="1"/>
  <c r="I54" i="15"/>
  <c r="L58" i="15"/>
  <c r="Q73" i="15" s="1"/>
  <c r="J57" i="15"/>
  <c r="J55" i="15" s="1"/>
  <c r="J58" i="15" s="1"/>
  <c r="Q50" i="15" s="1"/>
  <c r="C27" i="67"/>
  <c r="Q71" i="67"/>
  <c r="J57" i="67"/>
  <c r="J55" i="67" s="1"/>
  <c r="J58" i="67" s="1"/>
  <c r="Q50" i="67" s="1"/>
  <c r="I54" i="67"/>
  <c r="L58" i="67"/>
  <c r="Q73" i="67" s="1"/>
  <c r="J53" i="67"/>
  <c r="Q52" i="67" s="1"/>
  <c r="L56" i="67"/>
  <c r="F65" i="15"/>
  <c r="F30" i="6"/>
  <c r="E28" i="6"/>
  <c r="E30" i="6" s="1"/>
  <c r="G5" i="3"/>
  <c r="B3" i="3" s="1"/>
  <c r="E486" i="3" s="1"/>
  <c r="AZ458" i="3"/>
  <c r="AZ443" i="3"/>
  <c r="AZ402" i="3"/>
  <c r="U12" i="33"/>
  <c r="AB12" i="33"/>
  <c r="J6" i="15"/>
  <c r="J18" i="15" s="1"/>
  <c r="J7" i="36"/>
  <c r="H7" i="34"/>
  <c r="F7" i="34"/>
  <c r="E16" i="71"/>
  <c r="E15" i="71" s="1"/>
  <c r="E14" i="71" s="1"/>
  <c r="E13" i="71" s="1"/>
  <c r="V17" i="71"/>
  <c r="AA25" i="37"/>
  <c r="S25" i="37"/>
  <c r="AB12" i="21"/>
  <c r="U12" i="21"/>
  <c r="B117" i="43"/>
  <c r="C117" i="43" s="1"/>
  <c r="B116" i="43"/>
  <c r="C116" i="43" s="1"/>
  <c r="C102" i="43"/>
  <c r="D118" i="43"/>
  <c r="E118" i="43" s="1"/>
  <c r="F118" i="43" s="1"/>
  <c r="I116" i="43"/>
  <c r="J116" i="43" s="1"/>
  <c r="K116" i="43" s="1"/>
  <c r="L116" i="43" s="1"/>
  <c r="M116" i="43" s="1"/>
  <c r="I118" i="43"/>
  <c r="J118" i="43" s="1"/>
  <c r="K118" i="43" s="1"/>
  <c r="L118" i="43" s="1"/>
  <c r="M118" i="43" s="1"/>
  <c r="D115" i="43"/>
  <c r="E115" i="43" s="1"/>
  <c r="F115" i="43" s="1"/>
  <c r="G115" i="43" s="1"/>
  <c r="H115" i="43" s="1"/>
  <c r="I117" i="43"/>
  <c r="J117" i="43" s="1"/>
  <c r="K117" i="43" s="1"/>
  <c r="L117" i="43" s="1"/>
  <c r="M117" i="43" s="1"/>
  <c r="D116" i="43"/>
  <c r="E116" i="43" s="1"/>
  <c r="F116" i="43" s="1"/>
  <c r="G116" i="43" s="1"/>
  <c r="H116" i="43" s="1"/>
  <c r="D117" i="43"/>
  <c r="E117" i="43" s="1"/>
  <c r="F117" i="43" s="1"/>
  <c r="G117" i="43" s="1"/>
  <c r="H117" i="43" s="1"/>
  <c r="AC17" i="21"/>
  <c r="W17" i="21"/>
  <c r="AA17" i="21"/>
  <c r="S17" i="21"/>
  <c r="AB9" i="21"/>
  <c r="U9" i="21"/>
  <c r="G16" i="1"/>
  <c r="F10" i="39" s="1"/>
  <c r="S10" i="39" s="1"/>
  <c r="E12" i="6"/>
  <c r="E62" i="39" s="1"/>
  <c r="E11" i="6"/>
  <c r="E56" i="40" s="1"/>
  <c r="E15" i="6"/>
  <c r="E60" i="40" s="1"/>
  <c r="E51" i="40"/>
  <c r="O8" i="1"/>
  <c r="P8" i="1" s="1"/>
  <c r="B115" i="43"/>
  <c r="C115" i="43" s="1"/>
  <c r="B118" i="43"/>
  <c r="C118" i="43" s="1"/>
  <c r="O6" i="1"/>
  <c r="O7" i="1"/>
  <c r="W19" i="34"/>
  <c r="AC19" i="34"/>
  <c r="AA17" i="34"/>
  <c r="S17" i="34"/>
  <c r="F60" i="82"/>
  <c r="F48" i="68"/>
  <c r="C30" i="68"/>
  <c r="C48" i="68"/>
  <c r="F60" i="81"/>
  <c r="F60" i="80"/>
  <c r="K1" i="73"/>
  <c r="M11" i="82"/>
  <c r="F11" i="82"/>
  <c r="M11" i="81"/>
  <c r="F11" i="81"/>
  <c r="M11" i="80"/>
  <c r="F11" i="80"/>
  <c r="L103" i="43"/>
  <c r="C107" i="43"/>
  <c r="BA5" i="3"/>
  <c r="AZ13" i="3"/>
  <c r="AZ5" i="3" s="1"/>
  <c r="F106" i="43"/>
  <c r="G17" i="43"/>
  <c r="C16" i="43" s="1"/>
  <c r="H7" i="36"/>
  <c r="F68" i="39"/>
  <c r="E70" i="39"/>
  <c r="C20" i="71"/>
  <c r="D21" i="71"/>
  <c r="U21" i="71" s="1"/>
  <c r="T21" i="71"/>
  <c r="T29" i="71"/>
  <c r="D29" i="71"/>
  <c r="C61" i="71"/>
  <c r="D60" i="71"/>
  <c r="D52" i="71"/>
  <c r="C53" i="71"/>
  <c r="T49" i="71"/>
  <c r="D49" i="71"/>
  <c r="C23" i="71"/>
  <c r="D23" i="71" s="1"/>
  <c r="D24" i="71"/>
  <c r="AA26" i="37"/>
  <c r="S26" i="37"/>
  <c r="AB34" i="35"/>
  <c r="U34" i="35"/>
  <c r="U9" i="34"/>
  <c r="AB9" i="34"/>
  <c r="K14" i="1"/>
  <c r="D10" i="52"/>
  <c r="D125" i="9"/>
  <c r="D11" i="52" s="1"/>
  <c r="H14" i="74"/>
  <c r="B7" i="74" s="1"/>
  <c r="B20" i="71"/>
  <c r="B19" i="71" s="1"/>
  <c r="B18" i="71" s="1"/>
  <c r="B17" i="71" s="1"/>
  <c r="S21" i="71"/>
  <c r="B63" i="71"/>
  <c r="N64" i="71"/>
  <c r="AC36" i="35"/>
  <c r="W36" i="35"/>
  <c r="AA34" i="35"/>
  <c r="S34" i="35"/>
  <c r="B34" i="72"/>
  <c r="D17" i="53"/>
  <c r="B36" i="72" s="1"/>
  <c r="L68" i="9"/>
  <c r="M68" i="9" s="1"/>
  <c r="L66" i="9"/>
  <c r="M66" i="9" s="1"/>
  <c r="L63" i="9"/>
  <c r="M63" i="9" s="1"/>
  <c r="M69" i="9" s="1"/>
  <c r="N69" i="9" s="1"/>
  <c r="L65" i="9"/>
  <c r="M65" i="9" s="1"/>
  <c r="L64" i="9"/>
  <c r="M64" i="9" s="1"/>
  <c r="L67" i="9"/>
  <c r="M67" i="9" s="1"/>
  <c r="F59" i="67"/>
  <c r="H7" i="37"/>
  <c r="AB7" i="37" s="1"/>
  <c r="T42" i="37" s="1"/>
  <c r="G42" i="37" s="1"/>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M17" i="67"/>
  <c r="M17" i="15"/>
  <c r="F59" i="15"/>
  <c r="P24" i="43"/>
  <c r="B66" i="40" s="1"/>
  <c r="P21" i="43"/>
  <c r="P25" i="43"/>
  <c r="P23" i="43"/>
  <c r="B71" i="39" s="1"/>
  <c r="M28" i="43"/>
  <c r="N28" i="43"/>
  <c r="O28" i="43"/>
  <c r="P28" i="43"/>
  <c r="M11" i="67"/>
  <c r="J10" i="67" s="1"/>
  <c r="F11" i="15"/>
  <c r="M11" i="15"/>
  <c r="F11" i="67"/>
  <c r="AE9" i="1"/>
  <c r="AE8" i="1"/>
  <c r="F41" i="67"/>
  <c r="F13" i="81"/>
  <c r="M8" i="80"/>
  <c r="M24" i="80"/>
  <c r="J15" i="82"/>
  <c r="F6" i="81"/>
  <c r="F9" i="80"/>
  <c r="F16" i="81"/>
  <c r="F13" i="82"/>
  <c r="F40" i="80"/>
  <c r="M28" i="82"/>
  <c r="M27" i="80"/>
  <c r="F41" i="82"/>
  <c r="L48" i="82"/>
  <c r="F26" i="81"/>
  <c r="M6" i="80"/>
  <c r="J15" i="81"/>
  <c r="F7" i="82"/>
  <c r="F40" i="81"/>
  <c r="M23" i="81"/>
  <c r="L47" i="80"/>
  <c r="F9" i="82"/>
  <c r="F26" i="82"/>
  <c r="M23" i="80"/>
  <c r="F8" i="81"/>
  <c r="M22" i="80"/>
  <c r="M9" i="82"/>
  <c r="F7" i="81"/>
  <c r="F43" i="80"/>
  <c r="F16" i="82"/>
  <c r="M9" i="80"/>
  <c r="M26" i="81"/>
  <c r="C76" i="82"/>
  <c r="F26" i="80"/>
  <c r="L48" i="80"/>
  <c r="F36" i="82"/>
  <c r="M9" i="81"/>
  <c r="L47" i="81"/>
  <c r="C76" i="80"/>
  <c r="F38" i="82"/>
  <c r="F38" i="81"/>
  <c r="F42" i="80"/>
  <c r="M8" i="81"/>
  <c r="C16" i="15"/>
  <c r="F38" i="80"/>
  <c r="M27" i="82"/>
  <c r="F43" i="81"/>
  <c r="L48" i="81"/>
  <c r="F16" i="80"/>
  <c r="M6" i="82"/>
  <c r="F8" i="82"/>
  <c r="F36" i="80"/>
  <c r="M24" i="81"/>
  <c r="M23" i="82"/>
  <c r="F6" i="82"/>
  <c r="M29" i="81"/>
  <c r="F42" i="81"/>
  <c r="M28" i="80"/>
  <c r="M26" i="82"/>
  <c r="F36" i="81"/>
  <c r="F37" i="80"/>
  <c r="F42" i="82"/>
  <c r="F8" i="80"/>
  <c r="M29" i="80"/>
  <c r="F37" i="82"/>
  <c r="F41" i="81"/>
  <c r="L47" i="82"/>
  <c r="C16" i="67"/>
  <c r="M22" i="82"/>
  <c r="M22" i="81"/>
  <c r="M26" i="80"/>
  <c r="F41" i="15"/>
  <c r="M24" i="82"/>
  <c r="F9" i="81"/>
  <c r="M29" i="82"/>
  <c r="F13" i="80"/>
  <c r="M27" i="81"/>
  <c r="F37" i="81"/>
  <c r="M6" i="81"/>
  <c r="J15" i="80"/>
  <c r="M8" i="82"/>
  <c r="F40" i="82"/>
  <c r="C76" i="81"/>
  <c r="F43" i="82"/>
  <c r="M28" i="81"/>
  <c r="F7" i="80"/>
  <c r="G1" i="73"/>
  <c r="J102" i="43" l="1"/>
  <c r="L102" i="43"/>
  <c r="L107" i="43"/>
  <c r="J103" i="43"/>
  <c r="C106" i="43"/>
  <c r="F102" i="43"/>
  <c r="I103" i="43"/>
  <c r="F109" i="43"/>
  <c r="E109" i="43"/>
  <c r="I107" i="43"/>
  <c r="E105" i="43"/>
  <c r="E63" i="39"/>
  <c r="K103" i="43"/>
  <c r="D22" i="43"/>
  <c r="L104" i="43"/>
  <c r="L109" i="43"/>
  <c r="J104" i="43"/>
  <c r="N102" i="43"/>
  <c r="J106" i="43"/>
  <c r="J105" i="43"/>
  <c r="L106" i="43"/>
  <c r="E56" i="39"/>
  <c r="J107" i="43"/>
  <c r="M102" i="43"/>
  <c r="F27" i="68"/>
  <c r="F45" i="68" s="1"/>
  <c r="F105" i="43"/>
  <c r="F107" i="43"/>
  <c r="F103" i="43"/>
  <c r="I102" i="43"/>
  <c r="I109" i="43"/>
  <c r="E106" i="43"/>
  <c r="E104" i="43"/>
  <c r="E103" i="43"/>
  <c r="I104" i="43"/>
  <c r="I105" i="43"/>
  <c r="E107" i="43"/>
  <c r="D105" i="43"/>
  <c r="K109" i="43"/>
  <c r="H102" i="43"/>
  <c r="F27" i="11"/>
  <c r="C29" i="11" s="1"/>
  <c r="D27" i="11" s="1"/>
  <c r="E322" i="3"/>
  <c r="E64" i="39"/>
  <c r="C104" i="43"/>
  <c r="N104" i="43"/>
  <c r="N107" i="43"/>
  <c r="E319" i="3"/>
  <c r="N103" i="43"/>
  <c r="M109" i="43"/>
  <c r="G109" i="43"/>
  <c r="G105" i="43"/>
  <c r="E27" i="6"/>
  <c r="K21" i="6" s="1"/>
  <c r="M21" i="6" s="1"/>
  <c r="I21" i="6" s="1"/>
  <c r="S21" i="6" s="1"/>
  <c r="C103" i="43"/>
  <c r="N105" i="43"/>
  <c r="N106" i="43"/>
  <c r="C105" i="43"/>
  <c r="G106" i="43"/>
  <c r="M104" i="43"/>
  <c r="G102" i="43"/>
  <c r="M107" i="43"/>
  <c r="Q61" i="15"/>
  <c r="Q74" i="67"/>
  <c r="J26" i="89"/>
  <c r="J29" i="89" s="1"/>
  <c r="J24" i="89"/>
  <c r="C53" i="89"/>
  <c r="C48" i="89" s="1"/>
  <c r="C10" i="89"/>
  <c r="C5" i="89" s="1"/>
  <c r="C47" i="11"/>
  <c r="D45" i="11" s="1"/>
  <c r="F28" i="12"/>
  <c r="C29" i="12" s="1"/>
  <c r="D28" i="12" s="1"/>
  <c r="C49" i="15"/>
  <c r="F69" i="67"/>
  <c r="S23" i="21"/>
  <c r="AA23" i="21"/>
  <c r="AC23" i="21"/>
  <c r="W23" i="21"/>
  <c r="U23" i="21"/>
  <c r="AB23" i="21"/>
  <c r="D109" i="43"/>
  <c r="K105" i="43"/>
  <c r="H105" i="43"/>
  <c r="D103" i="43"/>
  <c r="D104" i="43"/>
  <c r="K102" i="43"/>
  <c r="H106" i="43"/>
  <c r="H107" i="43"/>
  <c r="H103" i="43"/>
  <c r="H109" i="43"/>
  <c r="K104" i="43"/>
  <c r="D106" i="43"/>
  <c r="C29" i="69"/>
  <c r="D27" i="69" s="1"/>
  <c r="C47" i="69"/>
  <c r="D45" i="69" s="1"/>
  <c r="D102" i="43"/>
  <c r="K107" i="43"/>
  <c r="G104" i="43"/>
  <c r="G103" i="43"/>
  <c r="M106" i="43"/>
  <c r="M105" i="43"/>
  <c r="S4" i="43"/>
  <c r="S6" i="43"/>
  <c r="E36" i="3"/>
  <c r="E154" i="3"/>
  <c r="E362" i="3"/>
  <c r="E59" i="3"/>
  <c r="E49" i="3"/>
  <c r="E190" i="3"/>
  <c r="E471" i="3"/>
  <c r="E354" i="3"/>
  <c r="E587" i="3"/>
  <c r="E326" i="3"/>
  <c r="E20" i="3"/>
  <c r="E522" i="3"/>
  <c r="E409" i="3"/>
  <c r="E186" i="3"/>
  <c r="E373" i="3"/>
  <c r="E284" i="3"/>
  <c r="E138" i="3"/>
  <c r="E349" i="3"/>
  <c r="E124" i="3"/>
  <c r="E370" i="3"/>
  <c r="E265" i="3"/>
  <c r="E289" i="3"/>
  <c r="E102" i="3"/>
  <c r="E235" i="3"/>
  <c r="E79" i="3"/>
  <c r="E74" i="3"/>
  <c r="E316" i="3"/>
  <c r="E27" i="3"/>
  <c r="E438" i="3"/>
  <c r="E222" i="3"/>
  <c r="E51" i="3"/>
  <c r="E48" i="3"/>
  <c r="E209" i="3"/>
  <c r="E446" i="3"/>
  <c r="E544" i="3"/>
  <c r="E152" i="3"/>
  <c r="E137" i="3"/>
  <c r="E490" i="3"/>
  <c r="E241" i="3"/>
  <c r="E479" i="3"/>
  <c r="AQ6" i="3"/>
  <c r="E356" i="3"/>
  <c r="E111" i="3"/>
  <c r="E582" i="3"/>
  <c r="W6" i="3"/>
  <c r="E279" i="3"/>
  <c r="E433" i="3"/>
  <c r="E216" i="3"/>
  <c r="E552" i="3"/>
  <c r="E488" i="3"/>
  <c r="E182" i="3"/>
  <c r="E107" i="3"/>
  <c r="E351" i="3"/>
  <c r="E150" i="3"/>
  <c r="E72" i="3"/>
  <c r="E498" i="3"/>
  <c r="AO6" i="3"/>
  <c r="E343" i="3"/>
  <c r="E459" i="3"/>
  <c r="E321" i="3"/>
  <c r="AJ6" i="3"/>
  <c r="F10" i="40"/>
  <c r="AA10" i="40" s="1"/>
  <c r="E65" i="39"/>
  <c r="E57" i="40"/>
  <c r="E158" i="3"/>
  <c r="E232" i="3"/>
  <c r="E524" i="3"/>
  <c r="E176" i="3"/>
  <c r="E364" i="3"/>
  <c r="E123" i="3"/>
  <c r="E287" i="3"/>
  <c r="E34" i="3"/>
  <c r="E383" i="3"/>
  <c r="E234" i="3"/>
  <c r="E78" i="3"/>
  <c r="E15" i="3"/>
  <c r="E32" i="3"/>
  <c r="E580" i="3"/>
  <c r="E394" i="3"/>
  <c r="E295" i="3"/>
  <c r="E162" i="3"/>
  <c r="E28" i="3"/>
  <c r="E562" i="3"/>
  <c r="E82" i="3"/>
  <c r="E323" i="3"/>
  <c r="E179" i="3"/>
  <c r="E19" i="3"/>
  <c r="Y6" i="3"/>
  <c r="E127" i="3"/>
  <c r="E66" i="3"/>
  <c r="E307" i="3"/>
  <c r="E163" i="3"/>
  <c r="E98" i="3"/>
  <c r="E462" i="3"/>
  <c r="E76" i="3"/>
  <c r="E389" i="3"/>
  <c r="E363" i="3"/>
  <c r="E192" i="3"/>
  <c r="E37" i="3"/>
  <c r="E468" i="3"/>
  <c r="E406" i="3"/>
  <c r="E299" i="3"/>
  <c r="E18" i="3"/>
  <c r="E31" i="3"/>
  <c r="E291" i="3"/>
  <c r="E447" i="3"/>
  <c r="E515" i="3"/>
  <c r="E231" i="3"/>
  <c r="E530" i="3"/>
  <c r="E257" i="3"/>
  <c r="E208" i="3"/>
  <c r="E168" i="3"/>
  <c r="E54" i="3"/>
  <c r="E475" i="3"/>
  <c r="E483" i="3"/>
  <c r="AH6" i="3"/>
  <c r="E422" i="3"/>
  <c r="E327" i="3"/>
  <c r="E270" i="3"/>
  <c r="E460" i="3"/>
  <c r="E566" i="3"/>
  <c r="E398" i="3"/>
  <c r="E164" i="3"/>
  <c r="E246" i="3"/>
  <c r="E149" i="3"/>
  <c r="E16" i="6"/>
  <c r="E61" i="39"/>
  <c r="E553" i="3"/>
  <c r="V6" i="3"/>
  <c r="E532" i="3"/>
  <c r="E181" i="3"/>
  <c r="E45" i="3"/>
  <c r="E574" i="3"/>
  <c r="E239" i="3"/>
  <c r="E434" i="3"/>
  <c r="C23" i="43"/>
  <c r="C21" i="43" s="1"/>
  <c r="S2" i="43"/>
  <c r="E125" i="3"/>
  <c r="E165" i="3"/>
  <c r="E215" i="3"/>
  <c r="E105" i="3"/>
  <c r="E543" i="3"/>
  <c r="E237" i="3"/>
  <c r="E565" i="3"/>
  <c r="E17" i="3"/>
  <c r="O6" i="3"/>
  <c r="E359" i="3"/>
  <c r="E97" i="3"/>
  <c r="E511" i="3"/>
  <c r="AK6" i="3"/>
  <c r="E306" i="3"/>
  <c r="E262" i="3"/>
  <c r="E236" i="3"/>
  <c r="E89" i="3"/>
  <c r="E224" i="3"/>
  <c r="E223" i="3"/>
  <c r="E191" i="3"/>
  <c r="E423" i="3"/>
  <c r="E385" i="3"/>
  <c r="E569" i="3"/>
  <c r="E260" i="3"/>
  <c r="E469" i="3"/>
  <c r="E77" i="3"/>
  <c r="E539" i="3"/>
  <c r="E481" i="3"/>
  <c r="E437" i="3"/>
  <c r="E560" i="3"/>
  <c r="Q6" i="3"/>
  <c r="K6" i="3"/>
  <c r="E330" i="3"/>
  <c r="E141" i="3"/>
  <c r="E212" i="3"/>
  <c r="E221" i="3"/>
  <c r="E130" i="3"/>
  <c r="E294" i="3"/>
  <c r="E407" i="3"/>
  <c r="E551" i="3"/>
  <c r="E358" i="3"/>
  <c r="E205" i="3"/>
  <c r="E567" i="3"/>
  <c r="E268" i="3"/>
  <c r="E510" i="3"/>
  <c r="E329" i="3"/>
  <c r="E282" i="3"/>
  <c r="E366" i="3"/>
  <c r="E53" i="3"/>
  <c r="E501" i="3"/>
  <c r="E426" i="3"/>
  <c r="E583" i="3"/>
  <c r="E336" i="3"/>
  <c r="E293" i="3"/>
  <c r="S6" i="3"/>
  <c r="E506" i="3"/>
  <c r="E338" i="3"/>
  <c r="E298" i="3"/>
  <c r="E61" i="3"/>
  <c r="E117" i="3"/>
  <c r="E204" i="3"/>
  <c r="E286" i="3"/>
  <c r="E575" i="3"/>
  <c r="E499" i="3"/>
  <c r="R6" i="3"/>
  <c r="E502" i="3"/>
  <c r="E442" i="3"/>
  <c r="E466" i="3"/>
  <c r="E541" i="3"/>
  <c r="E414" i="3"/>
  <c r="E400" i="3"/>
  <c r="E432" i="3"/>
  <c r="E443" i="3"/>
  <c r="E477" i="3"/>
  <c r="E345" i="3"/>
  <c r="E367" i="3"/>
  <c r="E558" i="3"/>
  <c r="E505" i="3"/>
  <c r="E557" i="3"/>
  <c r="E547" i="3"/>
  <c r="E581" i="3"/>
  <c r="AS6" i="3"/>
  <c r="E531" i="3"/>
  <c r="E403" i="3"/>
  <c r="E444" i="3"/>
  <c r="E476" i="3"/>
  <c r="M6" i="3"/>
  <c r="E493" i="3"/>
  <c r="E304" i="3"/>
  <c r="E302" i="3"/>
  <c r="E285" i="3"/>
  <c r="E16" i="3"/>
  <c r="E296" i="3"/>
  <c r="E269" i="3"/>
  <c r="E193" i="3"/>
  <c r="E173" i="3"/>
  <c r="E263" i="3"/>
  <c r="E229" i="3"/>
  <c r="E415" i="3"/>
  <c r="AB6" i="3"/>
  <c r="E472" i="3"/>
  <c r="E573" i="3"/>
  <c r="E519" i="3"/>
  <c r="E167" i="3"/>
  <c r="E254" i="3"/>
  <c r="E320" i="3"/>
  <c r="E559" i="3"/>
  <c r="E352" i="3"/>
  <c r="E217" i="3"/>
  <c r="N6" i="3"/>
  <c r="E153" i="3"/>
  <c r="X6" i="3"/>
  <c r="E390" i="3"/>
  <c r="E418" i="3"/>
  <c r="E169" i="3"/>
  <c r="E252" i="3"/>
  <c r="E312" i="3"/>
  <c r="E542" i="3"/>
  <c r="E421" i="3"/>
  <c r="E487" i="3"/>
  <c r="E430" i="3"/>
  <c r="E449" i="3"/>
  <c r="E255" i="3"/>
  <c r="I3" i="6"/>
  <c r="AP6" i="3"/>
  <c r="E554" i="3"/>
  <c r="E517" i="3"/>
  <c r="E435" i="3"/>
  <c r="E491" i="3"/>
  <c r="E175" i="3"/>
  <c r="E508" i="3"/>
  <c r="E280" i="3"/>
  <c r="AR6" i="3"/>
  <c r="E380" i="3"/>
  <c r="E135" i="3"/>
  <c r="E145" i="3"/>
  <c r="E576" i="3"/>
  <c r="AG6" i="3"/>
  <c r="E448" i="3"/>
  <c r="P6" i="3"/>
  <c r="E408" i="3"/>
  <c r="E451" i="3"/>
  <c r="E360" i="3"/>
  <c r="E556" i="3"/>
  <c r="E497" i="3"/>
  <c r="E13"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05" i="3"/>
  <c r="E399" i="3"/>
  <c r="E533" i="3"/>
  <c r="E439" i="3"/>
  <c r="E185" i="3"/>
  <c r="E271" i="3"/>
  <c r="E379" i="3"/>
  <c r="U6" i="3"/>
  <c r="E411" i="3"/>
  <c r="E457" i="3"/>
  <c r="E571" i="3"/>
  <c r="E546" i="3"/>
  <c r="E71" i="3"/>
  <c r="E121" i="3"/>
  <c r="E166" i="3"/>
  <c r="E210" i="3"/>
  <c r="E331" i="3"/>
  <c r="E333" i="3"/>
  <c r="E372" i="3"/>
  <c r="L6" i="3"/>
  <c r="E60" i="3"/>
  <c r="E43" i="3"/>
  <c r="E428" i="3"/>
  <c r="E412" i="3"/>
  <c r="E96" i="3"/>
  <c r="E170" i="3"/>
  <c r="E174" i="3"/>
  <c r="E219" i="3"/>
  <c r="E339" i="3"/>
  <c r="E392" i="3"/>
  <c r="E35" i="3"/>
  <c r="E478" i="3"/>
  <c r="E424" i="3"/>
  <c r="E344" i="3"/>
  <c r="AE6" i="3"/>
  <c r="E429" i="3"/>
  <c r="E520" i="3"/>
  <c r="E436" i="3"/>
  <c r="E39" i="3"/>
  <c r="E90" i="3"/>
  <c r="E57" i="3"/>
  <c r="E131" i="3"/>
  <c r="E187" i="3"/>
  <c r="E155" i="3"/>
  <c r="E240" i="3"/>
  <c r="E297" i="3"/>
  <c r="E259" i="3"/>
  <c r="E348"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Q60" i="67"/>
  <c r="AA10" i="39"/>
  <c r="H10" i="40"/>
  <c r="AB10" i="40" s="1"/>
  <c r="AY6" i="3"/>
  <c r="AY196" i="3" s="1"/>
  <c r="S3" i="43"/>
  <c r="S5" i="43"/>
  <c r="S7" i="43"/>
  <c r="J10" i="40"/>
  <c r="E83" i="3"/>
  <c r="E308" i="3"/>
  <c r="E80" i="3"/>
  <c r="E251" i="3"/>
  <c r="E206" i="3"/>
  <c r="E101" i="3"/>
  <c r="E365" i="3"/>
  <c r="E218" i="3"/>
  <c r="E62" i="3"/>
  <c r="E50" i="3"/>
  <c r="E340" i="3"/>
  <c r="E147" i="3"/>
  <c r="E112" i="3"/>
  <c r="E22" i="3"/>
  <c r="E113" i="3"/>
  <c r="AF6" i="3"/>
  <c r="E52" i="3"/>
  <c r="E342" i="3"/>
  <c r="E324" i="3"/>
  <c r="E275" i="3"/>
  <c r="E194" i="3"/>
  <c r="E129" i="3"/>
  <c r="E38" i="3"/>
  <c r="E455" i="3"/>
  <c r="E473" i="3"/>
  <c r="E75" i="3"/>
  <c r="E93" i="3"/>
  <c r="E42" i="3"/>
  <c r="E14" i="3"/>
  <c r="E318" i="3"/>
  <c r="E357" i="3"/>
  <c r="E273" i="3"/>
  <c r="E211" i="3"/>
  <c r="E126" i="3"/>
  <c r="E92" i="3"/>
  <c r="E88" i="3"/>
  <c r="E404" i="3"/>
  <c r="E537" i="3"/>
  <c r="E288" i="3"/>
  <c r="E21" i="3"/>
  <c r="E513" i="3"/>
  <c r="E309" i="3"/>
  <c r="E283" i="3"/>
  <c r="E264" i="3"/>
  <c r="E118" i="3"/>
  <c r="E81" i="3"/>
  <c r="E63" i="3"/>
  <c r="E68" i="3"/>
  <c r="E341" i="3"/>
  <c r="E250" i="3"/>
  <c r="E87" i="3"/>
  <c r="E24" i="3"/>
  <c r="E584" i="3"/>
  <c r="E386" i="3"/>
  <c r="E266" i="3"/>
  <c r="E248" i="3"/>
  <c r="E195" i="3"/>
  <c r="E65" i="3"/>
  <c r="E47" i="3"/>
  <c r="E521" i="3"/>
  <c r="E540" i="3"/>
  <c r="E110" i="3"/>
  <c r="E58" i="3"/>
  <c r="E504" i="3"/>
  <c r="E375" i="3"/>
  <c r="E378" i="3"/>
  <c r="E292" i="3"/>
  <c r="E258" i="3"/>
  <c r="E132" i="3"/>
  <c r="E95" i="3"/>
  <c r="E56" i="3"/>
  <c r="E417" i="3"/>
  <c r="E577" i="3"/>
  <c r="E465" i="3"/>
  <c r="E86" i="3"/>
  <c r="E325" i="3"/>
  <c r="E220" i="3"/>
  <c r="E100" i="3"/>
  <c r="E482" i="3"/>
  <c r="E94" i="3"/>
  <c r="AL6" i="3"/>
  <c r="E391" i="3"/>
  <c r="E272" i="3"/>
  <c r="E70" i="3"/>
  <c r="E450" i="3"/>
  <c r="E548" i="3"/>
  <c r="E585" i="3"/>
  <c r="E161" i="3"/>
  <c r="E561" i="3"/>
  <c r="E347" i="3"/>
  <c r="E315" i="3"/>
  <c r="E274" i="3"/>
  <c r="E214" i="3"/>
  <c r="E256" i="3"/>
  <c r="E171" i="3"/>
  <c r="E203" i="3"/>
  <c r="E146" i="3"/>
  <c r="E73" i="3"/>
  <c r="E106" i="3"/>
  <c r="E55" i="3"/>
  <c r="E454" i="3"/>
  <c r="E496" i="3"/>
  <c r="E419" i="3"/>
  <c r="J6" i="3"/>
  <c r="E376" i="3"/>
  <c r="E440" i="3"/>
  <c r="E485" i="3"/>
  <c r="Z6" i="3"/>
  <c r="E207" i="3"/>
  <c r="E538" i="3"/>
  <c r="AA6" i="3"/>
  <c r="E489" i="3"/>
  <c r="E413" i="3"/>
  <c r="E500" i="3"/>
  <c r="E374" i="3"/>
  <c r="E416" i="3"/>
  <c r="E464" i="3"/>
  <c r="AD6" i="3"/>
  <c r="E290" i="3"/>
  <c r="E523" i="3"/>
  <c r="E328" i="3"/>
  <c r="E545" i="3"/>
  <c r="E128" i="3"/>
  <c r="E230" i="3"/>
  <c r="E313" i="3"/>
  <c r="E529" i="3"/>
  <c r="E534" i="3"/>
  <c r="AI6" i="3"/>
  <c r="E136" i="3"/>
  <c r="E314" i="3"/>
  <c r="E213" i="3"/>
  <c r="E180" i="3"/>
  <c r="F1" i="67"/>
  <c r="Q60" i="15"/>
  <c r="F1" i="15"/>
  <c r="J5" i="67"/>
  <c r="J26" i="67" s="1"/>
  <c r="J29" i="67" s="1"/>
  <c r="J10" i="15"/>
  <c r="J5" i="15" s="1"/>
  <c r="J26" i="15" s="1"/>
  <c r="J29" i="15" s="1"/>
  <c r="Q52" i="15"/>
  <c r="M7" i="82"/>
  <c r="J6" i="82" s="1"/>
  <c r="J18" i="82" s="1"/>
  <c r="F50" i="82"/>
  <c r="C6" i="82"/>
  <c r="C32" i="82" s="1"/>
  <c r="F66" i="82"/>
  <c r="F51" i="82"/>
  <c r="J53" i="82"/>
  <c r="J57" i="82"/>
  <c r="J55" i="82" s="1"/>
  <c r="J58" i="82" s="1"/>
  <c r="Q50" i="82" s="1"/>
  <c r="L56" i="82"/>
  <c r="I54" i="82"/>
  <c r="L59" i="82"/>
  <c r="N59" i="82"/>
  <c r="L58" i="82"/>
  <c r="M59" i="82"/>
  <c r="F69" i="81"/>
  <c r="F71" i="81"/>
  <c r="F64" i="81"/>
  <c r="F66" i="81"/>
  <c r="F65" i="81"/>
  <c r="C6" i="81"/>
  <c r="C32" i="81" s="1"/>
  <c r="Q71" i="81"/>
  <c r="F68" i="81"/>
  <c r="F71" i="80"/>
  <c r="F65" i="80"/>
  <c r="F64" i="80"/>
  <c r="F68" i="80"/>
  <c r="Q71" i="80"/>
  <c r="F71" i="82"/>
  <c r="C27" i="82"/>
  <c r="F65" i="82"/>
  <c r="F64" i="82"/>
  <c r="F68" i="82"/>
  <c r="Q71" i="82"/>
  <c r="F50" i="81"/>
  <c r="M7" i="81"/>
  <c r="J6" i="81" s="1"/>
  <c r="J18" i="81" s="1"/>
  <c r="C27" i="81"/>
  <c r="J53" i="81"/>
  <c r="I54" i="81"/>
  <c r="J57" i="81"/>
  <c r="J55" i="81" s="1"/>
  <c r="J58" i="81" s="1"/>
  <c r="Q50" i="81" s="1"/>
  <c r="L56" i="81"/>
  <c r="F51" i="81"/>
  <c r="L59" i="81"/>
  <c r="N59" i="81"/>
  <c r="L58" i="81"/>
  <c r="M59" i="81"/>
  <c r="M7" i="80"/>
  <c r="J6" i="80" s="1"/>
  <c r="J18" i="80" s="1"/>
  <c r="F50" i="80"/>
  <c r="C27" i="80"/>
  <c r="F66" i="80"/>
  <c r="F51" i="80"/>
  <c r="L59" i="80"/>
  <c r="N59" i="80"/>
  <c r="L58" i="80"/>
  <c r="M59" i="80"/>
  <c r="J53" i="80"/>
  <c r="J57" i="80"/>
  <c r="J55" i="80" s="1"/>
  <c r="J58" i="80" s="1"/>
  <c r="Q50" i="80" s="1"/>
  <c r="L56" i="80"/>
  <c r="I54" i="80"/>
  <c r="E458" i="3"/>
  <c r="E474" i="3"/>
  <c r="E527" i="3"/>
  <c r="E311" i="3"/>
  <c r="E189" i="3"/>
  <c r="E369" i="3"/>
  <c r="E405" i="3"/>
  <c r="E114" i="3"/>
  <c r="E395" i="3"/>
  <c r="E550" i="3"/>
  <c r="E516" i="3"/>
  <c r="E396" i="3"/>
  <c r="E151" i="3"/>
  <c r="E518" i="3"/>
  <c r="E578" i="3"/>
  <c r="E382" i="3"/>
  <c r="E245" i="3"/>
  <c r="E188" i="3"/>
  <c r="E140" i="3"/>
  <c r="E197" i="3"/>
  <c r="E177" i="3"/>
  <c r="E277" i="3"/>
  <c r="E120" i="3"/>
  <c r="E122" i="3"/>
  <c r="E148" i="3"/>
  <c r="E156" i="3"/>
  <c r="E196" i="3"/>
  <c r="E244" i="3"/>
  <c r="E368" i="3"/>
  <c r="E453" i="3"/>
  <c r="E549" i="3"/>
  <c r="E536" i="3"/>
  <c r="I6" i="3"/>
  <c r="E568" i="3"/>
  <c r="E397" i="3"/>
  <c r="E143" i="3"/>
  <c r="E337" i="3"/>
  <c r="E410" i="3"/>
  <c r="E555" i="3"/>
  <c r="E388" i="3"/>
  <c r="E503" i="3"/>
  <c r="E361" i="3"/>
  <c r="E183" i="3"/>
  <c r="E528" i="3"/>
  <c r="E261" i="3"/>
  <c r="E507" i="3"/>
  <c r="E427" i="3"/>
  <c r="E564" i="3"/>
  <c r="E393" i="3"/>
  <c r="E253" i="3"/>
  <c r="E134" i="3"/>
  <c r="E387" i="3"/>
  <c r="E514" i="3"/>
  <c r="E461" i="3"/>
  <c r="E12" i="71"/>
  <c r="E11" i="71" s="1"/>
  <c r="E10" i="71" s="1"/>
  <c r="E9" i="71" s="1"/>
  <c r="V13" i="71"/>
  <c r="V49" i="34"/>
  <c r="I49" i="34" s="1"/>
  <c r="T49" i="34"/>
  <c r="G49" i="34" s="1"/>
  <c r="AT6" i="3"/>
  <c r="E526" i="3"/>
  <c r="E570" i="3"/>
  <c r="E91" i="3"/>
  <c r="E525" i="3"/>
  <c r="E456" i="3"/>
  <c r="E278" i="3"/>
  <c r="E172" i="3"/>
  <c r="E535" i="3"/>
  <c r="E579" i="3"/>
  <c r="E247" i="3"/>
  <c r="E353" i="3"/>
  <c r="AN6" i="3"/>
  <c r="E402" i="3"/>
  <c r="E303" i="3"/>
  <c r="E159" i="3"/>
  <c r="E228" i="3"/>
  <c r="E85" i="3"/>
  <c r="E116" i="3"/>
  <c r="E227" i="3"/>
  <c r="E335" i="3"/>
  <c r="E199" i="3"/>
  <c r="T6" i="3"/>
  <c r="E512" i="3"/>
  <c r="E69" i="3"/>
  <c r="E563" i="3"/>
  <c r="E445" i="3"/>
  <c r="E509" i="3"/>
  <c r="E431" i="3"/>
  <c r="E201" i="3"/>
  <c r="E495" i="3"/>
  <c r="E586" i="3"/>
  <c r="E350" i="3"/>
  <c r="E301" i="3"/>
  <c r="E99" i="3"/>
  <c r="E157" i="3"/>
  <c r="E238" i="3"/>
  <c r="E133" i="3"/>
  <c r="J10" i="39"/>
  <c r="W10" i="39" s="1"/>
  <c r="H10" i="39"/>
  <c r="U10" i="39" s="1"/>
  <c r="D113" i="43"/>
  <c r="F69" i="82"/>
  <c r="F69" i="15"/>
  <c r="B40" i="1"/>
  <c r="C10" i="82"/>
  <c r="C53" i="82"/>
  <c r="C53" i="81"/>
  <c r="C53" i="80"/>
  <c r="S8" i="1"/>
  <c r="K20" i="6"/>
  <c r="K22" i="6"/>
  <c r="K24" i="6"/>
  <c r="M24" i="6" s="1"/>
  <c r="I24" i="6" s="1"/>
  <c r="S24" i="6" s="1"/>
  <c r="K25" i="6"/>
  <c r="M25" i="6" s="1"/>
  <c r="I25" i="6" s="1"/>
  <c r="S25" i="6" s="1"/>
  <c r="E3" i="6"/>
  <c r="D3" i="87" s="1"/>
  <c r="B2" i="87" s="1"/>
  <c r="B3" i="87" s="1"/>
  <c r="E66" i="39"/>
  <c r="D5" i="43"/>
  <c r="C5" i="43"/>
  <c r="F70" i="39"/>
  <c r="G68" i="39"/>
  <c r="N62" i="71"/>
  <c r="N63" i="71"/>
  <c r="B16" i="71"/>
  <c r="B15" i="71" s="1"/>
  <c r="B14" i="71" s="1"/>
  <c r="B13" i="71" s="1"/>
  <c r="S17" i="71"/>
  <c r="T61" i="71"/>
  <c r="D61" i="71"/>
  <c r="M14" i="1"/>
  <c r="K16" i="1"/>
  <c r="C34" i="69"/>
  <c r="T53" i="71"/>
  <c r="D53" i="71"/>
  <c r="C19" i="71"/>
  <c r="D20" i="71"/>
  <c r="AY363" i="3"/>
  <c r="AY291" i="3"/>
  <c r="AY572" i="3"/>
  <c r="AY321" i="3"/>
  <c r="AY110" i="3"/>
  <c r="AY500" i="3"/>
  <c r="AY143" i="3"/>
  <c r="AY443" i="3"/>
  <c r="AY207" i="3"/>
  <c r="AY168" i="3"/>
  <c r="AY409" i="3"/>
  <c r="AY463" i="3"/>
  <c r="AY61" i="3"/>
  <c r="AY263" i="3"/>
  <c r="AY197" i="3"/>
  <c r="AY472" i="3"/>
  <c r="AY584" i="3"/>
  <c r="AY223" i="3"/>
  <c r="AY499" i="3"/>
  <c r="AY167" i="3"/>
  <c r="AY560" i="3"/>
  <c r="AY391" i="3"/>
  <c r="AY33" i="3"/>
  <c r="AY392" i="3"/>
  <c r="AY242" i="3"/>
  <c r="AY585" i="3"/>
  <c r="AY129" i="3"/>
  <c r="AY439" i="3"/>
  <c r="AY135" i="3"/>
  <c r="AY91" i="3"/>
  <c r="AY306" i="3"/>
  <c r="AY490"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C16" i="82"/>
  <c r="C16" i="81"/>
  <c r="C16" i="80"/>
  <c r="C17" i="82"/>
  <c r="AY511" i="3" l="1"/>
  <c r="BC6" i="3"/>
  <c r="AY119" i="3"/>
  <c r="AY314" i="3"/>
  <c r="AY578" i="3"/>
  <c r="AY344" i="3"/>
  <c r="AY514" i="3"/>
  <c r="AY488" i="3"/>
  <c r="AY41" i="3"/>
  <c r="AY299" i="3"/>
  <c r="AY342" i="3"/>
  <c r="AY148" i="3"/>
  <c r="AY331" i="3"/>
  <c r="AY531" i="3"/>
  <c r="AY484" i="3"/>
  <c r="AY194" i="3"/>
  <c r="BM6" i="3"/>
  <c r="AY388" i="3"/>
  <c r="AY357" i="3"/>
  <c r="AY170" i="3"/>
  <c r="AY569" i="3"/>
  <c r="AY228" i="3"/>
  <c r="AY366" i="3"/>
  <c r="AY42" i="3"/>
  <c r="BT6" i="3"/>
  <c r="AY386" i="3"/>
  <c r="AY71" i="3"/>
  <c r="AY216" i="3"/>
  <c r="AY399" i="3"/>
  <c r="AY205" i="3"/>
  <c r="AY121" i="3"/>
  <c r="AY557" i="3"/>
  <c r="E31" i="6"/>
  <c r="K19" i="6"/>
  <c r="K23" i="6"/>
  <c r="M23" i="6" s="1"/>
  <c r="I23" i="6" s="1"/>
  <c r="S23" i="6" s="1"/>
  <c r="K26" i="6"/>
  <c r="M26" i="6" s="1"/>
  <c r="I26" i="6" s="1"/>
  <c r="S26" i="6" s="1"/>
  <c r="C29" i="68"/>
  <c r="D27" i="68" s="1"/>
  <c r="C47" i="68"/>
  <c r="D45" i="68" s="1"/>
  <c r="J10" i="82"/>
  <c r="J5" i="82" s="1"/>
  <c r="J24" i="82" s="1"/>
  <c r="J10" i="81"/>
  <c r="J5" i="81" s="1"/>
  <c r="J26" i="81" s="1"/>
  <c r="J29" i="81" s="1"/>
  <c r="F24" i="82"/>
  <c r="C24" i="82" s="1"/>
  <c r="F24" i="89"/>
  <c r="C66" i="89"/>
  <c r="C60" i="89"/>
  <c r="C48" i="15"/>
  <c r="C66" i="15" s="1"/>
  <c r="C38" i="89"/>
  <c r="U10" i="40"/>
  <c r="S10" i="40"/>
  <c r="AB10" i="39"/>
  <c r="H6" i="3"/>
  <c r="AC6" i="3"/>
  <c r="AY429" i="3"/>
  <c r="AY498" i="3"/>
  <c r="AY416" i="3"/>
  <c r="AY213" i="3"/>
  <c r="AY179" i="3"/>
  <c r="AY558" i="3"/>
  <c r="AY221" i="3"/>
  <c r="AY46" i="3"/>
  <c r="D3" i="6"/>
  <c r="D19" i="6" s="1"/>
  <c r="AY468" i="3"/>
  <c r="AY380" i="3"/>
  <c r="AY48" i="3"/>
  <c r="AY510" i="3"/>
  <c r="AY414" i="3"/>
  <c r="AY317" i="3"/>
  <c r="AY145" i="3"/>
  <c r="AY554" i="3"/>
  <c r="AY231" i="3"/>
  <c r="AY154" i="3"/>
  <c r="AY108" i="3"/>
  <c r="AY323" i="3"/>
  <c r="AY256" i="3"/>
  <c r="AY55" i="3"/>
  <c r="AY456" i="3"/>
  <c r="AY264" i="3"/>
  <c r="AY78" i="3"/>
  <c r="AY565" i="3"/>
  <c r="AY410" i="3"/>
  <c r="AY313" i="3"/>
  <c r="AY287" i="3"/>
  <c r="AY96" i="3"/>
  <c r="AY546" i="3"/>
  <c r="AY398" i="3"/>
  <c r="AY348" i="3"/>
  <c r="AY295" i="3"/>
  <c r="AY104" i="3"/>
  <c r="AY214" i="3"/>
  <c r="AY118" i="3"/>
  <c r="AY28" i="3"/>
  <c r="AY553" i="3"/>
  <c r="AY401" i="3"/>
  <c r="AY358" i="3"/>
  <c r="AY180" i="3"/>
  <c r="AY470" i="3"/>
  <c r="AY236" i="3"/>
  <c r="AY281" i="3"/>
  <c r="AY124" i="3"/>
  <c r="AY51" i="3"/>
  <c r="AY521" i="3"/>
  <c r="AY307" i="3"/>
  <c r="AY257" i="3"/>
  <c r="AY200" i="3"/>
  <c r="AY568" i="3"/>
  <c r="AY482" i="3"/>
  <c r="AY140" i="3"/>
  <c r="AY537" i="3"/>
  <c r="AY461" i="3"/>
  <c r="AY235" i="3"/>
  <c r="AY577" i="3"/>
  <c r="AY483" i="3"/>
  <c r="AY368" i="3"/>
  <c r="AY52" i="3"/>
  <c r="AY229" i="3"/>
  <c r="AY74" i="3"/>
  <c r="AY586" i="3"/>
  <c r="BD6" i="3"/>
  <c r="AY448" i="3"/>
  <c r="AY338" i="3"/>
  <c r="AY504" i="3"/>
  <c r="AY550" i="3"/>
  <c r="AY459" i="3"/>
  <c r="AY354" i="3"/>
  <c r="AY241" i="3"/>
  <c r="AY159" i="3"/>
  <c r="AY38" i="3"/>
  <c r="AY512" i="3"/>
  <c r="AY424" i="3"/>
  <c r="AY362" i="3"/>
  <c r="AY249" i="3"/>
  <c r="AY187" i="3"/>
  <c r="AY63" i="3"/>
  <c r="AY542" i="3"/>
  <c r="AY506" i="3"/>
  <c r="AY442" i="3"/>
  <c r="AY487" i="3"/>
  <c r="AY329" i="3"/>
  <c r="AY266" i="3"/>
  <c r="AY189" i="3"/>
  <c r="AY101" i="3"/>
  <c r="AY501" i="3"/>
  <c r="BF6" i="3"/>
  <c r="AY411" i="3"/>
  <c r="AY462" i="3"/>
  <c r="AY316" i="3"/>
  <c r="AY353" i="3"/>
  <c r="AY290" i="3"/>
  <c r="AY202" i="3"/>
  <c r="AY109" i="3"/>
  <c r="AY374" i="3"/>
  <c r="AY230" i="3"/>
  <c r="AY278" i="3"/>
  <c r="AY149" i="3"/>
  <c r="AY201" i="3"/>
  <c r="AY76" i="3"/>
  <c r="AY544" i="3"/>
  <c r="AY473" i="3"/>
  <c r="AY367" i="3"/>
  <c r="AY224" i="3"/>
  <c r="AY277" i="3"/>
  <c r="AY27" i="3"/>
  <c r="AY587" i="3"/>
  <c r="AY405" i="3"/>
  <c r="AY469" i="3"/>
  <c r="AY378" i="3"/>
  <c r="AY285" i="3"/>
  <c r="AY192" i="3"/>
  <c r="AY99" i="3"/>
  <c r="BR6" i="3"/>
  <c r="AY524" i="3"/>
  <c r="AY407" i="3"/>
  <c r="AY458" i="3"/>
  <c r="AY312" i="3"/>
  <c r="AY364" i="3"/>
  <c r="AY251" i="3"/>
  <c r="AY169" i="3"/>
  <c r="AY80" i="3"/>
  <c r="AY582" i="3"/>
  <c r="BG6" i="3"/>
  <c r="AY534" i="3"/>
  <c r="AY581" i="3"/>
  <c r="AY446" i="3"/>
  <c r="AY491" i="3"/>
  <c r="AY349" i="3"/>
  <c r="AY274" i="3"/>
  <c r="AY177" i="3"/>
  <c r="AY56" i="3"/>
  <c r="BH6" i="3"/>
  <c r="AY397" i="3"/>
  <c r="AY262" i="3"/>
  <c r="AY283" i="3"/>
  <c r="AY165" i="3"/>
  <c r="AY190" i="3"/>
  <c r="AY60" i="3"/>
  <c r="AY92" i="3"/>
  <c r="AY541" i="3"/>
  <c r="AY549" i="3"/>
  <c r="AY420" i="3"/>
  <c r="AY310" i="3"/>
  <c r="AY395" i="3"/>
  <c r="AY245" i="3"/>
  <c r="AY106" i="3"/>
  <c r="AY428" i="3"/>
  <c r="AY303" i="3"/>
  <c r="AY382" i="3"/>
  <c r="AY253" i="3"/>
  <c r="AY111" i="3"/>
  <c r="AY152" i="3"/>
  <c r="AY95" i="3"/>
  <c r="AY144" i="3"/>
  <c r="AY34" i="3"/>
  <c r="AY87" i="3"/>
  <c r="AY566" i="3"/>
  <c r="AY400" i="3"/>
  <c r="AY477" i="3"/>
  <c r="AY351" i="3"/>
  <c r="AY240" i="3"/>
  <c r="AY293" i="3"/>
  <c r="AY164" i="3"/>
  <c r="AY54" i="3"/>
  <c r="AY107" i="3"/>
  <c r="AY547" i="3"/>
  <c r="AY408" i="3"/>
  <c r="AY347" i="3"/>
  <c r="AY296" i="3"/>
  <c r="AY30" i="3"/>
  <c r="AY548" i="3"/>
  <c r="AY564" i="3"/>
  <c r="AY418" i="3"/>
  <c r="AY304" i="3"/>
  <c r="AY385" i="3"/>
  <c r="AY122" i="3"/>
  <c r="AY49" i="3"/>
  <c r="AY543" i="3"/>
  <c r="AY406" i="3"/>
  <c r="AY370" i="3"/>
  <c r="AY72" i="3"/>
  <c r="AY238" i="3"/>
  <c r="AY162" i="3"/>
  <c r="AY105" i="3"/>
  <c r="AY326" i="3"/>
  <c r="AY412" i="3"/>
  <c r="AY20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67" i="3"/>
  <c r="AY139" i="3"/>
  <c r="AY123" i="3"/>
  <c r="AY252" i="3"/>
  <c r="AY489" i="3"/>
  <c r="AY43" i="3"/>
  <c r="AY379" i="3"/>
  <c r="AY436" i="3"/>
  <c r="AY540" i="3"/>
  <c r="AY69" i="3"/>
  <c r="AY198" i="3"/>
  <c r="AY141" i="3"/>
  <c r="AY255" i="3"/>
  <c r="AY384" i="3"/>
  <c r="BB6" i="3"/>
  <c r="AY181" i="3"/>
  <c r="AY258" i="3"/>
  <c r="AY309" i="3"/>
  <c r="AY449" i="3"/>
  <c r="AY503" i="3"/>
  <c r="AY520" i="3"/>
  <c r="AY556" i="3"/>
  <c r="AY112" i="3"/>
  <c r="AY32" i="3"/>
  <c r="AY142" i="3"/>
  <c r="AY298" i="3"/>
  <c r="AY218" i="3"/>
  <c r="AY352" i="3"/>
  <c r="AY336" i="3"/>
  <c r="AY492" i="3"/>
  <c r="AY450" i="3"/>
  <c r="AY431" i="3"/>
  <c r="AY17" i="3"/>
  <c r="AY575" i="3"/>
  <c r="AY530" i="3"/>
  <c r="AY563" i="3"/>
  <c r="AY47" i="3"/>
  <c r="AY203" i="3"/>
  <c r="AY120" i="3"/>
  <c r="AY233" i="3"/>
  <c r="AY383" i="3"/>
  <c r="AY330"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60" i="3"/>
  <c r="AY441" i="3"/>
  <c r="AY529" i="3"/>
  <c r="AY26" i="3"/>
  <c r="AY300" i="3"/>
  <c r="AY260" i="3"/>
  <c r="AY217" i="3"/>
  <c r="AY372" i="3"/>
  <c r="AY327" i="3"/>
  <c r="AY465" i="3"/>
  <c r="AY452" i="3"/>
  <c r="AY433" i="3"/>
  <c r="AY513" i="3"/>
  <c r="BK6" i="3"/>
  <c r="AY533" i="3"/>
  <c r="BE6" i="3"/>
  <c r="AY97" i="3"/>
  <c r="AY77" i="3"/>
  <c r="AY45" i="3"/>
  <c r="AY44" i="3"/>
  <c r="AY206" i="3"/>
  <c r="AY185" i="3"/>
  <c r="AY138" i="3"/>
  <c r="AY133" i="3"/>
  <c r="AY125" i="3"/>
  <c r="AY294" i="3"/>
  <c r="AY247" i="3"/>
  <c r="AY246" i="3"/>
  <c r="AY219" i="3"/>
  <c r="AY381" i="3"/>
  <c r="AY360" i="3"/>
  <c r="BJ6" i="3"/>
  <c r="AY73" i="3"/>
  <c r="AY24" i="3"/>
  <c r="AY166" i="3"/>
  <c r="AY114" i="3"/>
  <c r="AY259" i="3"/>
  <c r="AY210" i="3"/>
  <c r="AY377" i="3"/>
  <c r="AY333" i="3"/>
  <c r="AY332" i="3"/>
  <c r="AY475" i="3"/>
  <c r="AY457" i="3"/>
  <c r="AY430" i="3"/>
  <c r="AY427" i="3"/>
  <c r="BQ6" i="3"/>
  <c r="AY561" i="3"/>
  <c r="AY571" i="3"/>
  <c r="AY495" i="3"/>
  <c r="AY16" i="3"/>
  <c r="AY494" i="3"/>
  <c r="AY519" i="3"/>
  <c r="AY65" i="3"/>
  <c r="AY37" i="3"/>
  <c r="AY158" i="3"/>
  <c r="AY137" i="3"/>
  <c r="AY282" i="3"/>
  <c r="AY234" i="3"/>
  <c r="AY369" i="3"/>
  <c r="AY345" i="3"/>
  <c r="AY328" i="3"/>
  <c r="AY471" i="3"/>
  <c r="AY453" i="3"/>
  <c r="AY426" i="3"/>
  <c r="AY423" i="3"/>
  <c r="AY579" i="3"/>
  <c r="AY14" i="3"/>
  <c r="AY502" i="3"/>
  <c r="AY509" i="3"/>
  <c r="AY570" i="3"/>
  <c r="BA6" i="3"/>
  <c r="AY94" i="3"/>
  <c r="AY35" i="3"/>
  <c r="AY156" i="3"/>
  <c r="AY127" i="3"/>
  <c r="AY280" i="3"/>
  <c r="AY232" i="3"/>
  <c r="AY376" i="3"/>
  <c r="AY346" i="3"/>
  <c r="AY466" i="3"/>
  <c r="AY437" i="3"/>
  <c r="AY517" i="3"/>
  <c r="BL6" i="3"/>
  <c r="AY86" i="3"/>
  <c r="AY70" i="3"/>
  <c r="AY184" i="3"/>
  <c r="AY128" i="3"/>
  <c r="AY273" i="3"/>
  <c r="AC10" i="40"/>
  <c r="W10"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C10" i="39"/>
  <c r="D3" i="21"/>
  <c r="J24" i="67"/>
  <c r="J24" i="15"/>
  <c r="J26" i="82"/>
  <c r="J29" i="82" s="1"/>
  <c r="C10" i="81"/>
  <c r="C5" i="81" s="1"/>
  <c r="C38" i="81" s="1"/>
  <c r="C5" i="82"/>
  <c r="C38" i="82" s="1"/>
  <c r="J10" i="80"/>
  <c r="J5" i="80" s="1"/>
  <c r="C49" i="80"/>
  <c r="C48" i="80" s="1"/>
  <c r="Q73" i="81"/>
  <c r="Q60" i="81"/>
  <c r="Q74" i="81"/>
  <c r="Q61" i="81"/>
  <c r="Q73" i="82"/>
  <c r="Q60" i="82"/>
  <c r="Q74" i="82"/>
  <c r="Q61" i="82"/>
  <c r="Q52" i="82"/>
  <c r="F1" i="82"/>
  <c r="C49" i="82"/>
  <c r="C48" i="82" s="1"/>
  <c r="V9" i="71"/>
  <c r="E8" i="71"/>
  <c r="E7" i="71" s="1"/>
  <c r="E6" i="71" s="1"/>
  <c r="E5" i="71" s="1"/>
  <c r="F1" i="80"/>
  <c r="Q52" i="80"/>
  <c r="Q73" i="80"/>
  <c r="Q60" i="80"/>
  <c r="Q74" i="80"/>
  <c r="Q61" i="80"/>
  <c r="Q52" i="81"/>
  <c r="F1" i="81"/>
  <c r="C49" i="81"/>
  <c r="C48" i="81" s="1"/>
  <c r="M18" i="9"/>
  <c r="B118" i="9" s="1"/>
  <c r="B14" i="74" s="1"/>
  <c r="B1" i="74" s="1"/>
  <c r="C8" i="74" s="1"/>
  <c r="D19" i="11"/>
  <c r="K27" i="6"/>
  <c r="E8" i="70"/>
  <c r="D3" i="33"/>
  <c r="F25" i="12"/>
  <c r="C26" i="12" s="1"/>
  <c r="D25" i="12" s="1"/>
  <c r="F22" i="68"/>
  <c r="F41" i="68" s="1"/>
  <c r="F24" i="67"/>
  <c r="C24" i="67" s="1"/>
  <c r="F24" i="15"/>
  <c r="C24" i="15" s="1"/>
  <c r="F22" i="11"/>
  <c r="C23" i="11" s="1"/>
  <c r="F22" i="69"/>
  <c r="F41" i="69" s="1"/>
  <c r="F24" i="81"/>
  <c r="C24" i="81" s="1"/>
  <c r="F24" i="80"/>
  <c r="M22" i="6"/>
  <c r="I22" i="6" s="1"/>
  <c r="S22" i="6" s="1"/>
  <c r="S9" i="1"/>
  <c r="M20" i="6"/>
  <c r="I20" i="6" s="1"/>
  <c r="S20" i="6" s="1"/>
  <c r="S7" i="1"/>
  <c r="AR8" i="1"/>
  <c r="AQ8" i="1"/>
  <c r="T8" i="1"/>
  <c r="M19" i="6"/>
  <c r="I19" i="6" s="1"/>
  <c r="S6" i="1"/>
  <c r="D37" i="11"/>
  <c r="C37" i="11" s="1"/>
  <c r="L18" i="9"/>
  <c r="D3" i="34"/>
  <c r="D14" i="12"/>
  <c r="C14" i="12" s="1"/>
  <c r="E6" i="6"/>
  <c r="D6" i="6" s="1"/>
  <c r="D3" i="37"/>
  <c r="C17" i="4"/>
  <c r="B4" i="52" s="1"/>
  <c r="B43" i="72" s="1"/>
  <c r="T11" i="43"/>
  <c r="V11" i="43" s="1"/>
  <c r="T14" i="43"/>
  <c r="V14" i="43" s="1"/>
  <c r="T9" i="43"/>
  <c r="V9" i="43" s="1"/>
  <c r="T4" i="43"/>
  <c r="V4" i="43" s="1"/>
  <c r="T2" i="43"/>
  <c r="V2" i="43" s="1"/>
  <c r="T3" i="43"/>
  <c r="V3" i="43" s="1"/>
  <c r="T12" i="43"/>
  <c r="V12" i="43" s="1"/>
  <c r="T6" i="43"/>
  <c r="V6" i="43" s="1"/>
  <c r="T10" i="43"/>
  <c r="V10" i="43" s="1"/>
  <c r="T13" i="43"/>
  <c r="V13" i="43" s="1"/>
  <c r="T5" i="43"/>
  <c r="V5" i="43" s="1"/>
  <c r="T16" i="43"/>
  <c r="V16" i="43" s="1"/>
  <c r="C29" i="43"/>
  <c r="T8" i="43"/>
  <c r="V8" i="43" s="1"/>
  <c r="T7" i="43"/>
  <c r="V7" i="43" s="1"/>
  <c r="T15" i="43"/>
  <c r="V15" i="43" s="1"/>
  <c r="C35" i="43"/>
  <c r="C34" i="43"/>
  <c r="C33" i="43"/>
  <c r="C36" i="43"/>
  <c r="C39" i="43"/>
  <c r="C37" i="43"/>
  <c r="C38" i="43"/>
  <c r="H68" i="39"/>
  <c r="G70" i="39"/>
  <c r="C35" i="69"/>
  <c r="C38" i="69"/>
  <c r="O14" i="1"/>
  <c r="O16" i="1" s="1"/>
  <c r="M16" i="1"/>
  <c r="M19" i="9"/>
  <c r="C118" i="9" s="1"/>
  <c r="C14" i="74" s="1"/>
  <c r="B2" i="74" s="1"/>
  <c r="D8" i="6"/>
  <c r="D12" i="6"/>
  <c r="E61" i="40"/>
  <c r="D21" i="6"/>
  <c r="H24" i="6"/>
  <c r="D9" i="6"/>
  <c r="D19" i="71"/>
  <c r="C18" i="71"/>
  <c r="B12" i="71"/>
  <c r="B11" i="71" s="1"/>
  <c r="B10" i="71" s="1"/>
  <c r="B9" i="71" s="1"/>
  <c r="S13"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38" i="15"/>
  <c r="C66" i="67"/>
  <c r="C60" i="67"/>
  <c r="C17" i="89"/>
  <c r="C17" i="67"/>
  <c r="C14" i="82"/>
  <c r="C17" i="15"/>
  <c r="C17" i="81"/>
  <c r="C14" i="67"/>
  <c r="AE6" i="1"/>
  <c r="C17" i="80"/>
  <c r="D10" i="69" l="1"/>
  <c r="D19" i="69" s="1"/>
  <c r="H25" i="6"/>
  <c r="D22" i="6"/>
  <c r="D10" i="6"/>
  <c r="H26" i="6"/>
  <c r="D13" i="6"/>
  <c r="D14" i="6"/>
  <c r="D26" i="6"/>
  <c r="H21" i="6"/>
  <c r="L19" i="9"/>
  <c r="D24" i="6"/>
  <c r="R24" i="6" s="1"/>
  <c r="D25" i="6"/>
  <c r="R25" i="6" s="1"/>
  <c r="D29" i="6"/>
  <c r="D20" i="6"/>
  <c r="D15" i="6"/>
  <c r="H23" i="6"/>
  <c r="D28" i="6"/>
  <c r="D30" i="6" s="1"/>
  <c r="D11" i="6"/>
  <c r="D5" i="6"/>
  <c r="D23" i="6"/>
  <c r="R23" i="6" s="1"/>
  <c r="C18" i="4"/>
  <c r="C4" i="52" s="1"/>
  <c r="B45" i="72" s="1"/>
  <c r="J24" i="81"/>
  <c r="C60" i="15"/>
  <c r="C24" i="89"/>
  <c r="C18" i="67"/>
  <c r="C15" i="67"/>
  <c r="E6" i="3"/>
  <c r="D20" i="12"/>
  <c r="C20" i="12" s="1"/>
  <c r="C18" i="12" s="1"/>
  <c r="D17" i="12"/>
  <c r="H20" i="6"/>
  <c r="R20" i="6" s="1"/>
  <c r="R7" i="1" s="1"/>
  <c r="D10" i="11"/>
  <c r="C10" i="11" s="1"/>
  <c r="H22" i="6"/>
  <c r="R22" i="6" s="1"/>
  <c r="R9" i="1" s="1"/>
  <c r="C7" i="74"/>
  <c r="M27" i="6"/>
  <c r="J26" i="80"/>
  <c r="J24" i="80"/>
  <c r="C60" i="80"/>
  <c r="C66" i="80"/>
  <c r="C60" i="81"/>
  <c r="C66" i="81"/>
  <c r="C60" i="82"/>
  <c r="C66" i="82"/>
  <c r="C18" i="82"/>
  <c r="C15" i="82"/>
  <c r="E7" i="70"/>
  <c r="E9" i="70"/>
  <c r="E6" i="70"/>
  <c r="B2" i="34"/>
  <c r="B3" i="34" s="1"/>
  <c r="C26" i="11"/>
  <c r="D22" i="11" s="1"/>
  <c r="C44" i="11"/>
  <c r="D41" i="11" s="1"/>
  <c r="C44" i="69"/>
  <c r="D41" i="69" s="1"/>
  <c r="C26" i="68"/>
  <c r="D22" i="68" s="1"/>
  <c r="C44" i="68"/>
  <c r="D41" i="68" s="1"/>
  <c r="C26" i="69"/>
  <c r="D22" i="69" s="1"/>
  <c r="C24" i="80"/>
  <c r="AQ7" i="1"/>
  <c r="T7" i="1"/>
  <c r="AR7" i="1"/>
  <c r="AR9" i="1"/>
  <c r="T9" i="1"/>
  <c r="AQ9" i="1"/>
  <c r="AQ6" i="1"/>
  <c r="S16" i="1"/>
  <c r="T6" i="1"/>
  <c r="AR6" i="1"/>
  <c r="E37" i="43"/>
  <c r="G37" i="43"/>
  <c r="I37" i="43" s="1"/>
  <c r="E36" i="43"/>
  <c r="G36" i="43"/>
  <c r="I36" i="43" s="1"/>
  <c r="E34" i="43"/>
  <c r="G34" i="43"/>
  <c r="I34" i="43" s="1"/>
  <c r="G38" i="43"/>
  <c r="I38" i="43" s="1"/>
  <c r="E38" i="43"/>
  <c r="G39" i="43"/>
  <c r="I39" i="43" s="1"/>
  <c r="E39" i="43"/>
  <c r="E33" i="43"/>
  <c r="C26" i="43" s="1"/>
  <c r="G33" i="43"/>
  <c r="I33" i="43" s="1"/>
  <c r="E35" i="43"/>
  <c r="G35" i="43"/>
  <c r="I35" i="43" s="1"/>
  <c r="C30" i="43"/>
  <c r="E30" i="43" s="1"/>
  <c r="E29" i="43"/>
  <c r="H70" i="39"/>
  <c r="I68" i="39"/>
  <c r="B8" i="71"/>
  <c r="B7" i="71" s="1"/>
  <c r="B6" i="71" s="1"/>
  <c r="B5" i="71" s="1"/>
  <c r="S9" i="71"/>
  <c r="R26" i="6"/>
  <c r="D8" i="74"/>
  <c r="D7" i="74"/>
  <c r="S19" i="6"/>
  <c r="S27" i="6" s="1"/>
  <c r="I27" i="6"/>
  <c r="C10" i="69"/>
  <c r="C8" i="69" s="1"/>
  <c r="C5" i="69" s="1"/>
  <c r="C17" i="71"/>
  <c r="D18" i="71"/>
  <c r="R21" i="6"/>
  <c r="R8" i="1" s="1"/>
  <c r="H19" i="6"/>
  <c r="R19" i="6" s="1"/>
  <c r="A7" i="51"/>
  <c r="B7" i="72" s="1"/>
  <c r="N16" i="1"/>
  <c r="L16" i="1"/>
  <c r="C34" i="11"/>
  <c r="P14" i="1"/>
  <c r="P16" i="1" s="1"/>
  <c r="C11"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3" i="82"/>
  <c r="D10" i="68"/>
  <c r="C34" i="68"/>
  <c r="F35" i="67"/>
  <c r="C14" i="89"/>
  <c r="C14" i="15"/>
  <c r="F35" i="15"/>
  <c r="M21" i="67"/>
  <c r="F35" i="89"/>
  <c r="C14" i="80"/>
  <c r="F35" i="81"/>
  <c r="F41" i="80"/>
  <c r="M21" i="89"/>
  <c r="M21" i="81"/>
  <c r="M21" i="82"/>
  <c r="F35" i="82"/>
  <c r="C14" i="81"/>
  <c r="M21" i="15"/>
  <c r="D16" i="6" l="1"/>
  <c r="A10" i="51"/>
  <c r="B9" i="72" s="1"/>
  <c r="D27" i="6"/>
  <c r="D31" i="6" s="1"/>
  <c r="I6" i="6" s="1"/>
  <c r="C18" i="89"/>
  <c r="C15" i="89"/>
  <c r="J20" i="89"/>
  <c r="C34" i="89"/>
  <c r="C31" i="89" s="1"/>
  <c r="F63" i="89"/>
  <c r="C62" i="89" s="1"/>
  <c r="D19" i="68"/>
  <c r="C19" i="67"/>
  <c r="C20" i="67" s="1"/>
  <c r="C26" i="67" s="1"/>
  <c r="C10" i="68"/>
  <c r="F63" i="67"/>
  <c r="C62" i="67" s="1"/>
  <c r="C34" i="67"/>
  <c r="J20" i="67"/>
  <c r="C34" i="81"/>
  <c r="F63" i="81"/>
  <c r="C62" i="81" s="1"/>
  <c r="J20" i="81"/>
  <c r="H27" i="6"/>
  <c r="F69" i="80"/>
  <c r="J29" i="80"/>
  <c r="E2" i="70"/>
  <c r="C19" i="82"/>
  <c r="C20" i="82" s="1"/>
  <c r="C26" i="82" s="1"/>
  <c r="C18" i="81"/>
  <c r="C15" i="81"/>
  <c r="C15" i="80"/>
  <c r="C18" i="80"/>
  <c r="T16" i="1"/>
  <c r="F63" i="82"/>
  <c r="C62" i="82" s="1"/>
  <c r="C34" i="82"/>
  <c r="C31" i="82" s="1"/>
  <c r="J20" i="82"/>
  <c r="C15" i="15"/>
  <c r="C18" i="15"/>
  <c r="C33" i="81"/>
  <c r="J20" i="15"/>
  <c r="F63" i="15"/>
  <c r="C62" i="15" s="1"/>
  <c r="C34" i="15"/>
  <c r="C31" i="15" s="1"/>
  <c r="C27" i="43"/>
  <c r="R27" i="6"/>
  <c r="R6" i="1"/>
  <c r="B2" i="43"/>
  <c r="I70" i="39"/>
  <c r="J68" i="39"/>
  <c r="C38" i="11"/>
  <c r="C35" i="11"/>
  <c r="F50" i="11"/>
  <c r="F50" i="68"/>
  <c r="F50" i="69"/>
  <c r="C16" i="71"/>
  <c r="T17" i="71"/>
  <c r="D17" i="71"/>
  <c r="U17" i="71" s="1"/>
  <c r="C23" i="69"/>
  <c r="C15" i="12"/>
  <c r="C12" i="12"/>
  <c r="C35" i="68"/>
  <c r="C38" i="68"/>
  <c r="D37" i="69"/>
  <c r="C37" i="69" s="1"/>
  <c r="C33" i="69" s="1"/>
  <c r="I63" i="40"/>
  <c r="H65" i="40"/>
  <c r="I58" i="21"/>
  <c r="J58" i="21" s="1"/>
  <c r="K58" i="21" s="1"/>
  <c r="L58" i="21" s="1"/>
  <c r="M58" i="21" s="1"/>
  <c r="N58" i="21" s="1"/>
  <c r="O58" i="21" s="1"/>
  <c r="H7" i="21" s="1"/>
  <c r="J7" i="21"/>
  <c r="F7" i="21"/>
  <c r="J48" i="35"/>
  <c r="F35" i="80"/>
  <c r="E6" i="76"/>
  <c r="M21" i="80"/>
  <c r="B6" i="76"/>
  <c r="C19" i="89" l="1"/>
  <c r="C20" i="89" s="1"/>
  <c r="C23" i="89" s="1"/>
  <c r="C23" i="67"/>
  <c r="C29" i="67" s="1"/>
  <c r="C33" i="67" s="1"/>
  <c r="C31" i="67" s="1"/>
  <c r="D37" i="68"/>
  <c r="C37" i="68" s="1"/>
  <c r="C33" i="68" s="1"/>
  <c r="C31" i="81"/>
  <c r="I5" i="6"/>
  <c r="C19" i="80"/>
  <c r="C20" i="80" s="1"/>
  <c r="C26" i="80" s="1"/>
  <c r="C19" i="81"/>
  <c r="C20" i="81" s="1"/>
  <c r="C26" i="81" s="1"/>
  <c r="C23" i="82"/>
  <c r="C29" i="82" s="1"/>
  <c r="C36" i="82" s="1"/>
  <c r="F63" i="80"/>
  <c r="C62" i="80" s="1"/>
  <c r="C34" i="80"/>
  <c r="J20" i="80"/>
  <c r="R16" i="1"/>
  <c r="C19" i="15"/>
  <c r="C20" i="15" s="1"/>
  <c r="C26" i="15" s="1"/>
  <c r="E2" i="76"/>
  <c r="B2" i="76"/>
  <c r="B3" i="43"/>
  <c r="C33" i="11"/>
  <c r="C39" i="11" s="1"/>
  <c r="K68" i="39"/>
  <c r="J70" i="39"/>
  <c r="C16" i="12"/>
  <c r="C15" i="71"/>
  <c r="D16" i="71"/>
  <c r="C39" i="69"/>
  <c r="C43" i="69" s="1"/>
  <c r="C42" i="69"/>
  <c r="U7" i="21"/>
  <c r="AB7" i="21"/>
  <c r="T48" i="21" s="1"/>
  <c r="G48" i="21" s="1"/>
  <c r="S7" i="21"/>
  <c r="AA7" i="21"/>
  <c r="R48" i="21" s="1"/>
  <c r="J63" i="40"/>
  <c r="I65" i="40"/>
  <c r="K48" i="35"/>
  <c r="L48" i="35" s="1"/>
  <c r="M48" i="35" s="1"/>
  <c r="N48" i="35" s="1"/>
  <c r="O48" i="35" s="1"/>
  <c r="H7" i="35" s="1"/>
  <c r="AC7" i="21"/>
  <c r="V48" i="21" s="1"/>
  <c r="I48" i="21" s="1"/>
  <c r="W7" i="21"/>
  <c r="C33" i="80"/>
  <c r="C26" i="89" l="1"/>
  <c r="C29" i="89" s="1"/>
  <c r="Q49" i="67"/>
  <c r="J59" i="67"/>
  <c r="J60" i="67" s="1"/>
  <c r="L46" i="67" s="1"/>
  <c r="J19" i="67"/>
  <c r="J17" i="67" s="1"/>
  <c r="C36" i="67"/>
  <c r="J14" i="67"/>
  <c r="J22" i="67" s="1"/>
  <c r="C13" i="67"/>
  <c r="C75" i="67" s="1"/>
  <c r="C57" i="67"/>
  <c r="C13" i="82"/>
  <c r="C75" i="82" s="1"/>
  <c r="C57" i="82"/>
  <c r="C64" i="82" s="1"/>
  <c r="J59" i="82"/>
  <c r="J60" i="82" s="1"/>
  <c r="Q48" i="82" s="1"/>
  <c r="Q49" i="82"/>
  <c r="C23" i="80"/>
  <c r="C29" i="80" s="1"/>
  <c r="C57" i="80" s="1"/>
  <c r="C61" i="80" s="1"/>
  <c r="C59" i="80" s="1"/>
  <c r="J19" i="82"/>
  <c r="J17" i="82" s="1"/>
  <c r="J14" i="82"/>
  <c r="J13" i="82" s="1"/>
  <c r="J23" i="82" s="1"/>
  <c r="C23" i="81"/>
  <c r="C29" i="81" s="1"/>
  <c r="J59" i="81" s="1"/>
  <c r="J60" i="81" s="1"/>
  <c r="Q48" i="81" s="1"/>
  <c r="L57" i="82"/>
  <c r="L60" i="82" s="1"/>
  <c r="C23" i="15"/>
  <c r="C29" i="15" s="1"/>
  <c r="L57" i="81"/>
  <c r="L60" i="81" s="1"/>
  <c r="B3" i="76"/>
  <c r="C42" i="11"/>
  <c r="J7" i="35"/>
  <c r="W7" i="35" s="1"/>
  <c r="L68" i="39"/>
  <c r="K70" i="39"/>
  <c r="C41" i="69"/>
  <c r="C46" i="69"/>
  <c r="C45" i="69" s="1"/>
  <c r="C46" i="11"/>
  <c r="C45" i="11" s="1"/>
  <c r="C43" i="11"/>
  <c r="C14" i="71"/>
  <c r="D15" i="71"/>
  <c r="C39" i="68"/>
  <c r="C42" i="68"/>
  <c r="AC7" i="35"/>
  <c r="V38" i="35" s="1"/>
  <c r="I38" i="35" s="1"/>
  <c r="J65" i="40"/>
  <c r="K63" i="40"/>
  <c r="I52" i="21"/>
  <c r="J52" i="21" s="1"/>
  <c r="U7" i="35"/>
  <c r="AB7" i="35"/>
  <c r="T38" i="35" s="1"/>
  <c r="G38" i="35" s="1"/>
  <c r="R49" i="21"/>
  <c r="E48" i="21"/>
  <c r="G52" i="21"/>
  <c r="H52" i="21" s="1"/>
  <c r="G53" i="21"/>
  <c r="H53" i="21" s="1"/>
  <c r="F7" i="35"/>
  <c r="Q48" i="67" l="1"/>
  <c r="J59" i="89"/>
  <c r="J60" i="89" s="1"/>
  <c r="C57" i="89"/>
  <c r="J19" i="89"/>
  <c r="J17" i="89" s="1"/>
  <c r="C13" i="89"/>
  <c r="Q49" i="89"/>
  <c r="J14" i="89"/>
  <c r="C36" i="89"/>
  <c r="C37" i="67"/>
  <c r="C30" i="67" s="1"/>
  <c r="C39" i="67" s="1"/>
  <c r="C40" i="67" s="1"/>
  <c r="Q70" i="67"/>
  <c r="C56" i="67"/>
  <c r="C65" i="67" s="1"/>
  <c r="C61" i="67"/>
  <c r="C59" i="67" s="1"/>
  <c r="C64" i="67"/>
  <c r="J13" i="67"/>
  <c r="J23" i="67" s="1"/>
  <c r="J16" i="67" s="1"/>
  <c r="J25" i="67" s="1"/>
  <c r="Q69" i="67"/>
  <c r="C61" i="82"/>
  <c r="C59" i="82" s="1"/>
  <c r="Q70" i="82"/>
  <c r="Q49" i="80"/>
  <c r="C37" i="82"/>
  <c r="C30" i="82" s="1"/>
  <c r="C39" i="82" s="1"/>
  <c r="C80" i="82" s="1"/>
  <c r="C79" i="82" s="1"/>
  <c r="C56" i="82"/>
  <c r="C65" i="82" s="1"/>
  <c r="J59" i="80"/>
  <c r="J60" i="80" s="1"/>
  <c r="Q48" i="80" s="1"/>
  <c r="L46" i="82"/>
  <c r="J14" i="80"/>
  <c r="J19" i="80"/>
  <c r="J17" i="80" s="1"/>
  <c r="C40" i="82"/>
  <c r="Q65" i="82" s="1"/>
  <c r="J22" i="82"/>
  <c r="C13" i="80"/>
  <c r="C56" i="80" s="1"/>
  <c r="C65" i="80" s="1"/>
  <c r="C36" i="80"/>
  <c r="Q49" i="81"/>
  <c r="J16" i="82"/>
  <c r="J25" i="82" s="1"/>
  <c r="C64" i="80"/>
  <c r="J14" i="81"/>
  <c r="J22" i="81" s="1"/>
  <c r="J19" i="81"/>
  <c r="J17" i="81" s="1"/>
  <c r="C13" i="81"/>
  <c r="C75" i="81" s="1"/>
  <c r="L46" i="81"/>
  <c r="C36" i="81"/>
  <c r="C57" i="81"/>
  <c r="C64" i="81" s="1"/>
  <c r="Q57" i="82"/>
  <c r="Q66" i="82"/>
  <c r="J14" i="15"/>
  <c r="J22" i="15" s="1"/>
  <c r="J59" i="15"/>
  <c r="J60" i="15" s="1"/>
  <c r="Q48" i="15" s="1"/>
  <c r="Q49" i="15"/>
  <c r="C36" i="15"/>
  <c r="C57" i="15"/>
  <c r="C61" i="15" s="1"/>
  <c r="C59" i="15" s="1"/>
  <c r="J19" i="15"/>
  <c r="J17" i="15" s="1"/>
  <c r="C13" i="15"/>
  <c r="Q70" i="15" s="1"/>
  <c r="L57" i="80"/>
  <c r="L60" i="80" s="1"/>
  <c r="Q57" i="81"/>
  <c r="Q66" i="81"/>
  <c r="C41" i="11"/>
  <c r="C49" i="11" s="1"/>
  <c r="C51" i="11" s="1"/>
  <c r="C49" i="69"/>
  <c r="C51" i="69" s="1"/>
  <c r="M68" i="39"/>
  <c r="L70" i="39"/>
  <c r="C46" i="68"/>
  <c r="C45" i="68" s="1"/>
  <c r="C43" i="68"/>
  <c r="C41" i="68" s="1"/>
  <c r="D14" i="71"/>
  <c r="C13" i="71"/>
  <c r="S7" i="35"/>
  <c r="AA7" i="35"/>
  <c r="R38" i="35" s="1"/>
  <c r="C49" i="21"/>
  <c r="B2" i="21" s="1"/>
  <c r="B3" i="21" s="1"/>
  <c r="C48" i="21"/>
  <c r="U6" i="1" s="1"/>
  <c r="E52" i="21"/>
  <c r="F52" i="21" s="1"/>
  <c r="E53" i="21"/>
  <c r="F53" i="21" s="1"/>
  <c r="G42" i="35"/>
  <c r="H42" i="35" s="1"/>
  <c r="G43" i="35"/>
  <c r="H43" i="35" s="1"/>
  <c r="I53" i="21"/>
  <c r="J53" i="21" s="1"/>
  <c r="K65" i="40"/>
  <c r="L63" i="40"/>
  <c r="I42" i="35"/>
  <c r="J42" i="35" s="1"/>
  <c r="F6" i="80"/>
  <c r="L51" i="82"/>
  <c r="L51" i="67"/>
  <c r="J13" i="89" l="1"/>
  <c r="J23" i="89" s="1"/>
  <c r="J22" i="89"/>
  <c r="C75" i="89"/>
  <c r="C37" i="89"/>
  <c r="C30" i="89" s="1"/>
  <c r="C39" i="89" s="1"/>
  <c r="Q70" i="89"/>
  <c r="C56" i="89"/>
  <c r="C65" i="89" s="1"/>
  <c r="C64" i="89"/>
  <c r="C61" i="89"/>
  <c r="C59" i="89" s="1"/>
  <c r="Q48" i="89"/>
  <c r="L46" i="89"/>
  <c r="Q67" i="67"/>
  <c r="L57" i="67"/>
  <c r="L60" i="67" s="1"/>
  <c r="Q57" i="67" s="1"/>
  <c r="C80" i="67"/>
  <c r="C79" i="67" s="1"/>
  <c r="Q68" i="67"/>
  <c r="C58" i="67"/>
  <c r="C67" i="67" s="1"/>
  <c r="C68" i="67" s="1"/>
  <c r="C71" i="67" s="1"/>
  <c r="C6" i="80"/>
  <c r="Q47" i="67"/>
  <c r="Q53" i="67" s="1"/>
  <c r="D2" i="67"/>
  <c r="Q56" i="67"/>
  <c r="C83" i="67"/>
  <c r="C82" i="67" s="1"/>
  <c r="C43" i="67"/>
  <c r="Q65" i="67"/>
  <c r="C58" i="82"/>
  <c r="C67" i="82" s="1"/>
  <c r="C68" i="82" s="1"/>
  <c r="C71" i="82" s="1"/>
  <c r="Q47" i="82"/>
  <c r="Q53" i="82" s="1"/>
  <c r="C43" i="82"/>
  <c r="Q75" i="82"/>
  <c r="Q56" i="82"/>
  <c r="C83" i="82"/>
  <c r="C82" i="82" s="1"/>
  <c r="Q70" i="80"/>
  <c r="B2" i="82"/>
  <c r="Q67" i="82"/>
  <c r="Q69" i="82"/>
  <c r="Q68" i="82" s="1"/>
  <c r="J13" i="80"/>
  <c r="J23" i="80" s="1"/>
  <c r="J22" i="80"/>
  <c r="C37" i="80"/>
  <c r="C75" i="80"/>
  <c r="C58" i="80"/>
  <c r="C67" i="80" s="1"/>
  <c r="C68" i="80" s="1"/>
  <c r="C71" i="80" s="1"/>
  <c r="C56" i="81"/>
  <c r="C65" i="81" s="1"/>
  <c r="Q62" i="82"/>
  <c r="Q70" i="81"/>
  <c r="J13" i="81"/>
  <c r="J23" i="81" s="1"/>
  <c r="J16" i="81" s="1"/>
  <c r="J25" i="81" s="1"/>
  <c r="C61" i="81"/>
  <c r="C59" i="81" s="1"/>
  <c r="C37" i="81"/>
  <c r="C30" i="81" s="1"/>
  <c r="C39" i="81" s="1"/>
  <c r="C40" i="81" s="1"/>
  <c r="Q57" i="80"/>
  <c r="L46" i="80"/>
  <c r="J13" i="15"/>
  <c r="J23" i="15" s="1"/>
  <c r="C37" i="15"/>
  <c r="C30" i="15" s="1"/>
  <c r="C39" i="15" s="1"/>
  <c r="C40" i="15" s="1"/>
  <c r="C75" i="15"/>
  <c r="C64" i="15"/>
  <c r="C56" i="15"/>
  <c r="C65" i="15" s="1"/>
  <c r="Q66" i="80"/>
  <c r="J16" i="15"/>
  <c r="J25" i="15" s="1"/>
  <c r="M70" i="39"/>
  <c r="N68" i="39"/>
  <c r="C49" i="68"/>
  <c r="C51" i="68" s="1"/>
  <c r="C53" i="68" s="1"/>
  <c r="C12" i="71"/>
  <c r="T13" i="71"/>
  <c r="D13" i="71"/>
  <c r="U13" i="71" s="1"/>
  <c r="R39" i="35"/>
  <c r="E38" i="35"/>
  <c r="M63" i="40"/>
  <c r="L65" i="40"/>
  <c r="L51" i="89"/>
  <c r="AO8" i="1"/>
  <c r="C58" i="89" l="1"/>
  <c r="C67" i="89" s="1"/>
  <c r="C68" i="89" s="1"/>
  <c r="C71" i="89" s="1"/>
  <c r="J16" i="89"/>
  <c r="J25" i="89" s="1"/>
  <c r="Q67" i="89"/>
  <c r="C80" i="89"/>
  <c r="C79" i="89" s="1"/>
  <c r="C40" i="89"/>
  <c r="Q69" i="89"/>
  <c r="Q68" i="89" s="1"/>
  <c r="Q62" i="67"/>
  <c r="Q66" i="67"/>
  <c r="Q75" i="67" s="1"/>
  <c r="C45" i="67"/>
  <c r="C46" i="67" s="1"/>
  <c r="C32" i="80"/>
  <c r="C31" i="80" s="1"/>
  <c r="C10" i="80"/>
  <c r="C5" i="80" s="1"/>
  <c r="C38" i="80" s="1"/>
  <c r="B3" i="67"/>
  <c r="B2" i="67"/>
  <c r="C46" i="82"/>
  <c r="B8" i="70"/>
  <c r="C80" i="81"/>
  <c r="C79" i="81" s="1"/>
  <c r="B3" i="82"/>
  <c r="J16" i="80"/>
  <c r="J25" i="80" s="1"/>
  <c r="Q69" i="81"/>
  <c r="Q68" i="81" s="1"/>
  <c r="C58" i="81"/>
  <c r="C67" i="81" s="1"/>
  <c r="C68" i="81" s="1"/>
  <c r="C71" i="81" s="1"/>
  <c r="Q56" i="81"/>
  <c r="Q62" i="81" s="1"/>
  <c r="C83" i="81"/>
  <c r="C82" i="81" s="1"/>
  <c r="B2" i="81"/>
  <c r="B3" i="81" s="1"/>
  <c r="Q65" i="81"/>
  <c r="Q75" i="81" s="1"/>
  <c r="Q47" i="81"/>
  <c r="Q53" i="81" s="1"/>
  <c r="C43" i="81"/>
  <c r="C58" i="15"/>
  <c r="C67" i="15" s="1"/>
  <c r="C68" i="15" s="1"/>
  <c r="C46" i="15" s="1"/>
  <c r="C80" i="15"/>
  <c r="C79" i="15" s="1"/>
  <c r="L57" i="15"/>
  <c r="L60" i="15" s="1"/>
  <c r="L46" i="15" s="1"/>
  <c r="B2" i="15" s="1"/>
  <c r="Q69" i="15"/>
  <c r="Q68" i="15" s="1"/>
  <c r="Q56" i="15"/>
  <c r="C43" i="15"/>
  <c r="C83" i="15"/>
  <c r="C82" i="15" s="1"/>
  <c r="Q65" i="15"/>
  <c r="Q47" i="15"/>
  <c r="Q53" i="15" s="1"/>
  <c r="O68" i="39"/>
  <c r="O70" i="39" s="1"/>
  <c r="N70" i="39"/>
  <c r="D12" i="71"/>
  <c r="C11" i="71"/>
  <c r="C39" i="35"/>
  <c r="B2" i="35" s="1"/>
  <c r="B3" i="35" s="1"/>
  <c r="C38" i="35"/>
  <c r="N63" i="40"/>
  <c r="M65" i="40"/>
  <c r="E43" i="35"/>
  <c r="F43" i="35" s="1"/>
  <c r="E42" i="35"/>
  <c r="F42" i="35" s="1"/>
  <c r="I43" i="35"/>
  <c r="J43" i="35" s="1"/>
  <c r="L51" i="81"/>
  <c r="L51" i="15"/>
  <c r="AO9" i="1"/>
  <c r="Q67" i="81" l="1"/>
  <c r="C46" i="89"/>
  <c r="C43" i="89"/>
  <c r="Q56" i="89"/>
  <c r="Q62" i="89" s="1"/>
  <c r="Q47" i="89"/>
  <c r="Q53" i="89" s="1"/>
  <c r="B2" i="89"/>
  <c r="Q65" i="89"/>
  <c r="Q75" i="89" s="1"/>
  <c r="C83" i="89"/>
  <c r="C82" i="89" s="1"/>
  <c r="C30" i="80"/>
  <c r="C39" i="80" s="1"/>
  <c r="Q69" i="80" s="1"/>
  <c r="Q68" i="80" s="1"/>
  <c r="Q67" i="15"/>
  <c r="C46" i="81"/>
  <c r="B9" i="70"/>
  <c r="B3" i="15"/>
  <c r="C71" i="15"/>
  <c r="Q57" i="15"/>
  <c r="Q62" i="15" s="1"/>
  <c r="Q66" i="15"/>
  <c r="Q75" i="15" s="1"/>
  <c r="H7" i="39"/>
  <c r="J7" i="39"/>
  <c r="F7" i="39"/>
  <c r="C10" i="71"/>
  <c r="D11" i="71"/>
  <c r="O63" i="40"/>
  <c r="O65" i="40" s="1"/>
  <c r="N65" i="40"/>
  <c r="L51" i="80"/>
  <c r="AO7" i="1"/>
  <c r="B7" i="70" l="1"/>
  <c r="B3" i="89"/>
  <c r="C40" i="80"/>
  <c r="Q47" i="80" s="1"/>
  <c r="Q53" i="80" s="1"/>
  <c r="Q67" i="80"/>
  <c r="C80" i="80"/>
  <c r="C79" i="80" s="1"/>
  <c r="W7" i="39"/>
  <c r="AC7" i="39"/>
  <c r="V47" i="39" s="1"/>
  <c r="I47" i="39" s="1"/>
  <c r="AA7" i="39"/>
  <c r="R47" i="39" s="1"/>
  <c r="S7" i="39"/>
  <c r="U7" i="39"/>
  <c r="AB7" i="39"/>
  <c r="T47" i="39" s="1"/>
  <c r="G47" i="39" s="1"/>
  <c r="D10" i="71"/>
  <c r="C9" i="71"/>
  <c r="J7" i="40"/>
  <c r="F7" i="40"/>
  <c r="H7" i="40"/>
  <c r="Q65" i="80" l="1"/>
  <c r="Q75" i="80" s="1"/>
  <c r="Q56" i="80"/>
  <c r="Q62" i="80" s="1"/>
  <c r="C43" i="80"/>
  <c r="C46" i="80"/>
  <c r="B2" i="80"/>
  <c r="C83" i="80"/>
  <c r="C82" i="80" s="1"/>
  <c r="G52" i="39"/>
  <c r="H52" i="39" s="1"/>
  <c r="G51" i="39"/>
  <c r="H51" i="39" s="1"/>
  <c r="I51" i="39"/>
  <c r="J51" i="39" s="1"/>
  <c r="E47" i="39"/>
  <c r="R48" i="39"/>
  <c r="C8" i="71"/>
  <c r="T9" i="71"/>
  <c r="D9" i="71"/>
  <c r="U9" i="71" s="1"/>
  <c r="U7" i="40"/>
  <c r="AB7" i="40"/>
  <c r="T42" i="40" s="1"/>
  <c r="G42" i="40" s="1"/>
  <c r="AA7" i="40"/>
  <c r="R42" i="40" s="1"/>
  <c r="S7" i="40"/>
  <c r="AC7" i="40"/>
  <c r="V42" i="40" s="1"/>
  <c r="I42" i="40" s="1"/>
  <c r="W7" i="40"/>
  <c r="AO6" i="1"/>
  <c r="B6" i="70" l="1"/>
  <c r="B2" i="70" s="1"/>
  <c r="B3" i="80"/>
  <c r="C47" i="39"/>
  <c r="C48" i="39"/>
  <c r="E51" i="39"/>
  <c r="F51" i="39" s="1"/>
  <c r="E52" i="39"/>
  <c r="F52" i="39" s="1"/>
  <c r="I52" i="39"/>
  <c r="J52" i="39" s="1"/>
  <c r="C7" i="71"/>
  <c r="D8" i="71"/>
  <c r="I46" i="40"/>
  <c r="J46" i="40" s="1"/>
  <c r="R43" i="40"/>
  <c r="E42" i="40"/>
  <c r="G47" i="40"/>
  <c r="H47" i="40" s="1"/>
  <c r="G46" i="40"/>
  <c r="H46" i="40" s="1"/>
  <c r="D19" i="9"/>
  <c r="D102" i="9" l="1"/>
  <c r="D21" i="9"/>
  <c r="B3" i="70"/>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D20" i="9"/>
  <c r="D103" i="9" l="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E17" i="12" l="1"/>
  <c r="C17" i="12"/>
  <c r="C21" i="12" s="1"/>
  <c r="B31" i="1"/>
  <c r="E19" i="68" s="1"/>
  <c r="C19" i="68" s="1"/>
  <c r="C22" i="12" l="1"/>
  <c r="C24" i="68"/>
  <c r="E19" i="11"/>
  <c r="C19" i="11" s="1"/>
  <c r="E19" i="69"/>
  <c r="C19" i="69" s="1"/>
  <c r="C24" i="69" l="1"/>
  <c r="C20" i="69"/>
  <c r="C25" i="69" s="1"/>
  <c r="C27" i="12"/>
  <c r="C25" i="12" s="1"/>
  <c r="C20" i="11"/>
  <c r="C25" i="11" s="1"/>
  <c r="C24" i="11"/>
  <c r="C28" i="11"/>
  <c r="C27" i="11" s="1"/>
  <c r="C30" i="12"/>
  <c r="C28" i="12" s="1"/>
  <c r="C32" i="12" l="1"/>
  <c r="B2" i="12" s="1"/>
  <c r="B3" i="12" s="1"/>
  <c r="C22" i="11"/>
  <c r="C31" i="11" s="1"/>
  <c r="C52" i="11" s="1"/>
  <c r="C28" i="69"/>
  <c r="C27" i="69" s="1"/>
  <c r="C22" i="69"/>
  <c r="C31" i="69" l="1"/>
  <c r="C52" i="69" s="1"/>
  <c r="C57" i="69" s="1"/>
  <c r="C56" i="69" s="1"/>
  <c r="C56" i="11"/>
  <c r="C57" i="11" s="1"/>
  <c r="B2" i="11"/>
  <c r="B3" i="11" s="1"/>
  <c r="B2" i="69" l="1"/>
  <c r="B3" i="69" s="1"/>
  <c r="C6" i="68" l="1"/>
  <c r="C7" i="68" s="1"/>
  <c r="C5" i="68" s="1"/>
  <c r="C23" i="68" l="1"/>
  <c r="C20" i="68"/>
  <c r="C25" i="68" s="1"/>
  <c r="C28" i="68" l="1"/>
  <c r="C27" i="68" s="1"/>
  <c r="C22" i="68"/>
  <c r="C31" i="68" l="1"/>
  <c r="C52" i="68" s="1"/>
  <c r="B2" i="68" l="1"/>
  <c r="C57" i="68"/>
  <c r="C56" i="68" s="1"/>
  <c r="C19" i="9"/>
  <c r="D22" i="9" l="1"/>
  <c r="G19" i="9"/>
  <c r="C21" i="9"/>
  <c r="C102" i="9"/>
  <c r="B3" i="68"/>
  <c r="C20" i="9"/>
  <c r="G20" i="9" l="1"/>
  <c r="C32" i="9" s="1"/>
  <c r="C35" i="9" s="1"/>
  <c r="C34" i="9" s="1"/>
  <c r="C103" i="9"/>
  <c r="G21" i="9"/>
  <c r="D14" i="74"/>
  <c r="E14" i="74" l="1"/>
  <c r="B5" i="74"/>
  <c r="F14" i="74"/>
  <c r="D5" i="74" l="1"/>
  <c r="C5" i="74"/>
  <c r="H5" i="52"/>
  <c r="H119" i="9"/>
  <c r="M55" i="9"/>
  <c r="D59" i="9"/>
  <c r="B32" i="72"/>
  <c r="D14" i="53"/>
  <c r="C86" i="9"/>
  <c r="C93" i="9"/>
  <c r="B20" i="72"/>
  <c r="B53" i="72"/>
  <c r="F5" i="52"/>
  <c r="F119" i="9"/>
  <c r="E81" i="9"/>
  <c r="E80" i="9"/>
  <c r="C80" i="9"/>
  <c r="N60" i="9"/>
  <c r="N59" i="9"/>
  <c r="N61" i="9"/>
  <c r="D8" i="52"/>
  <c r="B47" i="72"/>
  <c r="D4" i="52"/>
  <c r="C72" i="9"/>
  <c r="C79" i="9"/>
  <c r="C81" i="9"/>
  <c r="H102" i="9"/>
  <c r="D7" i="53"/>
  <c r="B21" i="72"/>
  <c r="E4" i="52"/>
  <c r="B48" i="72"/>
  <c r="C105" i="9"/>
  <c r="I4" i="52"/>
  <c r="E118" i="9"/>
  <c r="D118" i="9"/>
  <c r="D119" i="9"/>
  <c r="D5" i="52"/>
  <c r="B49" i="72"/>
  <c r="D6" i="74"/>
  <c r="G14" i="74"/>
  <c r="B6" i="74"/>
  <c r="C6" i="74"/>
  <c r="C104" i="9"/>
  <c r="H4" i="52"/>
  <c r="G4" i="52"/>
  <c r="B52" i="72"/>
  <c r="P57" i="9"/>
  <c r="D55" i="9"/>
  <c r="M53" i="9"/>
  <c r="N57" i="9"/>
  <c r="N58" i="9"/>
  <c r="M48" i="9"/>
  <c r="G118" i="9"/>
  <c r="F118" i="9"/>
  <c r="F4" i="52"/>
  <c r="B51" i="72"/>
  <c r="D52" i="9"/>
  <c r="D53" i="9"/>
  <c r="C96" i="9"/>
  <c r="E96" i="9"/>
  <c r="E97" i="9"/>
  <c r="D13" i="53"/>
  <c r="B30" i="72"/>
  <c r="C78" i="9"/>
  <c r="C73" i="9"/>
  <c r="D5" i="53"/>
  <c r="D6" i="53"/>
  <c r="B22" i="72"/>
  <c r="C85" i="9"/>
  <c r="C95" i="9"/>
  <c r="C97" i="9"/>
  <c r="D58" i="9"/>
  <c r="D56" i="9"/>
  <c r="M54" i="9"/>
  <c r="D122" i="9"/>
  <c r="D123" i="9"/>
  <c r="D9" i="52"/>
  <c r="D45" i="9"/>
  <c r="C64" i="9"/>
  <c r="C63" i="9"/>
  <c r="C67" i="9"/>
  <c r="C68" i="9"/>
  <c r="D54"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F234E16-1263-4962-ABCF-BFF599C7DF5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9DC855C-5762-430A-965E-195385400F1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2281F68-CFEB-44C1-8664-D4C2760B864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C5BE209-FF62-4BFC-BBAF-46B74F74D46C}">
      <text>
        <r>
          <rPr>
            <sz val="11"/>
            <color indexed="81"/>
            <rFont val="宋体"/>
            <family val="3"/>
            <charset val="134"/>
          </rPr>
          <t>在建项目均选择“是”</t>
        </r>
      </text>
    </comment>
    <comment ref="F59" authorId="1" shapeId="0" xr:uid="{9CC6E30B-BB20-4255-A062-EFEC7772519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424F9B9-282E-4BFB-AC40-A1B27666DF16}">
      <text>
        <r>
          <rPr>
            <sz val="10"/>
            <color indexed="81"/>
            <rFont val="宋体"/>
            <family val="3"/>
            <charset val="134"/>
          </rPr>
          <t xml:space="preserve">在建
</t>
        </r>
      </text>
    </comment>
    <comment ref="N59" authorId="0" shapeId="0" xr:uid="{BA7214B8-05EE-4C6A-A729-FFFC47097DE6}">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E0B0EF-75B3-4249-A3CD-DD48A38DE3DC}">
      <text>
        <r>
          <rPr>
            <b/>
            <sz val="9"/>
            <color indexed="81"/>
            <rFont val="宋体"/>
            <family val="3"/>
            <charset val="134"/>
          </rPr>
          <t>权重验证</t>
        </r>
        <r>
          <rPr>
            <sz val="9"/>
            <color indexed="81"/>
            <rFont val="宋体"/>
            <family val="3"/>
            <charset val="134"/>
          </rPr>
          <t xml:space="preserve">
</t>
        </r>
      </text>
    </comment>
    <comment ref="C58" authorId="1" shapeId="0" xr:uid="{BE3749FB-5E70-46FB-A35C-C1188ECC64A2}">
      <text>
        <r>
          <rPr>
            <b/>
            <sz val="12"/>
            <color indexed="81"/>
            <rFont val="宋体"/>
            <family val="3"/>
            <charset val="134"/>
          </rPr>
          <t>价值时点所在月度</t>
        </r>
        <r>
          <rPr>
            <sz val="12"/>
            <color indexed="81"/>
            <rFont val="宋体"/>
            <family val="3"/>
            <charset val="134"/>
          </rPr>
          <t xml:space="preserve">
</t>
        </r>
      </text>
    </comment>
    <comment ref="B102" authorId="1" shapeId="0" xr:uid="{FFF2D7AE-03A1-4E3A-B7C3-67E72E8474A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<sst xmlns="http://schemas.openxmlformats.org/spreadsheetml/2006/main" count="14032" uniqueCount="3513">
  <si>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</si>
  <si>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</si>
  <si>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</si>
  <si>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</si>
  <si>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</si>
  <si>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</si>
  <si>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</si>
  <si>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</si>
  <si>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</si>
  <si>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</si>
  <si>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</si>
  <si>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</si>
  <si>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</si>
  <si>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</si>
  <si>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</si>
  <si>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</si>
  <si>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</si>
  <si>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</si>
  <si>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</si>
  <si>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</si>
  <si>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</si>
  <si>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</si>
  <si>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</si>
  <si>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</si>
  <si>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</si>
  <si>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</si>
  <si>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</si>
  <si>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</si>
  <si>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</si>
  <si>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</si>
  <si>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</si>
  <si>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</si>
  <si>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</si>
  <si>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</si>
  <si>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</si>
  <si>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</si>
  <si>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</si>
  <si>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</si>
  <si>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</si>
  <si>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</si>
  <si>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</si>
  <si>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</si>
  <si>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</si>
  <si>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</si>
  <si>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</si>
  <si>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</si>
  <si>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</si>
  <si>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</si>
  <si>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</si>
  <si>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</si>
  <si>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</si>
  <si>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</si>
  <si>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</si>
  <si>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</si>
  <si>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</si>
  <si>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</si>
  <si>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</si>
  <si>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</si>
  <si>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</si>
  <si>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</si>
  <si>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</si>
  <si>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</si>
  <si>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</si>
  <si>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</si>
  <si>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</si>
  <si>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</si>
  <si>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</si>
  <si>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</si>
  <si>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</si>
  <si>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</si>
  <si>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</si>
  <si>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</si>
  <si>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</si>
  <si>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</si>
  <si>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</si>
  <si>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</si>
  <si>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</si>
  <si>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</si>
  <si>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</si>
  <si>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</si>
  <si>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</si>
  <si>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</si>
  <si>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</si>
  <si>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</si>
  <si>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</si>
  <si>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</si>
  <si>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</si>
  <si>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</si>
  <si>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</si>
  <si>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</si>
  <si>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</si>
  <si>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</si>
  <si>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</si>
  <si>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</si>
  <si>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</si>
  <si>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</si>
  <si>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</si>
  <si>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</si>
  <si>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</si>
  <si>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</si>
  <si>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</si>
  <si>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</si>
  <si>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</si>
  <si>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</si>
  <si>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</si>
  <si>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</si>
  <si>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</si>
  <si>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</si>
  <si>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</si>
  <si>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</si>
  <si>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</si>
  <si>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</si>
  <si>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</si>
  <si>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</si>
  <si>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</si>
  <si>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</si>
  <si>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</si>
  <si>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</si>
  <si>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</si>
  <si>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</si>
  <si>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</si>
  <si>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</si>
  <si>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</si>
  <si>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</si>
  <si>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</si>
  <si>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</si>
  <si>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</si>
  <si>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</si>
  <si>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</si>
  <si>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</si>
  <si>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</si>
  <si>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</si>
  <si>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</si>
  <si>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</si>
  <si>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</si>
  <si>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</si>
  <si>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</si>
  <si>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</si>
  <si>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</si>
  <si>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</si>
  <si>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</si>
  <si>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</si>
  <si>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</si>
  <si>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</si>
  <si>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</si>
  <si>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</si>
  <si>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</si>
  <si>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</si>
  <si>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</si>
  <si>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</si>
  <si>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</si>
  <si>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</si>
  <si>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</si>
  <si>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</si>
  <si>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</si>
  <si>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</si>
  <si>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</si>
  <si>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</si>
  <si>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</si>
  <si>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</si>
  <si>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</si>
  <si>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</si>
  <si>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</si>
  <si>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</si>
  <si>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</si>
  <si>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</si>
  <si>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</si>
  <si>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</si>
  <si>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</si>
  <si>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</si>
  <si>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</si>
  <si>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</si>
  <si>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</si>
  <si>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</si>
  <si>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</si>
  <si>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</si>
  <si>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</si>
  <si>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</si>
  <si>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</si>
  <si>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</si>
  <si>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</si>
  <si>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</si>
  <si>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</si>
  <si>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</si>
  <si>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</si>
  <si>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</si>
  <si>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</si>
  <si>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</si>
  <si>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</si>
  <si>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</si>
  <si>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</si>
  <si>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</si>
  <si>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</si>
  <si>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</si>
  <si>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</si>
  <si>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</si>
  <si>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</si>
  <si>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</si>
  <si>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</si>
  <si>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</si>
  <si>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</si>
  <si>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</si>
  <si>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</si>
  <si>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</si>
  <si>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</si>
  <si>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</si>
  <si>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</si>
  <si>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</si>
  <si>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</si>
  <si>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</si>
  <si>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</si>
  <si>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</si>
  <si>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</si>
  <si>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</si>
  <si>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</si>
  <si>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</si>
  <si>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</si>
  <si>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</si>
  <si>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</si>
  <si>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</si>
  <si>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</si>
  <si>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</si>
  <si>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</si>
  <si>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</si>
  <si>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</si>
  <si>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</si>
  <si>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</si>
  <si>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</si>
  <si>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</si>
  <si>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</si>
  <si>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</si>
  <si>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</si>
  <si>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</si>
  <si>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</si>
  <si>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</si>
  <si>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</si>
  <si>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</si>
  <si>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</si>
  <si>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</si>
  <si>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</si>
  <si>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</si>
  <si>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</si>
  <si>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</si>
  <si>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</si>
  <si>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</si>
  <si>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</si>
  <si>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</si>
  <si>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</si>
  <si>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</si>
  <si>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</si>
  <si>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</si>
  <si>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</si>
  <si>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</si>
  <si>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</si>
  <si>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</si>
  <si>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</si>
  <si>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</si>
  <si>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</si>
  <si>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</si>
  <si>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</si>
  <si>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</si>
  <si>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</si>
  <si>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</si>
  <si>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</si>
  <si>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</si>
  <si>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</si>
  <si>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</si>
  <si>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</si>
  <si>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</si>
  <si>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</si>
  <si>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</si>
  <si>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</si>
  <si>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</si>
  <si>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</si>
  <si>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</si>
  <si>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</si>
  <si>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</si>
  <si>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</si>
  <si>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</si>
  <si>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</si>
  <si>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</si>
  <si>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</si>
  <si>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</si>
  <si>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</si>
  <si>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</si>
  <si>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</si>
  <si>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</si>
  <si>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</si>
  <si>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</si>
  <si>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</si>
  <si>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</si>
  <si>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</si>
  <si>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</si>
  <si>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</si>
  <si>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</si>
  <si>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</si>
  <si>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</si>
  <si>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</si>
  <si>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</si>
  <si>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</si>
  <si>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</si>
  <si>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</si>
  <si>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</si>
  <si>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</si>
  <si>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</si>
  <si>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</si>
  <si>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</si>
  <si>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</si>
  <si>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</si>
  <si>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</si>
  <si>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</si>
  <si>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</si>
  <si>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</si>
  <si>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</si>
  <si>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</si>
  <si>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</si>
  <si>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</si>
  <si>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</si>
  <si>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</si>
  <si>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</si>
  <si>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</si>
  <si>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</si>
  <si>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</si>
  <si>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</si>
  <si>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</si>
  <si>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</si>
  <si>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</si>
  <si>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</si>
  <si>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</si>
  <si>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</si>
  <si>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</si>
  <si>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</si>
  <si>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</si>
  <si>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</si>
  <si>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</si>
  <si>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</si>
  <si>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</si>
  <si>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</si>
  <si>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</si>
  <si>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</si>
  <si>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</si>
  <si>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</si>
  <si>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</si>
  <si>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</si>
  <si>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</si>
  <si>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</si>
  <si>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</si>
  <si>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</si>
  <si>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</si>
  <si>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</si>
  <si>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</si>
  <si>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</si>
  <si>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</si>
  <si>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</si>
  <si>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</si>
  <si>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</si>
  <si>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</si>
  <si>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</si>
  <si>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</si>
  <si>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</si>
  <si>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</si>
  <si>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</si>
  <si>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</si>
  <si>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</si>
  <si>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</si>
  <si>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</si>
  <si>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</si>
  <si>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</si>
  <si>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</si>
  <si>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</si>
  <si>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</si>
  <si>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</si>
  <si>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</si>
  <si>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</si>
  <si>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</si>
  <si>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</si>
  <si>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</si>
  <si>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</si>
  <si>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</si>
  <si>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</si>
  <si>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</si>
  <si>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</si>
  <si>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</si>
  <si>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</si>
  <si>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</si>
  <si>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</si>
  <si>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</si>
  <si>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</si>
  <si>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</si>
  <si>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</si>
  <si>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</si>
  <si>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</si>
  <si>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</si>
  <si>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</si>
  <si>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</si>
  <si>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</si>
  <si>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</si>
  <si>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</si>
  <si>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</si>
  <si>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</si>
  <si>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</si>
  <si>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</si>
  <si>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</si>
  <si>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</si>
  <si>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</si>
  <si>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</si>
  <si>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</si>
  <si>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</si>
  <si>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</si>
  <si>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</si>
  <si>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</si>
  <si>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</si>
  <si>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</si>
  <si>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</si>
  <si>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</si>
  <si>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</si>
  <si>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</si>
  <si>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</si>
  <si>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</si>
  <si>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</si>
  <si>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</si>
  <si>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</si>
  <si>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</si>
  <si>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</si>
  <si>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</si>
  <si>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</si>
  <si>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</si>
  <si>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</si>
  <si>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</si>
  <si>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</si>
  <si>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</si>
  <si>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</si>
  <si>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</si>
  <si>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</si>
  <si>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</si>
  <si>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</si>
  <si>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</si>
  <si>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</si>
  <si>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</si>
  <si>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</si>
  <si>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</si>
  <si>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</si>
  <si>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</si>
  <si>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</si>
  <si>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</si>
  <si>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</si>
  <si>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</si>
  <si>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</si>
  <si>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</si>
  <si>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</si>
  <si>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</si>
  <si>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</si>
  <si>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</si>
  <si>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</si>
  <si>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</si>
  <si>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</si>
  <si>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</si>
  <si>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</si>
  <si>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</si>
  <si>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</si>
  <si>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</si>
  <si>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</si>
  <si>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</si>
  <si>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</si>
  <si>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</si>
  <si>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</si>
  <si>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</si>
  <si>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</si>
  <si>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</si>
  <si>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</si>
  <si>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</si>
  <si>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</si>
  <si>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</si>
  <si>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</si>
  <si>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</si>
  <si>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</si>
  <si>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</si>
  <si>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</si>
  <si>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</si>
  <si>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</si>
  <si>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</si>
  <si>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</si>
  <si>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</si>
  <si>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</si>
  <si>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</si>
  <si>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</si>
  <si>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</si>
  <si>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</si>
  <si>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</si>
  <si>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</si>
  <si>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</si>
  <si>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</si>
  <si>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</si>
  <si>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</si>
  <si>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</si>
  <si>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</si>
  <si>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</si>
  <si>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</si>
  <si>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</si>
  <si>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</si>
  <si>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</si>
  <si>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</si>
  <si>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</si>
  <si>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</si>
  <si>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</si>
  <si>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</si>
  <si>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</si>
  <si>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</si>
  <si>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</si>
  <si>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</si>
  <si>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</si>
  <si>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</si>
  <si>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</si>
  <si>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</si>
  <si>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</si>
  <si>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</si>
  <si>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</si>
  <si>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</si>
  <si>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</si>
  <si>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</si>
  <si>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</si>
  <si>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</si>
  <si>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</si>
  <si>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</si>
  <si>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</si>
  <si>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</si>
  <si>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</si>
  <si>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</si>
  <si>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</si>
  <si>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</si>
  <si>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</si>
  <si>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</si>
  <si>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</si>
  <si>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</si>
  <si>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</si>
  <si>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</si>
  <si>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</si>
  <si>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</si>
  <si>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</si>
  <si>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</si>
  <si>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</si>
  <si>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</si>
  <si>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</si>
  <si>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</si>
  <si>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</si>
  <si>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</si>
  <si>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</si>
  <si>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</si>
  <si>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</si>
  <si>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</si>
  <si>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</si>
  <si>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</si>
  <si>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</si>
  <si>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</si>
  <si>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</si>
  <si>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</si>
  <si>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</si>
  <si>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</si>
  <si>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</si>
  <si>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</si>
  <si>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</si>
  <si>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</si>
  <si>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</si>
  <si>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</si>
  <si>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</si>
  <si>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</si>
  <si>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</si>
  <si>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</si>
  <si>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</si>
  <si>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</si>
  <si>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</si>
  <si>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</si>
  <si>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</si>
  <si>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</si>
  <si>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</si>
  <si>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</si>
  <si>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</si>
  <si>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</si>
  <si>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</si>
  <si>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</si>
  <si>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</si>
  <si>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</si>
  <si>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</si>
  <si>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</si>
  <si>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</si>
  <si>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</si>
  <si>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</si>
  <si>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</si>
  <si>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</si>
  <si>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</si>
  <si>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</si>
  <si>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</si>
  <si>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</si>
  <si>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</si>
  <si>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</si>
  <si>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</si>
  <si>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</si>
  <si>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</si>
  <si>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</si>
  <si>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</si>
  <si>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</si>
  <si>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</si>
  <si>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</si>
  <si>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</si>
  <si>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</si>
  <si>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</si>
  <si>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</si>
  <si>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</si>
  <si>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</si>
  <si>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</si>
  <si>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</si>
  <si>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</si>
  <si>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</si>
  <si>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</si>
  <si>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</si>
  <si>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</si>
  <si>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</si>
  <si>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</si>
  <si>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</si>
  <si>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</si>
  <si>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</si>
  <si>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</si>
  <si>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</si>
  <si>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</si>
  <si>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</si>
  <si>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</si>
  <si>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</si>
  <si>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</si>
  <si>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</si>
  <si>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</si>
  <si>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</si>
  <si>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</si>
  <si>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</si>
  <si>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</si>
  <si>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</si>
  <si>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</si>
  <si>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</si>
  <si>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</si>
  <si>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</si>
  <si>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</si>
  <si>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</si>
  <si>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</si>
  <si>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</si>
  <si>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</si>
  <si>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</si>
  <si>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</si>
  <si>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</si>
  <si>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</si>
  <si>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</si>
  <si>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</si>
  <si>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</si>
  <si>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</si>
  <si>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</si>
  <si>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</si>
  <si>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</si>
  <si>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</si>
  <si>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</si>
  <si>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</si>
  <si>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</si>
  <si>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</si>
  <si>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</si>
  <si>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</si>
  <si>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</si>
  <si>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</si>
  <si>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</si>
  <si>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</si>
  <si>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</si>
  <si>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</si>
  <si>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</si>
  <si>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</si>
  <si>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</si>
  <si>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</si>
  <si>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</si>
  <si>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</si>
  <si>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</si>
  <si>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</si>
  <si>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</si>
  <si>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</si>
  <si>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</si>
  <si>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</si>
  <si>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</si>
  <si>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</si>
  <si>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</si>
  <si>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</si>
  <si>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</si>
  <si>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</si>
  <si>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</si>
  <si>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</si>
  <si>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</si>
  <si>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</si>
  <si>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</si>
  <si>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</si>
  <si>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</si>
  <si>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</si>
  <si>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</si>
  <si>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</si>
  <si>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</si>
  <si>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</si>
  <si>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</si>
  <si>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</si>
  <si>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</si>
  <si>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</si>
  <si>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</si>
  <si>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</si>
  <si>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</si>
  <si>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</si>
  <si>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</si>
  <si>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</si>
  <si>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</si>
  <si>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</si>
  <si>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</si>
  <si>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</si>
  <si>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</si>
  <si>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</si>
  <si>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</si>
  <si>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</si>
  <si>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</si>
  <si>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</si>
  <si>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</si>
  <si>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</si>
  <si>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</si>
  <si>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</si>
  <si>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</si>
  <si>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</si>
  <si>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</si>
  <si>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</si>
  <si>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</si>
  <si>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</si>
  <si>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</si>
  <si>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</si>
  <si>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</si>
  <si>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</si>
  <si>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</si>
  <si>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</si>
  <si>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</si>
  <si>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</si>
  <si>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</si>
  <si>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</si>
  <si>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</si>
  <si>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</si>
  <si>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</si>
  <si>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</si>
  <si>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</si>
  <si>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</si>
  <si>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</si>
  <si>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</si>
  <si>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</si>
  <si>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</si>
  <si>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</si>
  <si>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</si>
  <si>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</si>
  <si>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</si>
  <si>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</si>
  <si>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</si>
  <si>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</si>
  <si>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</si>
  <si>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</si>
  <si>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</si>
  <si>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</si>
  <si>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</si>
  <si>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</si>
  <si>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</si>
  <si>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</si>
  <si>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</si>
  <si>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</si>
  <si>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</si>
  <si>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</si>
  <si>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</si>
  <si>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</si>
  <si>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</si>
  <si>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</si>
  <si>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</si>
  <si>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</si>
  <si>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</si>
  <si>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</si>
  <si>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</si>
  <si>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</si>
  <si>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</si>
  <si>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</si>
  <si>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</si>
  <si>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</si>
  <si>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</si>
  <si>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</si>
  <si>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</si>
  <si>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</si>
  <si>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</si>
  <si>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</si>
  <si>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</si>
  <si>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</si>
  <si>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</si>
  <si>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</si>
  <si>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</si>
  <si>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</si>
  <si>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</si>
  <si>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</si>
  <si>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</si>
  <si>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</si>
  <si>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</si>
  <si>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</si>
  <si>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</si>
  <si>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</si>
  <si>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</si>
  <si>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</si>
  <si>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</si>
  <si>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</si>
  <si>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</si>
  <si>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</si>
  <si>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</si>
  <si>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</si>
  <si>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</si>
  <si>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</si>
  <si>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</si>
  <si>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</si>
  <si>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</si>
  <si>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</si>
  <si>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</si>
  <si>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</si>
  <si>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</si>
  <si>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</si>
  <si>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</si>
  <si>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</si>
  <si>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</si>
  <si>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</si>
  <si>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</si>
  <si>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</si>
  <si>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</si>
  <si>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</si>
  <si>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</si>
  <si>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</si>
  <si>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</si>
  <si>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</si>
  <si>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</si>
  <si>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</si>
  <si>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</si>
  <si>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</si>
  <si>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</si>
  <si>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</si>
  <si>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</si>
  <si>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</si>
  <si>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</si>
  <si>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</si>
  <si>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</si>
  <si>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</si>
  <si>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</si>
  <si>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</si>
  <si>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</si>
  <si>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</si>
  <si>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</si>
  <si>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</si>
  <si>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</si>
  <si>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</si>
  <si>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</si>
  <si>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</si>
  <si>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</si>
  <si>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</si>
  <si>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</si>
  <si>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</si>
  <si>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</si>
  <si>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</si>
  <si>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</si>
  <si>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</si>
  <si>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</si>
  <si>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</si>
  <si>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</si>
  <si>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</si>
  <si>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</si>
  <si>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</si>
  <si>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</si>
  <si>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</si>
  <si>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</si>
  <si>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</si>
  <si>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</si>
  <si>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</si>
  <si>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</si>
  <si>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</si>
  <si>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</si>
  <si>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</si>
  <si>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</si>
  <si>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</si>
  <si>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</si>
  <si>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</si>
  <si>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</si>
  <si>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</si>
  <si>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</si>
  <si>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</si>
  <si>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</si>
  <si>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</si>
  <si>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</si>
  <si>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</si>
  <si>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</si>
  <si>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</si>
  <si>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</si>
  <si>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</si>
  <si>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</si>
  <si>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</si>
  <si>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</si>
  <si>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</si>
  <si>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</si>
  <si>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</si>
  <si>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</si>
  <si>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</si>
  <si>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</si>
  <si>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</si>
  <si>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</si>
  <si>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</si>
  <si>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</si>
  <si>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</si>
  <si>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</si>
  <si>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</si>
  <si>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</si>
  <si>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</si>
  <si>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</si>
  <si>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</si>
  <si>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</si>
  <si>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</si>
  <si>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</si>
  <si>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</si>
  <si>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</si>
  <si>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</si>
  <si>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</si>
  <si>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</si>
  <si>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</si>
  <si>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</si>
  <si>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</si>
  <si>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</si>
  <si>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</si>
  <si>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</si>
  <si>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</si>
  <si>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</si>
  <si>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</si>
  <si>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</si>
  <si>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</si>
  <si>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</si>
  <si>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</si>
  <si>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</si>
  <si>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</si>
  <si>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</si>
  <si>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</si>
  <si>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</si>
  <si>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</si>
  <si>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</si>
  <si>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</si>
  <si>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</si>
  <si>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</si>
  <si>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</si>
  <si>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</si>
  <si>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</si>
  <si>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</si>
  <si>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</si>
  <si>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</si>
  <si>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</si>
  <si>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</si>
  <si>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</si>
  <si>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</si>
  <si>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</si>
  <si>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</si>
  <si>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</si>
  <si>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</si>
  <si>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</si>
  <si>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</si>
  <si>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</si>
  <si>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</si>
  <si>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</si>
  <si>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</si>
  <si>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</si>
  <si>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</si>
  <si>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</si>
  <si>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</si>
  <si>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</si>
  <si>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</si>
  <si>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</si>
  <si>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</si>
  <si>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</si>
  <si>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</si>
  <si>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</si>
  <si>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</si>
  <si>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</si>
  <si>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</si>
  <si>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</si>
  <si>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</si>
  <si>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</si>
  <si>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</si>
  <si>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</si>
  <si>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</si>
  <si>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</si>
  <si>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</si>
  <si>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</si>
  <si>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</si>
  <si>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</si>
  <si>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</si>
  <si>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</si>
  <si>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</si>
  <si>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</si>
  <si>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</si>
  <si>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</si>
  <si>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</si>
  <si>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</si>
  <si>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</si>
  <si>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</si>
  <si>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</si>
  <si>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</si>
  <si>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</si>
  <si>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</si>
  <si>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</si>
  <si>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</si>
  <si>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</si>
  <si>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</si>
  <si>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</si>
  <si>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</si>
  <si>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</si>
  <si>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</si>
  <si>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</si>
  <si>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</si>
  <si>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</si>
  <si>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</si>
  <si>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</si>
  <si>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</si>
  <si>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</si>
  <si>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</si>
  <si>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</si>
  <si>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</si>
  <si>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</si>
  <si>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</si>
  <si>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</si>
  <si>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</si>
  <si>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</si>
  <si>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</si>
  <si>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</si>
  <si>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</si>
  <si>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</si>
  <si>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</si>
  <si>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</si>
  <si>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</si>
  <si>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</si>
  <si>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</si>
  <si>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</si>
  <si>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</si>
  <si>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</si>
  <si>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</si>
  <si>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</si>
  <si>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</si>
  <si>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</si>
  <si>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</si>
  <si>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</si>
  <si>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</si>
  <si>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</si>
  <si>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</si>
  <si>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</si>
  <si>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</si>
  <si>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</si>
  <si>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</si>
  <si>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</si>
  <si>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</si>
  <si>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</si>
  <si>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</si>
  <si>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</si>
  <si>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</si>
  <si>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</si>
  <si>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</si>
  <si>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</si>
  <si>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</si>
  <si>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</si>
  <si>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</si>
  <si>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</si>
  <si>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</si>
  <si>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</si>
  <si>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</si>
  <si>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</si>
  <si>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</si>
  <si>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</si>
  <si>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</si>
  <si>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</si>
  <si>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</si>
  <si>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</si>
  <si>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</si>
  <si>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</si>
  <si>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</si>
  <si>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</si>
  <si>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</si>
  <si>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</si>
  <si>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</si>
  <si>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</si>
  <si>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</si>
  <si>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</si>
  <si>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</si>
  <si>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</si>
  <si>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</si>
  <si>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</si>
  <si>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</si>
  <si>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</si>
  <si>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</si>
  <si>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</si>
  <si>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</si>
  <si>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</si>
  <si>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</si>
  <si>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</si>
  <si>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</si>
  <si>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</si>
  <si>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</si>
  <si>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</si>
  <si>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</si>
  <si>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</si>
  <si>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</si>
  <si>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</si>
  <si>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</si>
  <si>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</si>
  <si>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</si>
  <si>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</si>
  <si>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</si>
  <si>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</si>
  <si>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</si>
  <si>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</si>
  <si>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</si>
  <si>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</si>
  <si>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</si>
  <si>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</si>
  <si>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</si>
  <si>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</si>
  <si>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</si>
  <si>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</si>
  <si>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</si>
  <si>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</si>
  <si>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</si>
  <si>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</si>
  <si>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</si>
  <si>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</si>
  <si>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</si>
  <si>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</si>
  <si>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</si>
  <si>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</si>
  <si>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</si>
  <si>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</si>
  <si>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</si>
  <si>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</si>
  <si>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</si>
  <si>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</si>
  <si>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</si>
  <si>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</si>
  <si>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</si>
  <si>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</si>
  <si>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</si>
  <si>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</si>
  <si>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</si>
  <si>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</si>
  <si>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</si>
  <si>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</si>
  <si>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</si>
  <si>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</si>
  <si>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</si>
  <si>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</si>
  <si>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</si>
  <si>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</si>
  <si>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</si>
  <si>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</si>
  <si>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</si>
  <si>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</si>
  <si>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</si>
  <si>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</si>
  <si>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</si>
  <si>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</si>
  <si>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</si>
  <si>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</si>
  <si>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</si>
  <si>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</si>
  <si>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</si>
  <si>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</si>
  <si>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</si>
  <si>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</si>
  <si>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</si>
  <si>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</si>
  <si>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</si>
  <si>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</si>
  <si>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</si>
  <si>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</si>
  <si>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</si>
  <si>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</si>
  <si>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</si>
  <si>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</si>
  <si>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</si>
  <si>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</si>
  <si>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</si>
  <si>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</si>
  <si>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</si>
  <si>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</si>
  <si>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</si>
  <si>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</si>
  <si>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</si>
  <si>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</si>
  <si>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</si>
  <si>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</si>
  <si>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</si>
  <si>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</si>
  <si>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</si>
  <si>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</si>
  <si>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</si>
  <si>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</si>
  <si>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</si>
  <si>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</si>
  <si>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</si>
  <si>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</si>
  <si>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</si>
  <si>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</si>
  <si>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</si>
  <si>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</si>
  <si>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</si>
  <si>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</si>
  <si>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</si>
  <si>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</si>
  <si>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</si>
  <si>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</si>
  <si>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</si>
  <si>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</si>
  <si>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</si>
  <si>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</si>
  <si>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</si>
  <si>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</si>
  <si>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</si>
  <si>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</si>
  <si>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</si>
  <si>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</si>
  <si>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</si>
  <si>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</si>
  <si>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</si>
  <si>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</si>
  <si>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</si>
  <si>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</si>
  <si>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</si>
  <si>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</si>
  <si>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</si>
  <si>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</si>
  <si>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</si>
  <si>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</si>
  <si>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</si>
  <si>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</si>
  <si>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</si>
  <si>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</si>
  <si>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</si>
  <si>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</si>
  <si>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</si>
  <si>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</si>
  <si>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</si>
  <si>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</si>
  <si>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</si>
  <si>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</si>
  <si>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</si>
  <si>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</si>
  <si>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</si>
  <si>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</si>
  <si>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</si>
  <si>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</si>
  <si>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</si>
  <si>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</si>
  <si>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</si>
  <si>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</si>
  <si>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</si>
  <si>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</si>
  <si>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</si>
  <si>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</si>
  <si>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</si>
  <si>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</si>
  <si>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</si>
  <si>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</si>
  <si>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</si>
  <si>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</si>
  <si>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</si>
  <si>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</si>
  <si>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</si>
  <si>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</si>
  <si>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</si>
  <si>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</si>
  <si>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</si>
  <si>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</si>
  <si>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</si>
  <si>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</si>
  <si>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</si>
  <si>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</si>
  <si>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</si>
  <si>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</si>
  <si>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</si>
  <si>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</si>
  <si>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</si>
  <si>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</si>
  <si>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</si>
  <si>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</si>
  <si>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</si>
  <si>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</si>
  <si>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</si>
  <si>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</si>
  <si>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</si>
  <si>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</si>
  <si>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</si>
  <si>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</si>
  <si>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</si>
  <si>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</si>
  <si>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</si>
  <si>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</si>
  <si>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</si>
  <si>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</si>
  <si>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</si>
  <si>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</si>
  <si>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</si>
  <si>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</si>
  <si>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</si>
  <si>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</si>
  <si>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</si>
  <si>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</si>
  <si>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</si>
  <si>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</si>
  <si>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</si>
  <si>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</si>
  <si>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</si>
  <si>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</si>
  <si>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</si>
  <si>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</si>
  <si>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</si>
  <si>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</si>
  <si>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</si>
  <si>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</si>
  <si>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</si>
  <si>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</si>
  <si>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</si>
  <si>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</si>
  <si>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</si>
  <si>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</si>
  <si>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</si>
  <si>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</si>
  <si>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</si>
  <si>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</si>
  <si>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</si>
  <si>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</si>
  <si>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</si>
  <si>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</si>
  <si>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</si>
  <si>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</si>
  <si>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</si>
  <si>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</si>
  <si>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</si>
  <si>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</si>
  <si>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</si>
  <si>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</si>
  <si>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</si>
  <si>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</si>
  <si>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</si>
  <si>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</si>
  <si>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</si>
  <si>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</si>
  <si>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</si>
  <si>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</si>
  <si>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</si>
  <si>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</si>
  <si>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</si>
  <si>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</si>
  <si>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</si>
  <si>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</si>
  <si>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</si>
  <si>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</si>
  <si>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</si>
  <si>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</si>
  <si>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</si>
  <si>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</si>
  <si>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</si>
  <si>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</si>
  <si>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</si>
  <si>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</si>
  <si>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</si>
  <si>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</si>
  <si>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</si>
  <si>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</si>
  <si>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</si>
  <si>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</si>
  <si>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</si>
  <si>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</si>
  <si>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</si>
  <si>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</si>
  <si>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</si>
  <si>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</si>
  <si>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</si>
  <si>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</si>
  <si>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</si>
  <si>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</si>
  <si>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</si>
  <si>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</si>
  <si>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</si>
  <si>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</si>
  <si>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</si>
  <si>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</si>
  <si>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</si>
  <si>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</si>
  <si>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</si>
  <si>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</si>
  <si>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</si>
  <si>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</si>
  <si>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</si>
  <si>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</si>
  <si>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</si>
  <si>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</si>
  <si>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</si>
  <si>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</si>
  <si>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</si>
  <si>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</si>
  <si>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</si>
  <si>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</si>
  <si>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</si>
  <si>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</si>
  <si>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</si>
  <si>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</si>
  <si>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</si>
  <si>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</si>
  <si>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</si>
  <si>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</si>
  <si>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</si>
  <si>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</si>
  <si>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</si>
  <si>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</si>
  <si>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</si>
  <si>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</si>
  <si>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</si>
  <si>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</si>
  <si>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</si>
  <si>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</si>
  <si>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</si>
  <si>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</si>
  <si>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</si>
  <si>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</si>
  <si>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</si>
  <si>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</si>
  <si>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</si>
  <si>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</si>
  <si>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</si>
  <si>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</si>
  <si>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</si>
  <si>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</si>
  <si>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</si>
  <si>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</si>
  <si>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</si>
  <si>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</si>
  <si>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</si>
  <si>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</si>
  <si>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</si>
  <si>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</si>
  <si>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</si>
  <si>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</si>
  <si>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</si>
  <si>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</si>
  <si>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</si>
  <si>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</si>
  <si>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</si>
  <si>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</si>
  <si>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</si>
  <si>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</si>
  <si>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</si>
  <si>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</si>
  <si>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</si>
  <si>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</si>
  <si>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</si>
  <si>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</si>
  <si>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</si>
  <si>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</si>
  <si>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</si>
  <si>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</si>
  <si>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</si>
  <si>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</si>
  <si>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</si>
  <si>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</si>
  <si>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</si>
  <si>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</si>
  <si>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</si>
  <si>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</si>
  <si>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</si>
  <si>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</si>
  <si>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</si>
  <si>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</si>
  <si>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</si>
  <si>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</si>
  <si>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</si>
  <si>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</si>
  <si>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</si>
  <si>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</si>
  <si>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</si>
  <si>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</si>
  <si>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</si>
  <si>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</si>
  <si>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</si>
  <si>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</si>
  <si>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</si>
  <si>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</si>
  <si>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</si>
  <si>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</si>
  <si>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</si>
  <si>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</si>
  <si>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</si>
  <si>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</si>
  <si>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</si>
  <si>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</si>
  <si>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</si>
  <si>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</si>
  <si>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</si>
  <si>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</si>
  <si>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</si>
  <si>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</si>
  <si>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</si>
  <si>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</si>
  <si>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</si>
  <si>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</si>
  <si>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</si>
  <si>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</si>
  <si>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</si>
  <si>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</si>
  <si>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</si>
  <si>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</si>
  <si>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</si>
  <si>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</si>
  <si>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</si>
  <si>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</si>
  <si>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</si>
  <si>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</si>
  <si>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</si>
  <si>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</si>
  <si>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</si>
  <si>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</si>
  <si>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</si>
  <si>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</si>
  <si>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</si>
  <si>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</si>
  <si>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</si>
  <si>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</si>
  <si>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</si>
  <si>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</si>
  <si>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</si>
  <si>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</si>
  <si>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</si>
  <si>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</si>
  <si>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</si>
  <si>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</si>
  <si>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</si>
  <si>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</si>
  <si>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</si>
  <si>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</si>
  <si>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</si>
  <si>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</si>
  <si>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</si>
  <si>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</si>
  <si>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</si>
  <si>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</si>
  <si>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</si>
  <si>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</si>
  <si>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</si>
  <si>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</si>
  <si>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</si>
  <si>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</si>
  <si>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</si>
  <si>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</si>
  <si>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</si>
  <si>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</si>
  <si>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</si>
  <si>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</si>
  <si>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</si>
  <si>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</si>
  <si>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</si>
  <si>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</si>
  <si>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</si>
  <si>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</si>
  <si>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</si>
  <si>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</si>
  <si>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</si>
  <si>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</si>
  <si>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</si>
  <si>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</si>
  <si>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</si>
  <si>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</si>
  <si>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</si>
  <si>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</si>
  <si>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</si>
  <si>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</si>
  <si>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</si>
  <si>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</si>
  <si>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</si>
  <si>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</si>
  <si>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</si>
  <si>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</si>
  <si>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</si>
  <si>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</si>
  <si>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</si>
  <si>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</si>
  <si>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</si>
  <si>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</si>
  <si>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</si>
  <si>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</si>
  <si>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</si>
  <si>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</si>
  <si>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</si>
  <si>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</si>
  <si>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</si>
  <si>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</si>
  <si>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</si>
  <si>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</si>
  <si>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</si>
  <si>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</si>
  <si>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</si>
  <si>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</si>
  <si>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</si>
  <si>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</si>
  <si>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</si>
  <si>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</si>
  <si>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</si>
  <si>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</si>
  <si>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</si>
  <si>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</si>
  <si>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</si>
  <si>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</si>
  <si>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</si>
  <si>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</si>
  <si>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</si>
  <si>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</si>
  <si>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</si>
  <si>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</si>
  <si>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</si>
  <si>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</si>
  <si>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</si>
  <si>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</si>
  <si>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</si>
  <si>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</si>
  <si>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</si>
  <si>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</si>
  <si>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</si>
  <si>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</si>
  <si>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</si>
  <si>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</si>
  <si>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</si>
  <si>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</si>
  <si>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</si>
  <si>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</si>
  <si>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</si>
  <si>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</si>
  <si>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</si>
  <si>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</si>
  <si>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</si>
  <si>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</si>
  <si>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</si>
  <si>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</si>
  <si>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</si>
  <si>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</si>
  <si>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</si>
  <si>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</si>
  <si>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</si>
  <si>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</si>
  <si>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</si>
  <si>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</si>
  <si>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</si>
  <si>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</si>
  <si>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</si>
  <si>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</si>
  <si>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</si>
  <si>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</si>
  <si>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</si>
  <si>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</si>
  <si>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</si>
  <si>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</si>
  <si>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</si>
  <si>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</si>
  <si>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</si>
  <si>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</si>
  <si>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</si>
  <si>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</si>
  <si>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</si>
  <si>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</si>
  <si>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</si>
  <si>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</si>
  <si>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</si>
  <si>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</si>
  <si>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</si>
  <si>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</si>
  <si>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</si>
  <si>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</si>
  <si>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</si>
  <si>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</si>
  <si>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</si>
  <si>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</si>
  <si>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</si>
  <si>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</si>
  <si>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</si>
  <si>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</si>
  <si>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</si>
  <si>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</si>
  <si>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</si>
  <si>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</si>
  <si>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</si>
  <si>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</si>
  <si>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</si>
  <si>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</si>
  <si>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</si>
  <si>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</si>
  <si>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</si>
  <si>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</si>
  <si>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</si>
  <si>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</si>
  <si>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</si>
  <si>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</si>
  <si>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</si>
  <si>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</si>
  <si>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</si>
  <si>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</si>
  <si>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</si>
  <si>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</si>
  <si>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</si>
  <si>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</si>
  <si>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</si>
  <si>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</si>
  <si>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</si>
  <si>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</si>
  <si>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</si>
  <si>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</si>
  <si>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</si>
  <si>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</si>
  <si>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</si>
  <si>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</si>
  <si>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</si>
  <si>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</si>
  <si>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</si>
  <si>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</si>
  <si>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</si>
  <si>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</si>
  <si>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</si>
  <si>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</si>
  <si>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</si>
  <si>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</si>
  <si>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</si>
  <si>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</si>
  <si>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</si>
  <si>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</si>
  <si>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</si>
  <si>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</si>
  <si>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</si>
  <si>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</si>
  <si>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</si>
  <si>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</si>
  <si>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</si>
  <si>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</si>
  <si>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</si>
  <si>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</si>
  <si>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</si>
  <si>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</si>
  <si>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</si>
  <si>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</si>
  <si>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</si>
  <si>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</si>
  <si>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</si>
  <si>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</si>
  <si>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</si>
  <si>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</si>
  <si>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</si>
  <si>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</si>
  <si>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</si>
  <si>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</si>
  <si>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</si>
  <si>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</si>
  <si>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</si>
  <si>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</si>
  <si>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</si>
  <si>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</si>
  <si>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</si>
  <si>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</si>
  <si>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</si>
  <si>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</si>
  <si>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</si>
  <si>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</si>
  <si>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</si>
  <si>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</si>
  <si>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</si>
  <si>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</si>
  <si>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</si>
  <si>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</si>
  <si>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</si>
  <si>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</si>
  <si>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</si>
  <si>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</si>
  <si>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</si>
  <si>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</si>
  <si>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</si>
  <si>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</si>
  <si>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</si>
  <si>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</si>
  <si>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</si>
  <si>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</si>
  <si>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</si>
  <si>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</si>
  <si>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</si>
  <si>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</si>
  <si>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</si>
  <si>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</si>
  <si>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</si>
  <si>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</si>
  <si>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</si>
  <si>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</si>
  <si>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</si>
  <si>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</si>
  <si>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</si>
  <si>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</si>
  <si>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</si>
  <si>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</si>
  <si>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</si>
  <si>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</si>
  <si>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</si>
  <si>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</si>
  <si>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</si>
  <si>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</si>
  <si>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</si>
  <si>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</si>
  <si>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</si>
  <si>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</si>
  <si>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</si>
  <si>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</si>
  <si>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</si>
  <si>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</si>
  <si>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</si>
  <si>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</si>
  <si>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</si>
  <si>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</si>
  <si>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</si>
  <si>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</si>
  <si>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</si>
  <si>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</si>
  <si>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</si>
  <si>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</si>
  <si>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</si>
  <si>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</si>
  <si>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</si>
  <si>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</si>
  <si>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</si>
  <si>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</si>
  <si>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</si>
  <si>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</si>
  <si>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</si>
  <si>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</si>
  <si>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</si>
  <si>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</si>
  <si>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</si>
  <si>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</si>
  <si>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</si>
  <si>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</si>
  <si>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</si>
  <si>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</si>
  <si>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</si>
  <si>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</si>
  <si>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</si>
  <si>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</si>
  <si>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</si>
  <si>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</si>
  <si>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</si>
  <si>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</si>
  <si>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</si>
  <si>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</si>
  <si>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</si>
  <si>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</si>
  <si>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</si>
  <si>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</si>
  <si>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</si>
  <si>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</si>
  <si>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</si>
  <si>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</si>
  <si>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</si>
  <si>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</si>
  <si>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</si>
  <si>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</si>
  <si>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</si>
  <si>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</si>
  <si>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</si>
  <si>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</si>
  <si>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</si>
  <si>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</si>
  <si>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</si>
  <si>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</si>
  <si>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</si>
  <si>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</si>
  <si>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</si>
  <si>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</si>
  <si>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</si>
  <si>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</si>
  <si>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</si>
  <si>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</si>
  <si>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</si>
  <si>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</si>
  <si>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</si>
  <si>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</si>
  <si>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</si>
  <si>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</si>
  <si>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</si>
  <si>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</si>
  <si>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</si>
  <si>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</si>
  <si>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</si>
  <si>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</si>
  <si>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</si>
  <si>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</si>
  <si>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</si>
  <si>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</si>
  <si>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</si>
  <si>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</si>
  <si>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</si>
  <si>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</si>
  <si>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</si>
  <si>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</si>
  <si>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</si>
  <si>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</si>
  <si>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</si>
  <si>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</si>
  <si>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</si>
  <si>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</si>
  <si>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</si>
  <si>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</si>
  <si>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</si>
  <si>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</si>
  <si>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</si>
  <si>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</si>
  <si>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</si>
  <si>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</si>
  <si>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</si>
  <si>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</si>
  <si>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</si>
  <si>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</si>
  <si>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</si>
  <si>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</si>
  <si>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</si>
  <si>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</si>
  <si>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</si>
  <si>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</si>
  <si>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</si>
  <si>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</si>
  <si>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</si>
  <si>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</si>
  <si>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</si>
  <si>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</si>
  <si>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</si>
  <si>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</si>
  <si>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</si>
  <si>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</si>
  <si>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</si>
  <si>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</si>
  <si>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</si>
  <si>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</si>
  <si>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</si>
  <si>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</si>
  <si>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</si>
  <si>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</si>
  <si>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</si>
  <si>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</si>
  <si>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</si>
  <si>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</si>
  <si>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</si>
  <si>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</si>
  <si>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</si>
  <si>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</si>
  <si>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</si>
  <si>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</si>
  <si>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</si>
  <si>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</si>
  <si>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</si>
  <si>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</si>
  <si>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</si>
  <si>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</si>
  <si>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</si>
  <si>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</si>
  <si>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</si>
  <si>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</si>
  <si>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</si>
  <si>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</si>
  <si>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</si>
  <si>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</si>
  <si>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</si>
  <si>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</si>
  <si>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</si>
  <si>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</si>
  <si>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</si>
  <si>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</si>
  <si>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</si>
  <si>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</si>
  <si>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</si>
  <si>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</si>
  <si>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</si>
  <si>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</si>
  <si>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</si>
  <si>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</si>
  <si>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</si>
  <si>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</si>
  <si>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</si>
  <si>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</si>
  <si>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</si>
  <si>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</si>
  <si>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</si>
  <si>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</si>
  <si>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</si>
  <si>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</si>
  <si>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</si>
  <si>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</si>
  <si>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</si>
  <si>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</si>
  <si>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</si>
  <si>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</si>
  <si>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</si>
  <si>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</si>
  <si>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</si>
  <si>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</si>
  <si>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</si>
  <si>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</si>
  <si>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</si>
  <si>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</si>
  <si>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</si>
  <si>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</si>
  <si>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</si>
  <si>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</si>
  <si>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</si>
  <si>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</si>
  <si>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</si>
  <si>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</si>
  <si>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</si>
  <si>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</si>
  <si>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</si>
  <si>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</si>
  <si>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</si>
  <si>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</si>
  <si>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</si>
  <si>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</si>
  <si>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</si>
  <si>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</si>
  <si>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</si>
  <si>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</si>
  <si>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</si>
  <si>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</si>
  <si>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</si>
  <si>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</si>
  <si>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</si>
  <si>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</si>
  <si>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</si>
  <si>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</si>
  <si>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</si>
  <si>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</si>
  <si>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</si>
  <si>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</si>
  <si>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</si>
  <si>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</si>
  <si>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</si>
  <si>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</si>
  <si>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</si>
  <si>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</si>
  <si>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</si>
  <si>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</si>
  <si>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</si>
  <si>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</si>
  <si>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</si>
  <si>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</si>
  <si>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</si>
  <si>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</si>
  <si>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</si>
  <si>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</si>
  <si>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</si>
  <si>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</si>
  <si>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</si>
  <si>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</si>
  <si>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</si>
  <si>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</si>
  <si>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</si>
  <si>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</si>
  <si>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</si>
  <si>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</si>
  <si>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</si>
  <si>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</si>
  <si>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</si>
  <si>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</si>
  <si>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</si>
  <si>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</si>
  <si>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</si>
  <si>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</si>
  <si>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</si>
  <si>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</si>
  <si>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</si>
  <si>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</si>
  <si>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</si>
  <si>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</si>
  <si>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</si>
  <si>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</si>
  <si>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</si>
  <si>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</si>
  <si>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</si>
  <si>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</si>
  <si>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</si>
  <si>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</si>
  <si>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</si>
  <si>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</si>
  <si>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</si>
  <si>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</si>
  <si>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</si>
  <si>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</si>
  <si>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</si>
  <si>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</si>
  <si>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</si>
  <si>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</si>
  <si>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</si>
  <si>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</si>
  <si>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</si>
  <si>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</si>
  <si>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</si>
  <si>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</si>
  <si>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</si>
  <si>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</si>
  <si>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</si>
  <si>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</si>
  <si>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</si>
  <si>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</si>
  <si>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</si>
  <si>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</si>
  <si>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</si>
  <si>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</si>
  <si>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</si>
  <si>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</si>
  <si>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</si>
  <si>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</si>
  <si>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</si>
  <si>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</si>
  <si>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</si>
  <si>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</si>
  <si>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</si>
  <si>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</si>
  <si>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</si>
  <si>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</si>
  <si>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</si>
  <si>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</si>
  <si>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</si>
  <si>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</si>
  <si>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</si>
  <si>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</si>
  <si>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</si>
  <si>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</si>
  <si>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</si>
  <si>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</si>
  <si>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</si>
  <si>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</si>
  <si>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</si>
  <si>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</si>
  <si>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</si>
  <si>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</si>
  <si>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</si>
  <si>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</si>
  <si>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</si>
  <si>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</si>
  <si>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</si>
  <si>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</si>
  <si>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</si>
  <si>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</si>
  <si>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</si>
  <si>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</si>
  <si>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</si>
  <si>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</si>
  <si>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</si>
  <si>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</si>
  <si>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</si>
  <si>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</si>
  <si>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</si>
  <si>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</si>
  <si>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</si>
  <si>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</si>
  <si>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</si>
  <si>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</si>
  <si>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</si>
  <si>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</si>
  <si>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</si>
  <si>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</si>
  <si>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</si>
  <si>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</si>
  <si>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</si>
  <si>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</si>
  <si>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</si>
  <si>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</si>
  <si>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</si>
  <si>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</si>
  <si>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</si>
  <si>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</si>
  <si>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</si>
  <si>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</si>
  <si>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</si>
  <si>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</si>
  <si>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</si>
  <si>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</si>
  <si>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</si>
  <si>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</si>
  <si>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</si>
  <si>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</si>
  <si>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</si>
  <si>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</si>
  <si>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</si>
  <si>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</si>
  <si>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</si>
  <si>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</si>
  <si>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</si>
  <si>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</si>
  <si>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</si>
  <si>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</si>
  <si>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</si>
  <si>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</si>
  <si>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</si>
  <si>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</si>
  <si>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</si>
  <si>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</si>
  <si>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</si>
  <si>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</si>
  <si>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</si>
  <si>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</si>
  <si>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</si>
  <si>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</si>
  <si>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</si>
  <si>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</si>
  <si>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</si>
  <si>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</si>
  <si>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</si>
  <si>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</si>
  <si>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</si>
  <si>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</si>
  <si>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</si>
  <si>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</si>
  <si>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</si>
  <si>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</si>
  <si>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</si>
  <si>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</si>
  <si>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</si>
  <si>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</si>
  <si>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</si>
  <si>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</si>
  <si>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</si>
  <si>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</si>
  <si>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</si>
  <si>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</si>
  <si>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</si>
  <si>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</si>
  <si>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</si>
  <si>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</si>
  <si>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</si>
  <si>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</si>
  <si>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</si>
  <si>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</si>
  <si>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</si>
  <si>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</si>
  <si>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</si>
  <si>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</si>
  <si>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</si>
  <si>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</si>
  <si>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</si>
  <si>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</si>
  <si>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</si>
  <si>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</si>
  <si>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</si>
  <si>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</si>
  <si>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</si>
  <si>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</si>
  <si>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</si>
  <si>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</si>
  <si>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</si>
  <si>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</si>
  <si>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</si>
  <si>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</si>
  <si>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</si>
  <si>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</si>
  <si>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</si>
  <si>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</si>
  <si>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</si>
  <si>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</si>
  <si>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</si>
  <si>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</si>
  <si>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</si>
  <si>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</si>
  <si>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</si>
  <si>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</si>
  <si>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</si>
  <si>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</si>
  <si>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</si>
  <si>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</si>
  <si>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</si>
  <si>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</si>
  <si>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</si>
  <si>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</si>
  <si>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</si>
  <si>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</si>
  <si>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</si>
  <si>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</si>
  <si>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</si>
  <si>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</si>
  <si>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</si>
  <si>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</si>
  <si>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</si>
  <si>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</si>
  <si>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</si>
  <si>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</si>
  <si>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</si>
  <si>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</si>
  <si>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</si>
  <si>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</si>
  <si>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</si>
  <si>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</si>
  <si>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</si>
  <si>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</si>
  <si>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</si>
  <si>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</si>
  <si>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</si>
  <si>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</si>
  <si>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</si>
  <si>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</si>
  <si>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</si>
  <si>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</si>
  <si>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</si>
  <si>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</si>
  <si>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</si>
  <si>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</si>
  <si>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</si>
  <si>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</si>
  <si>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</si>
  <si>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</si>
  <si>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</si>
  <si>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</si>
  <si>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</si>
  <si>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</si>
  <si>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</si>
  <si>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</si>
  <si>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</si>
  <si>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</si>
  <si>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</si>
  <si>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</si>
  <si>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</si>
  <si>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</si>
  <si>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</si>
  <si>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</si>
  <si>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</si>
  <si>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</si>
  <si>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</si>
  <si>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</si>
  <si>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</si>
  <si>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</si>
  <si>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</si>
  <si>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</si>
  <si>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</si>
  <si>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</si>
  <si>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</si>
  <si>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</si>
  <si>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</si>
  <si>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</si>
  <si>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</si>
  <si>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</si>
  <si>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</si>
  <si>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</si>
  <si>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</si>
  <si>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</si>
  <si>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</si>
  <si>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</si>
  <si>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</si>
  <si>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</si>
  <si>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</si>
  <si>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</si>
  <si>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</si>
  <si>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</si>
  <si>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</si>
  <si>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</si>
  <si>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</si>
  <si>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</si>
  <si>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</si>
  <si>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</si>
  <si>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</si>
  <si>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</si>
  <si>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</si>
  <si>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</si>
  <si>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</si>
  <si>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</si>
  <si>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</si>
  <si>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</si>
  <si>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</si>
  <si>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</si>
  <si>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</si>
  <si>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</si>
  <si>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</si>
  <si>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</si>
  <si>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</si>
  <si>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</si>
  <si>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</si>
  <si>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</si>
  <si>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</si>
  <si>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</si>
  <si>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</si>
  <si>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</si>
  <si>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</si>
  <si>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</si>
  <si>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</si>
  <si>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</si>
  <si>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</si>
  <si>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</si>
  <si>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</si>
  <si>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</si>
  <si>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</si>
  <si>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</si>
  <si>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</si>
  <si>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</si>
  <si>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</si>
  <si>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</si>
  <si>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</si>
  <si>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</si>
  <si>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</si>
  <si>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</si>
  <si>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</si>
  <si>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</si>
  <si>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</si>
  <si>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</si>
  <si>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</si>
  <si>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</si>
  <si>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</si>
  <si>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</si>
  <si>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</si>
  <si>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</si>
  <si>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</si>
  <si>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</si>
  <si>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</si>
  <si>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</si>
  <si>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</si>
  <si>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</si>
  <si>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</si>
  <si>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</si>
  <si>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</si>
  <si>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</si>
  <si>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</si>
  <si>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</si>
  <si>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</si>
  <si>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</si>
  <si>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</si>
  <si>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</si>
  <si>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</si>
  <si>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</si>
  <si>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</si>
  <si>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</si>
  <si>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</si>
  <si>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</si>
  <si>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</si>
  <si>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</si>
  <si>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</si>
  <si>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</si>
  <si>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</si>
  <si>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</si>
  <si>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</si>
  <si>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</si>
  <si>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</si>
  <si>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</si>
  <si>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</si>
  <si>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</si>
  <si>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</si>
  <si>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</si>
  <si>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</si>
  <si>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</si>
  <si>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</si>
  <si>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</si>
  <si>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</si>
  <si>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</si>
  <si>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</si>
  <si>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</si>
  <si>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</si>
  <si>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</si>
  <si>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</si>
  <si>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</si>
  <si>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</si>
  <si>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</si>
  <si>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</si>
  <si>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</si>
  <si>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</si>
  <si>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</si>
  <si>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</si>
  <si>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</si>
  <si>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</si>
  <si>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</si>
  <si>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</si>
  <si>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</si>
  <si>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</si>
  <si>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</si>
  <si>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</si>
  <si>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</si>
  <si>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</si>
  <si>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</si>
  <si>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</si>
  <si>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</si>
  <si>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</si>
  <si>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</si>
  <si>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</si>
  <si>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</si>
  <si>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</si>
  <si>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</si>
  <si>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</si>
  <si>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</si>
  <si>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</si>
  <si>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</si>
  <si>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</si>
  <si>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</si>
  <si>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</si>
  <si>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</si>
  <si>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</si>
  <si>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</si>
  <si>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</si>
  <si>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</si>
  <si>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</si>
  <si>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</si>
  <si>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</si>
  <si>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</si>
  <si>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</si>
  <si>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</si>
  <si>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</si>
  <si>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</si>
  <si>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</si>
  <si>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</si>
  <si>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</si>
  <si>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</si>
  <si>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</si>
  <si>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</si>
  <si>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</si>
  <si>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</si>
  <si>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</si>
  <si>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</si>
  <si>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</si>
  <si>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</si>
  <si>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</si>
  <si>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</si>
  <si>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</si>
  <si>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</si>
  <si>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</si>
  <si>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</si>
  <si>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</si>
  <si>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</si>
  <si>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</si>
  <si>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</si>
  <si>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</si>
  <si>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</si>
  <si>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</si>
  <si>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</si>
  <si>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</si>
  <si>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</si>
  <si>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</si>
  <si>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</si>
  <si>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</si>
  <si>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</si>
  <si>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</si>
  <si>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</si>
  <si>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</si>
  <si>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</si>
  <si>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</si>
  <si>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</si>
  <si>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</si>
  <si>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</si>
  <si>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</si>
  <si>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</si>
  <si>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</si>
  <si>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</si>
  <si>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</si>
  <si>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</si>
  <si>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</si>
  <si>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</si>
  <si>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</si>
  <si>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</si>
  <si>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</si>
  <si>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</si>
  <si>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</si>
  <si>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</si>
  <si>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</si>
  <si>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</si>
  <si>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</si>
  <si>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</si>
  <si>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</si>
  <si>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</si>
  <si>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</si>
  <si>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</si>
  <si>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</si>
  <si>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</si>
  <si>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</si>
  <si>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</si>
  <si>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</si>
  <si>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</si>
  <si>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</si>
  <si>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</si>
  <si>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</si>
  <si>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</si>
  <si>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</si>
  <si>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</si>
  <si>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</si>
  <si>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</si>
  <si>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</si>
  <si>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</si>
  <si>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</si>
  <si>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</si>
  <si>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</si>
  <si>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</si>
  <si>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</si>
  <si>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</si>
  <si>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</si>
  <si>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</si>
  <si>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</si>
  <si>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</si>
  <si>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</si>
  <si>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</si>
  <si>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</si>
  <si>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</si>
  <si>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</si>
  <si>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</si>
  <si>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</si>
  <si>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</si>
  <si>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</si>
  <si>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</si>
  <si>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</si>
  <si>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</si>
  <si>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</si>
  <si>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</si>
  <si>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</si>
  <si>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</si>
  <si>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</si>
  <si>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</si>
  <si>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</si>
  <si>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</si>
  <si>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</si>
  <si>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</si>
  <si>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</si>
  <si>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</si>
  <si>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</si>
  <si>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</si>
  <si>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</si>
  <si>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</si>
  <si>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</si>
  <si>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</si>
  <si>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</si>
  <si>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</si>
  <si>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</si>
  <si>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</si>
  <si>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</si>
  <si>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</si>
  <si>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</si>
  <si>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</si>
  <si>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</si>
  <si>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</si>
  <si>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</si>
  <si>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</si>
  <si>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</si>
  <si>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</si>
  <si>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</si>
  <si>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</si>
  <si>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</si>
  <si>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</si>
  <si>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</si>
  <si>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</si>
  <si>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</si>
  <si>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</si>
  <si>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</si>
  <si>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</si>
  <si>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</si>
  <si>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</si>
  <si>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</si>
  <si>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</si>
  <si>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</si>
  <si>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</si>
  <si>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</si>
  <si>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</si>
  <si>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</si>
  <si>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</si>
  <si>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</si>
  <si>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</si>
  <si>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</si>
  <si>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</si>
  <si>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</si>
  <si>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</si>
  <si>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</si>
  <si>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</si>
  <si>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</si>
  <si>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</si>
  <si>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</si>
  <si>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</si>
  <si>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</si>
  <si>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</si>
  <si>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</si>
  <si>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</si>
  <si>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</si>
  <si>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</si>
  <si>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</si>
  <si>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</si>
  <si>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</si>
  <si>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</si>
  <si>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</si>
  <si>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</si>
  <si>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</si>
  <si>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</si>
  <si>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</si>
  <si>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</si>
  <si>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</si>
  <si>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</si>
  <si>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</si>
  <si>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</si>
  <si>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</si>
  <si>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</si>
  <si>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</si>
  <si>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</si>
  <si>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</si>
  <si>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</si>
  <si>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</si>
  <si>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</si>
  <si>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</si>
  <si>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</si>
  <si>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</si>
  <si>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</si>
  <si>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</si>
  <si>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</si>
  <si>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</si>
  <si>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</si>
  <si>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</si>
  <si>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</si>
  <si>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</si>
  <si>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</si>
  <si>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</si>
  <si>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</si>
  <si>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</si>
  <si>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</si>
  <si>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</si>
  <si>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</si>
  <si>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</si>
  <si>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</si>
  <si>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</si>
  <si>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</si>
  <si>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</si>
  <si>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</si>
  <si>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</si>
  <si>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</si>
  <si>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</si>
  <si>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</si>
  <si>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</si>
  <si>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</si>
  <si>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</si>
  <si>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</si>
  <si>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</si>
  <si>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</si>
  <si>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</si>
  <si>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</si>
  <si>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</si>
  <si>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</si>
  <si>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</si>
  <si>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</si>
  <si>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</si>
  <si>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</si>
  <si>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</si>
  <si>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</si>
  <si>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</si>
  <si>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</si>
  <si>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</si>
  <si>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</si>
  <si>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</si>
  <si>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</si>
  <si>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</si>
  <si>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</si>
  <si>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</si>
  <si>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</si>
  <si>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</si>
  <si>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</si>
  <si>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</si>
  <si>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</si>
  <si>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</si>
  <si>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</si>
  <si>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</si>
  <si>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</si>
  <si>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</si>
  <si>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</si>
  <si>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</si>
  <si>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</si>
  <si>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</si>
  <si>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</si>
  <si>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</si>
  <si>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</si>
  <si>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</si>
  <si>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</si>
  <si>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</si>
  <si>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</si>
  <si>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</si>
  <si>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</si>
  <si>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</si>
  <si>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</si>
  <si>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</si>
  <si>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</si>
  <si>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</si>
  <si>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</si>
  <si>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</si>
  <si>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</si>
  <si>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</si>
  <si>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</si>
  <si>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</si>
  <si>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</si>
  <si>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</si>
  <si>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</si>
  <si>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</si>
  <si>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</si>
  <si>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</si>
  <si>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</si>
  <si>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</si>
  <si>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</si>
  <si>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</si>
  <si>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</si>
  <si>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</si>
  <si>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</si>
  <si>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</si>
  <si>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</si>
  <si>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</si>
  <si>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</si>
  <si>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</si>
  <si>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</si>
  <si>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</si>
  <si>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</si>
  <si>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</si>
  <si>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</si>
  <si>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</si>
  <si>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</si>
  <si>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</si>
  <si>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</si>
  <si>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</si>
  <si>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</si>
  <si>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</si>
  <si>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</si>
  <si>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</si>
  <si>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</si>
  <si>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</si>
  <si>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</si>
  <si>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</si>
  <si>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</si>
  <si>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</si>
  <si>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</si>
  <si>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</si>
  <si>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</si>
  <si>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</si>
  <si>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</si>
  <si>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</si>
  <si>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</si>
  <si>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</si>
  <si>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</si>
  <si>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</si>
  <si>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</si>
  <si>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</si>
  <si>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</si>
  <si>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</si>
  <si>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</si>
  <si>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</si>
  <si>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</si>
  <si>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</si>
  <si>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</si>
  <si>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</si>
  <si>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</si>
  <si>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</si>
  <si>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</si>
  <si>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</si>
  <si>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</si>
  <si>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</si>
  <si>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</si>
  <si>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</si>
  <si>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</si>
  <si>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</si>
  <si>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</si>
  <si>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</si>
  <si>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</si>
  <si>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</si>
  <si>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</si>
  <si>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</si>
  <si>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</si>
  <si>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</si>
  <si>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</si>
  <si>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</si>
  <si>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</si>
  <si>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</si>
  <si>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</si>
  <si>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</si>
  <si>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</si>
  <si>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</si>
  <si>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</si>
  <si>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</si>
  <si>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</si>
  <si>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</si>
  <si>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</si>
  <si>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</si>
  <si>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</si>
  <si>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</si>
  <si>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</si>
  <si>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</si>
  <si>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</si>
  <si>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</si>
  <si>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</si>
  <si>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</si>
  <si>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</si>
  <si>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</si>
  <si>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</si>
  <si>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</si>
  <si>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</si>
  <si>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</si>
  <si>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</si>
  <si>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</si>
  <si>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</si>
  <si>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</si>
  <si>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</si>
  <si>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</si>
  <si>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</si>
  <si>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</si>
  <si>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</si>
  <si>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</si>
  <si>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</si>
  <si>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</si>
  <si>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</si>
  <si>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</si>
  <si>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</si>
  <si>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</si>
  <si>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</si>
  <si>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</si>
  <si>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</si>
  <si>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</si>
  <si>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</si>
  <si>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</si>
  <si>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</si>
  <si>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</si>
  <si>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</si>
  <si>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</si>
  <si>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</si>
  <si>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</si>
  <si>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</si>
  <si>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</si>
  <si>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</si>
  <si>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</si>
  <si>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</si>
  <si>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</si>
  <si>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</si>
  <si>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</si>
  <si>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</si>
  <si>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</si>
  <si>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</si>
  <si>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</si>
  <si>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</si>
  <si>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</si>
  <si>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</si>
  <si>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</si>
  <si>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</si>
  <si>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</si>
  <si>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</si>
  <si>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</si>
  <si>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</si>
  <si>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</si>
  <si>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</si>
  <si>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</si>
  <si>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</si>
  <si>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</si>
  <si>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</si>
  <si>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</si>
  <si>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</si>
  <si>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</si>
  <si>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</si>
  <si>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</si>
  <si>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</si>
  <si>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</si>
  <si>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</si>
  <si>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</si>
  <si>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</si>
  <si>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</si>
  <si>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</si>
  <si>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</si>
  <si>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</si>
  <si>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</si>
  <si>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</si>
  <si>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</si>
  <si>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</si>
  <si>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</si>
  <si>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</si>
  <si>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</si>
  <si>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</si>
  <si>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</si>
  <si>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</si>
  <si>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</si>
  <si>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</si>
  <si>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</si>
  <si>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</si>
  <si>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</si>
  <si>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</si>
  <si>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</si>
  <si>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</si>
  <si>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</si>
  <si>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</si>
  <si>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</si>
  <si>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</si>
  <si>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</si>
  <si>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</si>
  <si>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</si>
  <si>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</si>
  <si>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</si>
  <si>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</si>
  <si>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</si>
  <si>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</si>
  <si>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</si>
  <si>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</si>
  <si>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</si>
  <si>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</si>
  <si>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</si>
  <si>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</si>
  <si>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</si>
  <si>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</si>
  <si>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</si>
  <si>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</si>
  <si>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</si>
  <si>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</si>
  <si>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</si>
  <si>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</si>
  <si>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</si>
  <si>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</si>
  <si>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</si>
  <si>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</si>
  <si>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</si>
  <si>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</si>
  <si>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</si>
  <si>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</si>
  <si>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</si>
  <si>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</si>
  <si>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</si>
  <si>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</si>
  <si>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</si>
  <si>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</si>
  <si>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</si>
  <si>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</si>
  <si>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</si>
  <si>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</si>
  <si>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</si>
  <si>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</si>
  <si>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</si>
  <si>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</si>
  <si>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</si>
  <si>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</si>
  <si>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</si>
  <si>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</si>
  <si>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</si>
  <si>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</si>
  <si>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</si>
  <si>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</si>
  <si>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</si>
  <si>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</si>
  <si>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</si>
  <si>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</si>
  <si>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</si>
  <si>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</si>
  <si>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</si>
  <si>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</si>
  <si>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</si>
  <si>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</si>
  <si>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</si>
  <si>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</si>
  <si>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</si>
  <si>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</si>
  <si>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</si>
  <si>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</si>
  <si>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</si>
  <si>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</si>
  <si>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</si>
  <si>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</si>
  <si>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</si>
  <si>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</si>
  <si>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</si>
  <si>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</si>
  <si>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</si>
  <si>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</si>
  <si>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</si>
  <si>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</si>
  <si>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</si>
  <si>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</si>
  <si>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</si>
  <si>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</si>
  <si>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</si>
  <si>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</si>
  <si>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</si>
  <si>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</si>
  <si>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</si>
  <si>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</si>
  <si>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</si>
  <si>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</si>
  <si>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</si>
  <si>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</si>
  <si>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</si>
  <si>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</si>
  <si>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</si>
  <si>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</si>
  <si>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</si>
  <si>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</si>
  <si>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</si>
  <si>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</si>
  <si>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</si>
  <si>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</si>
  <si>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</si>
  <si>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</si>
  <si>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</si>
  <si>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</si>
  <si>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</si>
  <si>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</si>
  <si>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</si>
  <si>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</si>
  <si>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</si>
  <si>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</si>
  <si>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</si>
  <si>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</si>
  <si>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</si>
  <si>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</si>
  <si>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</si>
  <si>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</si>
  <si>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</si>
  <si>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</si>
  <si>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</si>
  <si>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</si>
  <si>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</si>
  <si>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</si>
  <si>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</si>
  <si>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</si>
  <si>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</si>
  <si>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</si>
  <si>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</si>
  <si>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</si>
  <si>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</si>
  <si>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</si>
  <si>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</si>
  <si>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</si>
  <si>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</si>
  <si>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</si>
  <si>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</si>
  <si>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</si>
  <si>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</si>
  <si>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</si>
  <si>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</si>
  <si>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</si>
  <si>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</si>
  <si>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</si>
  <si>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收益法-宿舍</t>
    <phoneticPr fontId="3" type="noConversion"/>
  </si>
  <si>
    <t>收益法-商业</t>
    <phoneticPr fontId="3" type="noConversion"/>
  </si>
  <si>
    <t>收益法-车库</t>
    <phoneticPr fontId="3" type="noConversion"/>
  </si>
  <si>
    <t>收益法-库房</t>
    <phoneticPr fontId="3" type="noConversion"/>
  </si>
  <si>
    <t>出让</t>
  </si>
  <si>
    <t>企业</t>
  </si>
  <si>
    <t>北京市</t>
  </si>
  <si>
    <t>核定资产</t>
  </si>
  <si>
    <t>人防</t>
    <phoneticPr fontId="140" type="noConversion"/>
  </si>
  <si>
    <t>设备用房</t>
    <phoneticPr fontId="140" type="noConversion"/>
  </si>
  <si>
    <t>库房</t>
    <phoneticPr fontId="140" type="noConversion"/>
  </si>
  <si>
    <t>人防10223</t>
    <phoneticPr fontId="140" type="noConversion"/>
  </si>
  <si>
    <t>机动车库</t>
    <phoneticPr fontId="140" type="noConversion"/>
  </si>
  <si>
    <t>地下1层</t>
    <phoneticPr fontId="140" type="noConversion"/>
  </si>
  <si>
    <t>分界室</t>
    <phoneticPr fontId="140" type="noConversion"/>
  </si>
  <si>
    <t>地上11层</t>
    <phoneticPr fontId="140" type="noConversion"/>
  </si>
  <si>
    <t>人防出入口</t>
    <phoneticPr fontId="140" type="noConversion"/>
  </si>
  <si>
    <t>地下车库</t>
    <phoneticPr fontId="140" type="noConversion"/>
  </si>
  <si>
    <t>商业用房</t>
    <phoneticPr fontId="140" type="noConversion"/>
  </si>
  <si>
    <t>职工倒班宿舍</t>
    <phoneticPr fontId="140" type="noConversion"/>
  </si>
  <si>
    <t>B6职工倒班宿舍楼</t>
    <phoneticPr fontId="140" type="noConversion"/>
  </si>
  <si>
    <t>地下设备</t>
    <phoneticPr fontId="140" type="noConversion"/>
  </si>
  <si>
    <t>B5职工倒班宿舍楼</t>
    <phoneticPr fontId="140" type="noConversion"/>
  </si>
  <si>
    <t>自行车库</t>
    <phoneticPr fontId="140" type="noConversion"/>
  </si>
  <si>
    <t>地下库房</t>
    <phoneticPr fontId="140" type="noConversion"/>
  </si>
  <si>
    <t>地上设备</t>
    <phoneticPr fontId="140" type="noConversion"/>
  </si>
  <si>
    <t>地下3层（2、3为车库）</t>
    <phoneticPr fontId="140" type="noConversion"/>
  </si>
  <si>
    <t>地上物业</t>
    <phoneticPr fontId="140" type="noConversion"/>
  </si>
  <si>
    <t>地上商业</t>
    <phoneticPr fontId="140" type="noConversion"/>
  </si>
  <si>
    <t>B4职工倒班宿舍楼</t>
    <phoneticPr fontId="140" type="noConversion"/>
  </si>
  <si>
    <t>地上宿舍</t>
    <phoneticPr fontId="140" type="noConversion"/>
  </si>
  <si>
    <t>B3职工倒班宿舍楼</t>
    <phoneticPr fontId="140" type="noConversion"/>
  </si>
  <si>
    <t>B2职工倒班宿舍楼</t>
    <phoneticPr fontId="140" type="noConversion"/>
  </si>
  <si>
    <t>物业、职工管理用房</t>
    <phoneticPr fontId="140" type="noConversion"/>
  </si>
  <si>
    <t>全面积</t>
    <phoneticPr fontId="140" type="noConversion"/>
  </si>
  <si>
    <t>开闭站</t>
    <phoneticPr fontId="140" type="noConversion"/>
  </si>
  <si>
    <t>建筑面积</t>
    <phoneticPr fontId="140" type="noConversion"/>
  </si>
  <si>
    <t>土地面积</t>
    <phoneticPr fontId="140" type="noConversion"/>
  </si>
  <si>
    <t>B1职工倒班宿舍楼</t>
    <phoneticPr fontId="140" type="noConversion"/>
  </si>
  <si>
    <t>2017规（顺）建字0020、0024号</t>
    <phoneticPr fontId="140" type="noConversion"/>
  </si>
  <si>
    <t>人防</t>
    <phoneticPr fontId="140" type="noConversion"/>
  </si>
  <si>
    <t>车库出入口</t>
    <phoneticPr fontId="140" type="noConversion"/>
  </si>
  <si>
    <t>北区地下车库</t>
    <phoneticPr fontId="140" type="noConversion"/>
  </si>
  <si>
    <t>商业</t>
    <phoneticPr fontId="140" type="noConversion"/>
  </si>
  <si>
    <t>A7</t>
    <phoneticPr fontId="140" type="noConversion"/>
  </si>
  <si>
    <t>设备</t>
    <phoneticPr fontId="140" type="noConversion"/>
  </si>
  <si>
    <t>A6</t>
    <phoneticPr fontId="140" type="noConversion"/>
  </si>
  <si>
    <t>办公</t>
    <phoneticPr fontId="140" type="noConversion"/>
  </si>
  <si>
    <t>A5</t>
    <phoneticPr fontId="140" type="noConversion"/>
  </si>
  <si>
    <t>A4</t>
    <phoneticPr fontId="140" type="noConversion"/>
  </si>
  <si>
    <t>A3</t>
    <phoneticPr fontId="140" type="noConversion"/>
  </si>
  <si>
    <t>设备</t>
    <phoneticPr fontId="140" type="noConversion"/>
  </si>
  <si>
    <t>A2</t>
    <phoneticPr fontId="140" type="noConversion"/>
  </si>
  <si>
    <t>车库</t>
    <phoneticPr fontId="140" type="noConversion"/>
  </si>
  <si>
    <t>库房</t>
    <phoneticPr fontId="140" type="noConversion"/>
  </si>
  <si>
    <t>商业</t>
    <phoneticPr fontId="140" type="noConversion"/>
  </si>
  <si>
    <t>办公</t>
    <phoneticPr fontId="140" type="noConversion"/>
  </si>
  <si>
    <t>A1</t>
    <phoneticPr fontId="140" type="noConversion"/>
  </si>
  <si>
    <t>2017规（顺）建字0021、0022号</t>
    <phoneticPr fontId="140" type="noConversion"/>
  </si>
  <si>
    <t>工规证</t>
    <phoneticPr fontId="140" type="noConversion"/>
  </si>
  <si>
    <t>使用期限</t>
    <phoneticPr fontId="140" type="noConversion"/>
  </si>
  <si>
    <t>面积</t>
    <phoneticPr fontId="140" type="noConversion"/>
  </si>
  <si>
    <t>商务金融用地</t>
    <phoneticPr fontId="140" type="noConversion"/>
  </si>
  <si>
    <t>用途</t>
    <phoneticPr fontId="140" type="noConversion"/>
  </si>
  <si>
    <t>110113 005001 GB00947 W00000000</t>
    <phoneticPr fontId="140" type="noConversion"/>
  </si>
  <si>
    <t>不动产单元号</t>
    <phoneticPr fontId="140" type="noConversion"/>
  </si>
  <si>
    <t>顺义区天竺镇</t>
    <phoneticPr fontId="140" type="noConversion"/>
  </si>
  <si>
    <t>坐落</t>
    <phoneticPr fontId="140" type="noConversion"/>
  </si>
  <si>
    <t>单独所有</t>
    <phoneticPr fontId="140" type="noConversion"/>
  </si>
  <si>
    <t>共有情况</t>
    <phoneticPr fontId="140" type="noConversion"/>
  </si>
  <si>
    <t>北京和信凯迪房地产开发有限公司</t>
    <phoneticPr fontId="140" type="noConversion"/>
  </si>
  <si>
    <t>权利人</t>
    <phoneticPr fontId="140" type="noConversion"/>
  </si>
  <si>
    <t>京（2016）顺义区不动产权第0000074号</t>
    <phoneticPr fontId="140" type="noConversion"/>
  </si>
  <si>
    <t>110113 005001 GB00944 W00000000</t>
    <phoneticPr fontId="140" type="noConversion"/>
  </si>
  <si>
    <t>京（2016）顺义区不动产权第0000073号</t>
    <phoneticPr fontId="140" type="noConversion"/>
  </si>
  <si>
    <t>不动产权证书</t>
    <phoneticPr fontId="140" type="noConversion"/>
  </si>
  <si>
    <t>地下部分出让金</t>
    <phoneticPr fontId="140" type="noConversion"/>
  </si>
  <si>
    <t>契税</t>
    <phoneticPr fontId="140" type="noConversion"/>
  </si>
  <si>
    <t>保证金</t>
    <phoneticPr fontId="140" type="noConversion"/>
  </si>
  <si>
    <t>政府土地收益</t>
    <phoneticPr fontId="140" type="noConversion"/>
  </si>
  <si>
    <t>前期成本</t>
    <phoneticPr fontId="140" type="noConversion"/>
  </si>
  <si>
    <t>出让金及契税</t>
    <phoneticPr fontId="140" type="noConversion"/>
  </si>
  <si>
    <t>土地补偿费</t>
    <phoneticPr fontId="140" type="noConversion"/>
  </si>
  <si>
    <t>商业40年、办公50年、办公（职工倒班宿舍）50年、公共服务设施50年、地下车库50年、地下仓储50年</t>
    <phoneticPr fontId="140" type="noConversion"/>
  </si>
  <si>
    <t>用途及年限</t>
    <phoneticPr fontId="140" type="noConversion"/>
  </si>
  <si>
    <t>地下非经营性</t>
    <phoneticPr fontId="140" type="noConversion"/>
  </si>
  <si>
    <t>地下仓储</t>
    <phoneticPr fontId="140" type="noConversion"/>
  </si>
  <si>
    <t>地下</t>
    <phoneticPr fontId="140" type="noConversion"/>
  </si>
  <si>
    <t>地上人防</t>
    <phoneticPr fontId="140" type="noConversion"/>
  </si>
  <si>
    <t>地上公共服务设施</t>
    <phoneticPr fontId="140" type="noConversion"/>
  </si>
  <si>
    <t>公租房（职工倒班宿舍）</t>
    <phoneticPr fontId="140" type="noConversion"/>
  </si>
  <si>
    <t>地上办公</t>
    <phoneticPr fontId="140" type="noConversion"/>
  </si>
  <si>
    <t>地上</t>
    <phoneticPr fontId="140" type="noConversion"/>
  </si>
  <si>
    <t>总建筑面积</t>
    <phoneticPr fontId="140" type="noConversion"/>
  </si>
  <si>
    <t>补充协议二</t>
    <phoneticPr fontId="140" type="noConversion"/>
  </si>
  <si>
    <t>86383平方米作为公租房受让人自持</t>
    <phoneticPr fontId="140" type="noConversion"/>
  </si>
  <si>
    <t>出让价款</t>
    <phoneticPr fontId="140" type="noConversion"/>
  </si>
  <si>
    <t>补充协议一</t>
    <phoneticPr fontId="140" type="noConversion"/>
  </si>
  <si>
    <t>建筑</t>
    <phoneticPr fontId="140" type="noConversion"/>
  </si>
  <si>
    <t>土地</t>
    <phoneticPr fontId="140" type="noConversion"/>
  </si>
  <si>
    <t>规划指标</t>
    <phoneticPr fontId="140" type="noConversion"/>
  </si>
  <si>
    <t>地上面积</t>
    <phoneticPr fontId="140" type="noConversion"/>
  </si>
  <si>
    <t>建筑总面积</t>
    <phoneticPr fontId="140" type="noConversion"/>
  </si>
  <si>
    <t>商业、办公</t>
    <phoneticPr fontId="140" type="noConversion"/>
  </si>
  <si>
    <t>建筑性质</t>
    <phoneticPr fontId="140" type="noConversion"/>
  </si>
  <si>
    <t>宗地面积</t>
    <phoneticPr fontId="140" type="noConversion"/>
  </si>
  <si>
    <t>东至楼台东路、西至小天竺东二路、南至岗山中路、北至京林大厦及南平东里小区</t>
    <phoneticPr fontId="140" type="noConversion"/>
  </si>
  <si>
    <t>北京市顺义区天竺镇SY00-0028-6004、6002地块F3其他类多功能项目用地</t>
    <phoneticPr fontId="140" type="noConversion"/>
  </si>
  <si>
    <t>京地出【合】字（2016）第0067号</t>
    <phoneticPr fontId="140" type="noConversion"/>
  </si>
  <si>
    <t>土地出让合同</t>
    <phoneticPr fontId="140" type="noConversion"/>
  </si>
  <si>
    <t>是</t>
  </si>
  <si>
    <t>地上</t>
  </si>
  <si>
    <t>宿舍</t>
  </si>
  <si>
    <t>底商</t>
  </si>
  <si>
    <t>地下</t>
  </si>
  <si>
    <t>车库</t>
  </si>
  <si>
    <t>戊类库房</t>
  </si>
  <si>
    <t>库房</t>
  </si>
  <si>
    <t>押一</t>
  </si>
  <si>
    <t>按租金收入计税</t>
  </si>
  <si>
    <t>钢混</t>
  </si>
  <si>
    <t>项目名称</t>
    <phoneticPr fontId="140" type="noConversion"/>
  </si>
  <si>
    <t>项目位置</t>
    <phoneticPr fontId="140" type="noConversion"/>
  </si>
  <si>
    <t>租金</t>
    <phoneticPr fontId="140" type="noConversion"/>
  </si>
  <si>
    <t>双裕南小街1号院</t>
    <phoneticPr fontId="140" type="noConversion"/>
  </si>
  <si>
    <t>顺义区后沙峪镇</t>
    <phoneticPr fontId="140" type="noConversion"/>
  </si>
  <si>
    <t>鑫牛南路2号院</t>
    <phoneticPr fontId="140" type="noConversion"/>
  </si>
  <si>
    <r>
      <t>顺义新城第1</t>
    </r>
    <r>
      <rPr>
        <sz val="11"/>
        <color theme="1"/>
        <rFont val="宋体"/>
        <family val="3"/>
        <charset val="134"/>
        <scheme val="minor"/>
      </rPr>
      <t>6街区</t>
    </r>
    <phoneticPr fontId="140" type="noConversion"/>
  </si>
  <si>
    <t>望泉西里一区</t>
    <phoneticPr fontId="140" type="noConversion"/>
  </si>
  <si>
    <t>顺义区旺泉街道</t>
    <phoneticPr fontId="140" type="noConversion"/>
  </si>
  <si>
    <t>望泉西里二区</t>
    <phoneticPr fontId="140" type="noConversion"/>
  </si>
  <si>
    <t>顺兴街17号院</t>
    <phoneticPr fontId="140" type="noConversion"/>
  </si>
  <si>
    <t>顺义区马坡镇</t>
    <phoneticPr fontId="140" type="noConversion"/>
  </si>
  <si>
    <t>钱粮北路3号院</t>
    <phoneticPr fontId="140" type="noConversion"/>
  </si>
  <si>
    <t>顺义胜利街道</t>
    <phoneticPr fontId="140" type="noConversion"/>
  </si>
  <si>
    <t>张镇公租房项目</t>
    <phoneticPr fontId="140" type="noConversion"/>
  </si>
  <si>
    <t>顺义区张镇</t>
    <phoneticPr fontId="140" type="noConversion"/>
  </si>
  <si>
    <t>成新度</t>
  </si>
  <si>
    <t>收益法-宿舍</t>
  </si>
  <si>
    <t>非生产用房</t>
  </si>
  <si>
    <t>否</t>
  </si>
  <si>
    <t>自定义</t>
  </si>
  <si>
    <t>按票据</t>
  </si>
  <si>
    <t>全部缴纳</t>
  </si>
  <si>
    <t>成本法</t>
  </si>
  <si>
    <t>租金</t>
  </si>
  <si>
    <t>较好</t>
  </si>
  <si>
    <t>一般</t>
  </si>
  <si>
    <t>七通</t>
  </si>
  <si>
    <t>收购房源统计表</t>
  </si>
  <si>
    <t>序号</t>
  </si>
  <si>
    <t>楼号</t>
    <phoneticPr fontId="140" type="noConversion"/>
  </si>
  <si>
    <t>单元</t>
    <phoneticPr fontId="140" type="noConversion"/>
  </si>
  <si>
    <t>房号</t>
    <phoneticPr fontId="140" type="noConversion"/>
  </si>
  <si>
    <t>室</t>
  </si>
  <si>
    <t>厅</t>
  </si>
  <si>
    <t>卫</t>
  </si>
  <si>
    <t>朝向</t>
  </si>
  <si>
    <t>户型</t>
  </si>
  <si>
    <r>
      <t>实测建筑面积</t>
    </r>
    <r>
      <rPr>
        <b/>
        <sz val="10"/>
        <color rgb="FF000000"/>
        <rFont val="Segoe UI Symbol"/>
        <family val="2"/>
      </rPr>
      <t>㎡</t>
    </r>
  </si>
  <si>
    <r>
      <t>套内建筑面积</t>
    </r>
    <r>
      <rPr>
        <b/>
        <sz val="10"/>
        <color rgb="FF000000"/>
        <rFont val="Segoe UI Symbol"/>
        <family val="2"/>
      </rPr>
      <t>㎡</t>
    </r>
  </si>
  <si>
    <r>
      <t>阳台面积</t>
    </r>
    <r>
      <rPr>
        <b/>
        <sz val="10"/>
        <color rgb="FF000000"/>
        <rFont val="Segoe UI Symbol"/>
        <family val="2"/>
      </rPr>
      <t>㎡</t>
    </r>
  </si>
  <si>
    <r>
      <t>公摊面积</t>
    </r>
    <r>
      <rPr>
        <b/>
        <sz val="10"/>
        <color rgb="FF000000"/>
        <rFont val="Segoe UI Symbol"/>
        <family val="2"/>
      </rPr>
      <t>㎡</t>
    </r>
  </si>
  <si>
    <t>层高m</t>
  </si>
  <si>
    <t>装修情况</t>
  </si>
  <si>
    <t>房屋主体结构</t>
  </si>
  <si>
    <t>单价</t>
  </si>
  <si>
    <t>项目地址</t>
  </si>
  <si>
    <r>
      <t>元/</t>
    </r>
    <r>
      <rPr>
        <b/>
        <sz val="10"/>
        <color rgb="FF000000"/>
        <rFont val="Segoe UI Symbol"/>
        <family val="2"/>
      </rPr>
      <t>㎡</t>
    </r>
  </si>
  <si>
    <t>南</t>
    <phoneticPr fontId="262" type="noConversion"/>
  </si>
  <si>
    <t>无障碍宿舍</t>
    <phoneticPr fontId="262" type="noConversion"/>
  </si>
  <si>
    <t>精装修</t>
    <phoneticPr fontId="140" type="noConversion"/>
  </si>
  <si>
    <t>剪力墙</t>
    <phoneticPr fontId="140" type="noConversion"/>
  </si>
  <si>
    <t>无障碍宿舍-01</t>
    <phoneticPr fontId="262" type="noConversion"/>
  </si>
  <si>
    <t>西</t>
    <phoneticPr fontId="262" type="noConversion"/>
  </si>
  <si>
    <t>无障碍宿舍-02</t>
    <phoneticPr fontId="262" type="noConversion"/>
  </si>
  <si>
    <t>西北</t>
    <phoneticPr fontId="262" type="noConversion"/>
  </si>
  <si>
    <t>D1</t>
    <phoneticPr fontId="262" type="noConversion"/>
  </si>
  <si>
    <t>北</t>
    <phoneticPr fontId="262" type="noConversion"/>
  </si>
  <si>
    <t>40平-02</t>
    <phoneticPr fontId="262" type="noConversion"/>
  </si>
  <si>
    <t>40平-03</t>
    <phoneticPr fontId="262" type="noConversion"/>
  </si>
  <si>
    <t>40平-04</t>
    <phoneticPr fontId="262" type="noConversion"/>
  </si>
  <si>
    <t>50平-03</t>
    <phoneticPr fontId="262" type="noConversion"/>
  </si>
  <si>
    <t>50平-06</t>
    <phoneticPr fontId="262" type="noConversion"/>
  </si>
  <si>
    <t>东北</t>
    <phoneticPr fontId="262" type="noConversion"/>
  </si>
  <si>
    <t>D3</t>
    <phoneticPr fontId="262" type="noConversion"/>
  </si>
  <si>
    <t>东</t>
    <phoneticPr fontId="262" type="noConversion"/>
  </si>
  <si>
    <t>D4</t>
    <phoneticPr fontId="262" type="noConversion"/>
  </si>
  <si>
    <t>50平-04</t>
    <phoneticPr fontId="262" type="noConversion"/>
  </si>
  <si>
    <t>50平-05</t>
    <phoneticPr fontId="262" type="noConversion"/>
  </si>
  <si>
    <t>东南</t>
    <phoneticPr fontId="262" type="noConversion"/>
  </si>
  <si>
    <t>D5</t>
    <phoneticPr fontId="262" type="noConversion"/>
  </si>
  <si>
    <t>西南</t>
    <phoneticPr fontId="262" type="noConversion"/>
  </si>
  <si>
    <t>D5反</t>
    <phoneticPr fontId="262" type="noConversion"/>
  </si>
  <si>
    <t>50平-02</t>
    <phoneticPr fontId="262" type="noConversion"/>
  </si>
  <si>
    <t>50平-01</t>
    <phoneticPr fontId="262" type="noConversion"/>
  </si>
  <si>
    <t>40平-01</t>
    <phoneticPr fontId="262" type="noConversion"/>
  </si>
  <si>
    <t>D2</t>
    <phoneticPr fontId="262" type="noConversion"/>
  </si>
  <si>
    <t>50平宿舍-05</t>
    <phoneticPr fontId="262" type="noConversion"/>
  </si>
  <si>
    <t>50平宿舍-03</t>
    <phoneticPr fontId="262" type="noConversion"/>
  </si>
  <si>
    <t>50平宿舍</t>
    <phoneticPr fontId="262" type="noConversion"/>
  </si>
  <si>
    <t>50平宿舍-04</t>
    <phoneticPr fontId="262" type="noConversion"/>
  </si>
  <si>
    <t>50平宿舍-06</t>
    <phoneticPr fontId="262" type="noConversion"/>
  </si>
  <si>
    <t>40平宿舍-04</t>
  </si>
  <si>
    <t>40平宿舍-02</t>
    <phoneticPr fontId="262" type="noConversion"/>
  </si>
  <si>
    <t>40平宿舍-03</t>
    <phoneticPr fontId="262" type="noConversion"/>
  </si>
  <si>
    <t>南</t>
  </si>
  <si>
    <t>40平宿舍</t>
  </si>
  <si>
    <t>40平宿舍-01</t>
  </si>
  <si>
    <t>50平宿舍</t>
  </si>
  <si>
    <t>50平宿舍-01</t>
  </si>
  <si>
    <t>50平宿舍-02</t>
  </si>
  <si>
    <t>50平宿舍-03</t>
  </si>
  <si>
    <t>D5a</t>
    <phoneticPr fontId="262" type="noConversion"/>
  </si>
  <si>
    <t>50平宿舍-08</t>
    <phoneticPr fontId="262" type="noConversion"/>
  </si>
  <si>
    <t>50平宿舍-09</t>
    <phoneticPr fontId="262" type="noConversion"/>
  </si>
  <si>
    <t>40平宿舍-06</t>
    <phoneticPr fontId="262" type="noConversion"/>
  </si>
  <si>
    <t>40平宿舍-07</t>
    <phoneticPr fontId="262" type="noConversion"/>
  </si>
  <si>
    <t>西南+东北</t>
    <phoneticPr fontId="140" type="noConversion"/>
  </si>
  <si>
    <t>G1</t>
    <phoneticPr fontId="262" type="noConversion"/>
  </si>
  <si>
    <t>西南</t>
    <phoneticPr fontId="140" type="noConversion"/>
  </si>
  <si>
    <t>G3</t>
    <phoneticPr fontId="262" type="noConversion"/>
  </si>
  <si>
    <t>西南+东北</t>
  </si>
  <si>
    <t>G2</t>
    <phoneticPr fontId="262" type="noConversion"/>
  </si>
  <si>
    <t>免</t>
    <phoneticPr fontId="3" type="noConversion"/>
  </si>
  <si>
    <t>和信凯迪</t>
    <phoneticPr fontId="3" type="noConversion"/>
  </si>
  <si>
    <t>双峪南小街1号院</t>
    <phoneticPr fontId="3" type="noConversion"/>
  </si>
  <si>
    <t>望泉西里</t>
    <phoneticPr fontId="3" type="noConversion"/>
  </si>
  <si>
    <t>钱粮北路3号院</t>
    <phoneticPr fontId="3" type="noConversion"/>
  </si>
  <si>
    <t>正常</t>
  </si>
  <si>
    <t>办公</t>
    <phoneticPr fontId="25" type="noConversion"/>
  </si>
  <si>
    <t>住宅</t>
  </si>
  <si>
    <t>住宅</t>
    <phoneticPr fontId="25" type="noConversion"/>
  </si>
  <si>
    <t>公租房</t>
  </si>
  <si>
    <t>公租房</t>
    <phoneticPr fontId="25" type="noConversion"/>
  </si>
  <si>
    <t>物业类型</t>
    <phoneticPr fontId="3" type="noConversion"/>
  </si>
  <si>
    <t>钢混</t>
    <phoneticPr fontId="25" type="noConversion"/>
  </si>
  <si>
    <t>精装修</t>
  </si>
  <si>
    <t>精装修</t>
    <phoneticPr fontId="25" type="noConversion"/>
  </si>
  <si>
    <t>全装修</t>
  </si>
  <si>
    <t>全装修</t>
    <phoneticPr fontId="25" type="noConversion"/>
  </si>
  <si>
    <t>分摊人防</t>
    <phoneticPr fontId="140" type="noConversion"/>
  </si>
  <si>
    <t>中小户型</t>
    <phoneticPr fontId="25" type="noConversion"/>
  </si>
  <si>
    <t>分摊人防</t>
    <phoneticPr fontId="140" type="noConversion"/>
  </si>
  <si>
    <t>分摊车库</t>
    <phoneticPr fontId="140" type="noConversion"/>
  </si>
  <si>
    <t>地上1层</t>
    <phoneticPr fontId="140" type="noConversion"/>
  </si>
  <si>
    <t>地下2层</t>
    <phoneticPr fontId="140" type="noConversion"/>
  </si>
  <si>
    <t>经营型面积分摊土地面积</t>
    <phoneticPr fontId="140" type="noConversion"/>
  </si>
  <si>
    <t>B1-B3、B6全部面积分摊土地面积</t>
    <phoneticPr fontId="140" type="noConversion"/>
  </si>
  <si>
    <t>宿舍分摊土地面积</t>
    <phoneticPr fontId="140" type="noConversion"/>
  </si>
  <si>
    <t>除人防外分摊土地面积(全面积分摊）</t>
    <phoneticPr fontId="140" type="noConversion"/>
  </si>
  <si>
    <t>宿舍+人防+设备</t>
    <phoneticPr fontId="140" type="noConversion"/>
  </si>
  <si>
    <t>楼号</t>
    <phoneticPr fontId="3" type="noConversion"/>
  </si>
  <si>
    <t>B1</t>
    <phoneticPr fontId="3" type="noConversion"/>
  </si>
  <si>
    <t>B2</t>
    <phoneticPr fontId="3" type="noConversion"/>
  </si>
  <si>
    <t>B3</t>
    <phoneticPr fontId="3" type="noConversion"/>
  </si>
  <si>
    <t>B4</t>
    <phoneticPr fontId="3" type="noConversion"/>
  </si>
  <si>
    <t>B5</t>
    <phoneticPr fontId="3" type="noConversion"/>
  </si>
  <si>
    <t>B6</t>
    <phoneticPr fontId="3" type="noConversion"/>
  </si>
  <si>
    <t>合计套数</t>
    <phoneticPr fontId="3" type="noConversion"/>
  </si>
  <si>
    <t>户型</t>
    <phoneticPr fontId="3" type="noConversion"/>
  </si>
  <si>
    <t>户型面积</t>
    <phoneticPr fontId="3" type="noConversion"/>
  </si>
  <si>
    <t>40(含40a）</t>
    <phoneticPr fontId="3" type="noConversion"/>
  </si>
  <si>
    <t>开间（一室一厨一卫，开放式厨房）</t>
    <phoneticPr fontId="262" type="noConversion"/>
  </si>
  <si>
    <t>50（含无障碍）</t>
    <phoneticPr fontId="3" type="noConversion"/>
  </si>
  <si>
    <t>一室一厅一厨一卫</t>
    <phoneticPr fontId="262" type="noConversion"/>
  </si>
  <si>
    <t>D1</t>
    <phoneticPr fontId="3" type="noConversion"/>
  </si>
  <si>
    <t>D2</t>
    <phoneticPr fontId="3" type="noConversion"/>
  </si>
  <si>
    <t>D3</t>
    <phoneticPr fontId="3" type="noConversion"/>
  </si>
  <si>
    <t>D4</t>
    <phoneticPr fontId="3" type="noConversion"/>
  </si>
  <si>
    <t>D5</t>
    <phoneticPr fontId="3" type="noConversion"/>
  </si>
  <si>
    <t>四室一厅一厨一卫</t>
    <phoneticPr fontId="262" type="noConversion"/>
  </si>
  <si>
    <t>G1</t>
    <phoneticPr fontId="3" type="noConversion"/>
  </si>
  <si>
    <t>四室一厅一厨一卫一阳台</t>
    <phoneticPr fontId="262" type="noConversion"/>
  </si>
  <si>
    <t>G2</t>
    <phoneticPr fontId="3" type="noConversion"/>
  </si>
  <si>
    <t>三室一厅一厨一卫两阳台</t>
    <phoneticPr fontId="262" type="noConversion"/>
  </si>
  <si>
    <t>G3</t>
    <phoneticPr fontId="3" type="noConversion"/>
  </si>
  <si>
    <t>G4</t>
    <phoneticPr fontId="3" type="noConversion"/>
  </si>
  <si>
    <t>G5</t>
    <phoneticPr fontId="3" type="noConversion"/>
  </si>
  <si>
    <t>一室一厅一厨一卫一阳台一储物间</t>
    <phoneticPr fontId="262" type="noConversion"/>
  </si>
  <si>
    <t>G6</t>
    <phoneticPr fontId="3" type="noConversion"/>
  </si>
  <si>
    <t>三室一厅一厨一卫一阳台</t>
    <phoneticPr fontId="262" type="noConversion"/>
  </si>
  <si>
    <t>G7</t>
    <phoneticPr fontId="3" type="noConversion"/>
  </si>
  <si>
    <t>表1-5  SY00-0028-6002地块面积分配表</t>
    <phoneticPr fontId="3" type="noConversion"/>
  </si>
  <si>
    <r>
      <t xml:space="preserve">表1-5  </t>
    </r>
    <r>
      <rPr>
        <b/>
        <sz val="10.5"/>
        <color theme="1"/>
        <rFont val="Times New Roman"/>
        <family val="1"/>
      </rPr>
      <t>SY00-0028-6002</t>
    </r>
    <r>
      <rPr>
        <b/>
        <sz val="10.5"/>
        <color theme="1"/>
        <rFont val="宋体"/>
        <family val="3"/>
        <charset val="134"/>
      </rPr>
      <t>地块面积分配表</t>
    </r>
  </si>
  <si>
    <t>楼号</t>
  </si>
  <si>
    <t>总建筑面积</t>
  </si>
  <si>
    <t>地上建筑面积</t>
  </si>
  <si>
    <t>地下建筑面积</t>
  </si>
  <si>
    <t>层数</t>
  </si>
  <si>
    <t>建筑高度</t>
  </si>
  <si>
    <t>可售面积明细</t>
    <phoneticPr fontId="3" type="noConversion"/>
  </si>
  <si>
    <t>（平方米)</t>
    <phoneticPr fontId="262" type="noConversion"/>
  </si>
  <si>
    <t>（平方米）</t>
  </si>
  <si>
    <t>地上建筑面积（平方米）</t>
  </si>
  <si>
    <r>
      <t>地上</t>
    </r>
    <r>
      <rPr>
        <sz val="9"/>
        <color rgb="FF000000"/>
        <rFont val="Times New Roman"/>
        <family val="1"/>
      </rPr>
      <t>/</t>
    </r>
    <r>
      <rPr>
        <sz val="9"/>
        <color rgb="FF000000"/>
        <rFont val="宋体"/>
        <family val="3"/>
        <charset val="134"/>
      </rPr>
      <t>地下（</t>
    </r>
    <r>
      <rPr>
        <sz val="9"/>
        <color rgb="FF000000"/>
        <rFont val="Times New Roman"/>
        <family val="1"/>
      </rPr>
      <t>m</t>
    </r>
    <r>
      <rPr>
        <sz val="9"/>
        <color rgb="FF000000"/>
        <rFont val="宋体"/>
        <family val="3"/>
        <charset val="134"/>
      </rPr>
      <t>）</t>
    </r>
  </si>
  <si>
    <t>职工倒班宿舍</t>
  </si>
  <si>
    <t>餐厅</t>
  </si>
  <si>
    <t>厨房</t>
  </si>
  <si>
    <t>物业、职工管理用房</t>
  </si>
  <si>
    <t>开闭站</t>
  </si>
  <si>
    <t>分界室</t>
  </si>
  <si>
    <t>人防出入口</t>
  </si>
  <si>
    <t>设备用房</t>
  </si>
  <si>
    <t>自行车库</t>
  </si>
  <si>
    <t>机动车库</t>
  </si>
  <si>
    <r>
      <t>B1#</t>
    </r>
    <r>
      <rPr>
        <sz val="9"/>
        <color rgb="FF000000"/>
        <rFont val="宋体"/>
        <family val="3"/>
        <charset val="134"/>
      </rPr>
      <t>职工倒班宿舍楼</t>
    </r>
  </si>
  <si>
    <t>11F/-1D</t>
  </si>
  <si>
    <t>34.4/-3.3</t>
  </si>
  <si>
    <r>
      <t>B2#</t>
    </r>
    <r>
      <rPr>
        <sz val="9"/>
        <color rgb="FF000000"/>
        <rFont val="宋体"/>
        <family val="3"/>
        <charset val="134"/>
      </rPr>
      <t>职工倒班宿舍楼</t>
    </r>
  </si>
  <si>
    <t>11F/-3D</t>
  </si>
  <si>
    <t>34.4/-11.7</t>
  </si>
  <si>
    <r>
      <t>B3#</t>
    </r>
    <r>
      <rPr>
        <sz val="9"/>
        <color rgb="FF000000"/>
        <rFont val="宋体"/>
        <family val="3"/>
        <charset val="134"/>
      </rPr>
      <t>职工倒班宿舍楼</t>
    </r>
  </si>
  <si>
    <r>
      <t>B4#</t>
    </r>
    <r>
      <rPr>
        <sz val="9"/>
        <color rgb="FF000000"/>
        <rFont val="宋体"/>
        <family val="3"/>
        <charset val="134"/>
      </rPr>
      <t>职工倒班宿舍楼</t>
    </r>
  </si>
  <si>
    <r>
      <t>B5#</t>
    </r>
    <r>
      <rPr>
        <sz val="9"/>
        <color rgb="FF000000"/>
        <rFont val="宋体"/>
        <family val="3"/>
        <charset val="134"/>
      </rPr>
      <t>职工倒班宿舍楼</t>
    </r>
  </si>
  <si>
    <r>
      <t>B6#</t>
    </r>
    <r>
      <rPr>
        <sz val="9"/>
        <color rgb="FF000000"/>
        <rFont val="宋体"/>
        <family val="3"/>
        <charset val="134"/>
      </rPr>
      <t>职工倒班宿舍楼</t>
    </r>
  </si>
  <si>
    <t>1F/-2D</t>
  </si>
  <si>
    <t>3/-11.7</t>
  </si>
  <si>
    <r>
      <t>20222.29(</t>
    </r>
    <r>
      <rPr>
        <sz val="9"/>
        <color rgb="FF000000"/>
        <rFont val="宋体"/>
        <family val="3"/>
        <charset val="134"/>
      </rPr>
      <t>含人防</t>
    </r>
    <r>
      <rPr>
        <sz val="9"/>
        <color rgb="FF000000"/>
        <rFont val="Times New Roman"/>
        <family val="1"/>
      </rPr>
      <t>10223</t>
    </r>
    <r>
      <rPr>
        <sz val="9"/>
        <color rgb="FF000000"/>
        <rFont val="宋体"/>
        <family val="3"/>
        <charset val="134"/>
      </rPr>
      <t>平米）</t>
    </r>
    <r>
      <rPr>
        <sz val="9"/>
        <color rgb="FF000000"/>
        <rFont val="Times New Roman"/>
        <family val="1"/>
      </rPr>
      <t>,276</t>
    </r>
    <r>
      <rPr>
        <sz val="9"/>
        <color rgb="FF000000"/>
        <rFont val="宋体"/>
        <family val="3"/>
        <charset val="134"/>
      </rPr>
      <t>个可售车位</t>
    </r>
    <phoneticPr fontId="262" type="noConversion"/>
  </si>
  <si>
    <t>可售面积</t>
    <phoneticPr fontId="262" type="noConversion"/>
  </si>
  <si>
    <t>应可售面积</t>
    <phoneticPr fontId="262" type="noConversion"/>
  </si>
  <si>
    <t>车位总数</t>
    <phoneticPr fontId="262" type="noConversion"/>
  </si>
  <si>
    <t>地面车位</t>
    <phoneticPr fontId="262" type="noConversion"/>
  </si>
  <si>
    <t>地下车位</t>
    <phoneticPr fontId="262" type="noConversion"/>
  </si>
  <si>
    <t>可售车位</t>
    <phoneticPr fontId="262" type="noConversion"/>
  </si>
  <si>
    <r>
      <rPr>
        <sz val="10"/>
        <rFont val="宋体"/>
        <family val="3"/>
        <charset val="134"/>
      </rPr>
      <t>含</t>
    </r>
    <r>
      <rPr>
        <sz val="10"/>
        <rFont val="Times New Roman"/>
        <family val="1"/>
      </rPr>
      <t>2</t>
    </r>
    <r>
      <rPr>
        <sz val="10"/>
        <rFont val="宋体"/>
        <family val="3"/>
        <charset val="134"/>
      </rPr>
      <t>个残疾人车位和</t>
    </r>
    <r>
      <rPr>
        <sz val="10"/>
        <rFont val="Times New Roman"/>
        <family val="1"/>
      </rPr>
      <t>3</t>
    </r>
    <r>
      <rPr>
        <sz val="10"/>
        <rFont val="宋体"/>
        <family val="3"/>
        <charset val="134"/>
      </rPr>
      <t>个子车位</t>
    </r>
    <phoneticPr fontId="262" type="noConversion"/>
  </si>
  <si>
    <t>人防车位</t>
    <phoneticPr fontId="262" type="noConversion"/>
  </si>
  <si>
    <r>
      <rPr>
        <sz val="10"/>
        <rFont val="宋体"/>
        <family val="3"/>
        <charset val="134"/>
      </rPr>
      <t>含</t>
    </r>
    <r>
      <rPr>
        <sz val="10"/>
        <rFont val="Times New Roman"/>
        <family val="1"/>
      </rPr>
      <t>2</t>
    </r>
    <r>
      <rPr>
        <sz val="10"/>
        <rFont val="宋体"/>
        <family val="3"/>
        <charset val="134"/>
      </rPr>
      <t>个残疾人车位</t>
    </r>
    <phoneticPr fontId="262" type="noConversion"/>
  </si>
  <si>
    <r>
      <rPr>
        <sz val="11"/>
        <color indexed="8"/>
        <rFont val="宋体"/>
        <family val="3"/>
        <charset val="134"/>
      </rPr>
      <t>距离机场</t>
    </r>
    <r>
      <rPr>
        <sz val="11"/>
        <color indexed="8"/>
        <rFont val="Arial"/>
        <family val="2"/>
      </rPr>
      <t>1.5</t>
    </r>
    <r>
      <rPr>
        <sz val="11"/>
        <color indexed="8"/>
        <rFont val="宋体"/>
        <family val="3"/>
        <charset val="134"/>
      </rPr>
      <t>公里</t>
    </r>
    <phoneticPr fontId="25" type="noConversion"/>
  </si>
  <si>
    <t>距离机场3公里</t>
    <phoneticPr fontId="25" type="noConversion"/>
  </si>
  <si>
    <t>距离机场4.5公里</t>
    <phoneticPr fontId="25" type="noConversion"/>
  </si>
  <si>
    <t>周边2公里内有南平里、南平东里、南竺园、天竺家园、蓝海苑、蓝天苑、燕翔西里等居住项目项目，房屋出租使用率较高，居住环境、小区规模较适宜，居住社区成熟度较好。</t>
  </si>
  <si>
    <r>
      <t>估价对象紧邻城市支路，</t>
    </r>
    <r>
      <rPr>
        <sz val="10.5"/>
        <color rgb="FF000000"/>
        <rFont val="宋体"/>
        <family val="3"/>
        <charset val="134"/>
      </rPr>
      <t>周边有空港</t>
    </r>
    <r>
      <rPr>
        <sz val="10.5"/>
        <color rgb="FF000000"/>
        <rFont val="Arial"/>
        <family val="2"/>
      </rPr>
      <t>1</t>
    </r>
    <r>
      <rPr>
        <sz val="10.5"/>
        <color rgb="FF000000"/>
        <rFont val="宋体"/>
        <family val="3"/>
        <charset val="134"/>
      </rPr>
      <t>路、空港</t>
    </r>
    <r>
      <rPr>
        <sz val="10.5"/>
        <color rgb="FF000000"/>
        <rFont val="Arial"/>
        <family val="2"/>
      </rPr>
      <t>10</t>
    </r>
    <r>
      <rPr>
        <sz val="10.5"/>
        <color rgb="FF000000"/>
        <rFont val="宋体"/>
        <family val="3"/>
        <charset val="134"/>
      </rPr>
      <t>路、顺</t>
    </r>
    <r>
      <rPr>
        <sz val="10.5"/>
        <color rgb="FF000000"/>
        <rFont val="Arial"/>
        <family val="2"/>
      </rPr>
      <t>22</t>
    </r>
    <r>
      <rPr>
        <sz val="10.5"/>
        <color rgb="FF000000"/>
        <rFont val="宋体"/>
        <family val="3"/>
        <charset val="134"/>
      </rPr>
      <t>路、顺</t>
    </r>
    <r>
      <rPr>
        <sz val="10.5"/>
        <color rgb="FF000000"/>
        <rFont val="Arial"/>
        <family val="2"/>
      </rPr>
      <t>42</t>
    </r>
    <r>
      <rPr>
        <sz val="10.5"/>
        <color rgb="FF000000"/>
        <rFont val="宋体"/>
        <family val="3"/>
        <charset val="134"/>
      </rPr>
      <t>路、</t>
    </r>
    <r>
      <rPr>
        <sz val="10.5"/>
        <color rgb="FF000000"/>
        <rFont val="Arial"/>
        <family val="2"/>
      </rPr>
      <t>640</t>
    </r>
    <r>
      <rPr>
        <sz val="10.5"/>
        <color rgb="FF000000"/>
        <rFont val="宋体"/>
        <family val="3"/>
        <charset val="134"/>
      </rPr>
      <t>路、</t>
    </r>
    <r>
      <rPr>
        <sz val="10.5"/>
        <color rgb="FF000000"/>
        <rFont val="Arial"/>
        <family val="2"/>
      </rPr>
      <t>850</t>
    </r>
    <r>
      <rPr>
        <sz val="10.5"/>
        <color rgb="FF000000"/>
        <rFont val="宋体"/>
        <family val="3"/>
        <charset val="134"/>
      </rPr>
      <t>路、</t>
    </r>
    <r>
      <rPr>
        <sz val="10.5"/>
        <color rgb="FF000000"/>
        <rFont val="Arial"/>
        <family val="2"/>
      </rPr>
      <t>955</t>
    </r>
    <r>
      <rPr>
        <sz val="10.5"/>
        <color rgb="FF000000"/>
        <rFont val="宋体"/>
        <family val="3"/>
        <charset val="134"/>
      </rPr>
      <t>路等多条公交线路，</t>
    </r>
    <r>
      <rPr>
        <sz val="10.5"/>
        <color theme="1"/>
        <rFont val="宋体"/>
        <family val="3"/>
        <charset val="134"/>
      </rPr>
      <t>距离地铁机场线直线</t>
    </r>
    <r>
      <rPr>
        <sz val="10.5"/>
        <color theme="1"/>
        <rFont val="Arial"/>
        <family val="2"/>
      </rPr>
      <t>3</t>
    </r>
    <r>
      <rPr>
        <sz val="10.5"/>
        <color theme="1"/>
        <rFont val="宋体"/>
        <family val="3"/>
        <charset val="134"/>
      </rPr>
      <t>号航站楼距离约</t>
    </r>
    <r>
      <rPr>
        <sz val="10.5"/>
        <color theme="1"/>
        <rFont val="Arial"/>
        <family val="2"/>
      </rPr>
      <t>1.6</t>
    </r>
    <r>
      <rPr>
        <sz val="10.5"/>
        <color theme="1"/>
        <rFont val="宋体"/>
        <family val="3"/>
        <charset val="134"/>
      </rPr>
      <t>公里，距离北京首都国际机场约</t>
    </r>
    <r>
      <rPr>
        <sz val="10.5"/>
        <color theme="1"/>
        <rFont val="Arial"/>
        <family val="2"/>
      </rPr>
      <t>1.5</t>
    </r>
    <r>
      <rPr>
        <sz val="10.5"/>
        <color theme="1"/>
        <rFont val="宋体"/>
        <family val="3"/>
        <charset val="134"/>
      </rPr>
      <t>公里</t>
    </r>
    <r>
      <rPr>
        <sz val="10.5"/>
        <color rgb="FF000000"/>
        <rFont val="宋体"/>
        <family val="3"/>
        <charset val="134"/>
      </rPr>
      <t>，交通便捷度一般。</t>
    </r>
  </si>
  <si>
    <r>
      <t>自然环境有西湖园、社区文化公园等自然景观；人文环境无；距离北京首都国际机场</t>
    </r>
    <r>
      <rPr>
        <sz val="10.5"/>
        <color rgb="FF000000"/>
        <rFont val="Arial"/>
        <family val="2"/>
      </rPr>
      <t>1.5</t>
    </r>
    <r>
      <rPr>
        <sz val="10.5"/>
        <color rgb="FF000000"/>
        <rFont val="宋体"/>
        <family val="3"/>
        <charset val="134"/>
      </rPr>
      <t>公里，机场噪音大，综合评价环境状况较差。</t>
    </r>
  </si>
  <si>
    <t>较差</t>
  </si>
  <si>
    <t>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t>
    <phoneticPr fontId="41" type="noConversion"/>
  </si>
  <si>
    <t>已包含在土地取得成本中</t>
  </si>
  <si>
    <t>中小户型</t>
  </si>
  <si>
    <t>七通</t>
    <phoneticPr fontId="25" type="noConversion"/>
  </si>
  <si>
    <t>六通</t>
  </si>
  <si>
    <t>六通</t>
    <phoneticPr fontId="25" type="noConversion"/>
  </si>
  <si>
    <t>五通</t>
  </si>
  <si>
    <t>五通</t>
    <phoneticPr fontId="25" type="noConversion"/>
  </si>
  <si>
    <t>无热力</t>
    <phoneticPr fontId="25" type="noConversion"/>
  </si>
  <si>
    <t>收益还原</t>
  </si>
  <si>
    <t>无燃气</t>
    <phoneticPr fontId="262" type="noConversion"/>
  </si>
  <si>
    <t>二室一厅一厨一卫一储物间</t>
    <phoneticPr fontId="262" type="noConversion"/>
  </si>
  <si>
    <t>测绘</t>
    <phoneticPr fontId="140" type="noConversion"/>
  </si>
  <si>
    <t>B1</t>
    <phoneticPr fontId="140" type="noConversion"/>
  </si>
  <si>
    <t>B6</t>
    <phoneticPr fontId="140" type="noConversion"/>
  </si>
  <si>
    <t>序号</t>
    <phoneticPr fontId="140" type="noConversion"/>
  </si>
  <si>
    <t>测绘报告房号</t>
    <phoneticPr fontId="140" type="noConversion"/>
  </si>
  <si>
    <t>自编房号</t>
    <phoneticPr fontId="140" type="noConversion"/>
  </si>
  <si>
    <r>
      <t>测绘建筑面积</t>
    </r>
    <r>
      <rPr>
        <b/>
        <sz val="10"/>
        <color rgb="FFFF0000"/>
        <rFont val="宋体"/>
        <family val="3"/>
        <charset val="134"/>
      </rPr>
      <t>㎡</t>
    </r>
    <phoneticPr fontId="140" type="noConversion"/>
  </si>
  <si>
    <r>
      <t>套内建筑面积（含阳台）</t>
    </r>
    <r>
      <rPr>
        <b/>
        <sz val="10"/>
        <color rgb="FF000000"/>
        <rFont val="宋体"/>
        <family val="3"/>
        <charset val="134"/>
      </rPr>
      <t>㎡</t>
    </r>
    <phoneticPr fontId="140" type="noConversion"/>
  </si>
  <si>
    <t>单价元/㎡</t>
    <phoneticPr fontId="140" type="noConversion"/>
  </si>
  <si>
    <t>剪力墙</t>
  </si>
  <si>
    <t>B1宿舍面积</t>
    <phoneticPr fontId="140" type="noConversion"/>
  </si>
  <si>
    <t>B2宿舍面积</t>
  </si>
  <si>
    <t>B3宿舍面积</t>
    <phoneticPr fontId="140" type="noConversion"/>
  </si>
  <si>
    <t>B6宿舍面积</t>
    <phoneticPr fontId="140" type="noConversion"/>
  </si>
  <si>
    <t>宿舍-有燃气</t>
  </si>
  <si>
    <t>宿舍-有燃气</t>
    <phoneticPr fontId="7" type="noConversion"/>
  </si>
  <si>
    <t>宿舍-无燃气</t>
  </si>
  <si>
    <t>宿舍-无燃气</t>
    <phoneticPr fontId="7" type="noConversion"/>
  </si>
  <si>
    <t>收益法-宿舍无燃气</t>
  </si>
  <si>
    <t>收益法-宿舍无燃气</t>
    <phoneticPr fontId="16" type="noConversion"/>
  </si>
  <si>
    <t>收益法（汇总）</t>
  </si>
  <si>
    <t>总面积</t>
    <phoneticPr fontId="140" type="noConversion"/>
  </si>
  <si>
    <t>无燃气</t>
    <phoneticPr fontId="140" type="noConversion"/>
  </si>
  <si>
    <t>有燃气</t>
    <phoneticPr fontId="140" type="noConversion"/>
  </si>
  <si>
    <t>有无燃气</t>
    <phoneticPr fontId="140" type="noConversion"/>
  </si>
  <si>
    <t>分摊土地面积</t>
    <phoneticPr fontId="140" type="noConversion"/>
  </si>
  <si>
    <t>一室一厅一厨一卫一阳台</t>
    <phoneticPr fontId="262" type="noConversion"/>
  </si>
  <si>
    <t>40平</t>
    <phoneticPr fontId="140" type="noConversion"/>
  </si>
  <si>
    <t>40平-01</t>
    <phoneticPr fontId="140" type="noConversion"/>
  </si>
  <si>
    <t>40平-04</t>
    <phoneticPr fontId="140" type="noConversion"/>
  </si>
  <si>
    <t>40平-06</t>
    <phoneticPr fontId="262" type="noConversion"/>
  </si>
  <si>
    <t>40平-07</t>
    <phoneticPr fontId="262" type="noConversion"/>
  </si>
  <si>
    <t>无</t>
  </si>
  <si>
    <t>无</t>
    <phoneticPr fontId="140" type="noConversion"/>
  </si>
  <si>
    <t>有</t>
  </si>
  <si>
    <t>有</t>
    <phoneticPr fontId="140" type="noConversion"/>
  </si>
  <si>
    <r>
      <t>B</t>
    </r>
    <r>
      <rPr>
        <sz val="11"/>
        <color theme="1"/>
        <rFont val="宋体"/>
        <family val="3"/>
        <charset val="134"/>
        <scheme val="minor"/>
      </rPr>
      <t>1</t>
    </r>
    <phoneticPr fontId="140" type="noConversion"/>
  </si>
  <si>
    <t>B2</t>
    <phoneticPr fontId="140" type="noConversion"/>
  </si>
  <si>
    <t>B3</t>
    <phoneticPr fontId="140" type="noConversion"/>
  </si>
  <si>
    <t>B6</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</si>
</sst>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FF0000"/>
      <name val="宋体"/>
      <family val="3"/>
      <charset val="134"/>
      <scheme val="minor"/>
    </font>
    <font>
      <sz val="10"/>
      <name val="宋体"/>
      <family val="3"/>
      <charset val="134"/>
      <scheme val="minor"/>
    </font>
    <font>
      <b/>
      <sz val="10"/>
      <color rgb="FFFF0000"/>
      <name val="宋体"/>
      <family val="3"/>
      <charset val="134"/>
      <scheme val="minor"/>
    </font>
    <font>
      <b/>
      <sz val="10"/>
      <name val="宋体"/>
      <family val="3"/>
      <charset val="134"/>
      <scheme val="minor"/>
    </font>
    <font>
      <b/>
      <sz val="10"/>
      <color rgb="FF000000"/>
      <name val="仿宋_GB2312"/>
      <family val="3"/>
      <charset val="134"/>
    </font>
    <font>
      <b/>
      <sz val="10"/>
      <color rgb="FF000000"/>
      <name val="Segoe UI Symbol"/>
      <family val="2"/>
    </font>
    <font>
      <sz val="11"/>
      <name val="宋体"/>
      <family val="3"/>
      <charset val="134"/>
      <scheme val="minor"/>
    </font>
    <font>
      <sz val="9"/>
      <name val="宋体"/>
      <family val="2"/>
      <charset val="134"/>
      <scheme val="minor"/>
    </font>
    <font>
      <sz val="11"/>
      <color theme="0"/>
      <name val="宋体"/>
      <family val="3"/>
      <charset val="134"/>
      <scheme val="minor"/>
    </font>
    <font>
      <sz val="10"/>
      <color theme="1"/>
      <name val="Times New Roman"/>
      <family val="1"/>
    </font>
    <font>
      <b/>
      <sz val="16"/>
      <color theme="1"/>
      <name val="华文楷体"/>
      <family val="3"/>
      <charset val="134"/>
    </font>
    <font>
      <b/>
      <sz val="10.5"/>
      <color theme="1"/>
      <name val="Times New Roman"/>
      <family val="1"/>
    </font>
    <font>
      <b/>
      <sz val="10.5"/>
      <color theme="1"/>
      <name val="宋体"/>
      <family val="3"/>
      <charset val="134"/>
    </font>
    <font>
      <sz val="9"/>
      <color rgb="FF000000"/>
      <name val="宋体"/>
      <family val="3"/>
      <charset val="134"/>
    </font>
    <font>
      <b/>
      <sz val="9"/>
      <color rgb="FF000000"/>
      <name val="宋体"/>
      <family val="3"/>
      <charset val="134"/>
    </font>
    <font>
      <sz val="9"/>
      <color rgb="FF000000"/>
      <name val="Times New Roman"/>
      <family val="1"/>
    </font>
    <font>
      <sz val="9"/>
      <color rgb="FFFF0000"/>
      <name val="Times New Roman"/>
      <family val="1"/>
    </font>
    <font>
      <sz val="12"/>
      <name val="Times New Roman"/>
      <family val="1"/>
    </font>
    <font>
      <sz val="10"/>
      <name val="Times New Roman"/>
      <family val="1"/>
    </font>
    <font>
      <sz val="11"/>
      <color indexed="8"/>
      <name val="Arial"/>
      <family val="3"/>
      <charset val="134"/>
    </font>
    <font>
      <sz val="10.5"/>
      <color theme="1"/>
      <name val="宋体"/>
      <family val="3"/>
      <charset val="134"/>
    </font>
    <font>
      <sz val="10.5"/>
      <color rgb="FF000000"/>
      <name val="宋体"/>
      <family val="3"/>
      <charset val="134"/>
    </font>
    <font>
      <sz val="10.5"/>
      <color rgb="FF000000"/>
      <name val="Arial"/>
      <family val="2"/>
    </font>
    <font>
      <sz val="10.5"/>
      <color theme="1"/>
      <name val="Arial"/>
      <family val="2"/>
    </font>
    <font>
      <sz val="11"/>
      <color rgb="FFFF0000"/>
      <name val="宋体"/>
      <family val="3"/>
      <charset val="134"/>
      <scheme val="minor"/>
    </font>
    <font>
      <b/>
      <sz val="10"/>
      <color rgb="FFFF0000"/>
      <name val="仿宋_GB2312"/>
      <family val="3"/>
      <charset val="134"/>
    </font>
    <font>
      <b/>
      <sz val="10"/>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5" tint="0.59999389629810485"/>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thin">
        <color auto="1"/>
      </bottom>
      <diagonal/>
    </border>
    <border>
      <left style="medium">
        <color rgb="FF000000"/>
      </left>
      <right style="thin">
        <color indexed="64"/>
      </right>
      <top style="medium">
        <color rgb="FF000000"/>
      </top>
      <bottom style="thin">
        <color auto="1"/>
      </bottom>
      <diagonal/>
    </border>
    <border>
      <left style="medium">
        <color rgb="FF000000"/>
      </left>
      <right style="medium">
        <color rgb="FF000000"/>
      </right>
      <top style="medium">
        <color rgb="FF000000"/>
      </top>
      <bottom style="thick">
        <color rgb="FF000000"/>
      </bottom>
      <diagonal/>
    </border>
    <border>
      <left/>
      <right style="medium">
        <color rgb="FF000000"/>
      </right>
      <top/>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diagonal/>
    </border>
    <border>
      <left/>
      <right/>
      <top style="thick">
        <color auto="1"/>
      </top>
      <bottom style="thin">
        <color indexed="64"/>
      </bottom>
      <diagonal/>
    </border>
    <border>
      <left style="thin">
        <color auto="1"/>
      </left>
      <right/>
      <top/>
      <bottom style="thick">
        <color auto="1"/>
      </bottom>
      <diagonal/>
    </border>
    <border>
      <left/>
      <right style="thin">
        <color auto="1"/>
      </right>
      <top style="thin">
        <color auto="1"/>
      </top>
      <bottom style="thick">
        <color auto="1"/>
      </bottom>
      <diagonal/>
    </border>
    <border>
      <left style="thin">
        <color auto="1"/>
      </left>
      <right style="thin">
        <color auto="1"/>
      </right>
      <top style="thick">
        <color auto="1"/>
      </top>
      <bottom/>
      <diagonal/>
    </border>
    <border>
      <left style="thin">
        <color auto="1"/>
      </left>
      <right/>
      <top style="thin">
        <color auto="1"/>
      </top>
      <bottom style="thick">
        <color auto="1"/>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style="medium">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top style="thick">
        <color indexed="64"/>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10" applyFont="1" applyAlignment="1">
      <alignment horizontal="left" vertical="center" wrapText="1"/>
    </xf>
    <xf numFmtId="0" fontId="111" fillId="14" borderId="0" xfId="10" applyFont="1" applyFill="1" applyAlignment="1">
      <alignment horizontal="left" vertical="center" wrapText="1"/>
    </xf>
    <xf numFmtId="0" fontId="255" fillId="14" borderId="0" xfId="10" applyFont="1" applyFill="1" applyAlignment="1">
      <alignment horizontal="left" vertical="center" wrapText="1"/>
    </xf>
    <xf numFmtId="0" fontId="111" fillId="14" borderId="0" xfId="10" applyFont="1" applyFill="1" applyAlignment="1">
      <alignment horizontal="right" vertical="center" wrapText="1"/>
    </xf>
    <xf numFmtId="0" fontId="117" fillId="14" borderId="0" xfId="10" applyFont="1" applyFill="1" applyAlignment="1">
      <alignment horizontal="left" vertical="center" wrapText="1"/>
    </xf>
    <xf numFmtId="0" fontId="111" fillId="20" borderId="0" xfId="10" applyFont="1" applyFill="1" applyAlignment="1">
      <alignment horizontal="left" vertical="center" wrapText="1"/>
    </xf>
    <xf numFmtId="0" fontId="111" fillId="20" borderId="0" xfId="10" applyFont="1" applyFill="1" applyAlignment="1">
      <alignment horizontal="right" vertical="center" wrapText="1"/>
    </xf>
    <xf numFmtId="0" fontId="111" fillId="0" borderId="0" xfId="10" applyFont="1" applyAlignment="1">
      <alignment horizontal="right" vertical="center" wrapText="1"/>
    </xf>
    <xf numFmtId="0" fontId="117" fillId="20" borderId="0" xfId="10" applyFont="1" applyFill="1" applyAlignment="1">
      <alignment horizontal="left" vertical="center" wrapText="1"/>
    </xf>
    <xf numFmtId="0" fontId="255" fillId="0" borderId="0" xfId="10" applyFont="1" applyAlignment="1">
      <alignment horizontal="right" vertical="center" wrapText="1"/>
    </xf>
    <xf numFmtId="0" fontId="255" fillId="0" borderId="0" xfId="10" applyFont="1" applyAlignment="1">
      <alignment horizontal="left" vertical="center" wrapText="1"/>
    </xf>
    <xf numFmtId="14" fontId="111" fillId="14" borderId="0" xfId="10" applyNumberFormat="1" applyFont="1" applyFill="1" applyAlignment="1">
      <alignment horizontal="left" vertical="center" wrapText="1"/>
    </xf>
    <xf numFmtId="0" fontId="255" fillId="5" borderId="0" xfId="10" applyFont="1" applyFill="1" applyAlignment="1">
      <alignment horizontal="left" vertical="center" wrapText="1"/>
    </xf>
    <xf numFmtId="0" fontId="117" fillId="0" borderId="0" xfId="10" applyFont="1" applyAlignment="1">
      <alignment horizontal="left" vertical="center" wrapText="1"/>
    </xf>
    <xf numFmtId="14" fontId="111" fillId="0" borderId="0" xfId="10" applyNumberFormat="1" applyFont="1" applyAlignment="1">
      <alignment horizontal="left" vertical="center" wrapText="1"/>
    </xf>
    <xf numFmtId="0" fontId="256" fillId="0" borderId="0" xfId="10" applyFont="1" applyAlignment="1">
      <alignment horizontal="right" vertical="center" wrapText="1"/>
    </xf>
    <xf numFmtId="0" fontId="257" fillId="0" borderId="0" xfId="10" applyFont="1" applyAlignment="1">
      <alignment horizontal="center" vertical="center" wrapText="1"/>
    </xf>
    <xf numFmtId="14" fontId="257" fillId="0" borderId="0" xfId="10" applyNumberFormat="1" applyFont="1" applyAlignment="1">
      <alignment horizontal="left" vertical="center" wrapText="1"/>
    </xf>
    <xf numFmtId="0" fontId="258" fillId="0" borderId="0" xfId="10" applyFont="1" applyAlignment="1">
      <alignment horizontal="left" vertical="center" wrapText="1"/>
    </xf>
    <xf numFmtId="0" fontId="111" fillId="0" borderId="1" xfId="10"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59" fillId="0" borderId="165" xfId="0" applyFont="1" applyBorder="1" applyAlignment="1">
      <alignment horizontal="center" vertical="center" wrapText="1"/>
    </xf>
    <xf numFmtId="0" fontId="259" fillId="0" borderId="170" xfId="0" applyFont="1" applyBorder="1" applyAlignment="1">
      <alignment horizontal="center" vertical="center" wrapText="1"/>
    </xf>
    <xf numFmtId="0" fontId="0" fillId="21" borderId="1" xfId="0" applyFill="1" applyBorder="1" applyAlignment="1">
      <alignment horizontal="center" vertical="center"/>
    </xf>
    <xf numFmtId="0" fontId="261" fillId="21" borderId="1" xfId="0" applyFont="1" applyFill="1" applyBorder="1" applyAlignment="1">
      <alignment horizontal="center" vertical="center"/>
    </xf>
    <xf numFmtId="0" fontId="0" fillId="21" borderId="3" xfId="0" applyFill="1" applyBorder="1">
      <alignment vertical="center"/>
    </xf>
    <xf numFmtId="0" fontId="0" fillId="21" borderId="1" xfId="0" applyFill="1" applyBorder="1">
      <alignment vertical="center"/>
    </xf>
    <xf numFmtId="179" fontId="261" fillId="21" borderId="1" xfId="0" applyNumberFormat="1" applyFont="1" applyFill="1" applyBorder="1" applyAlignment="1">
      <alignment horizontal="center" vertical="center"/>
    </xf>
    <xf numFmtId="0" fontId="0" fillId="21" borderId="0" xfId="0" applyFill="1" applyAlignment="1">
      <alignment horizontal="center" vertical="center"/>
    </xf>
    <xf numFmtId="0" fontId="261" fillId="21" borderId="3" xfId="0" applyFont="1" applyFill="1" applyBorder="1" applyAlignment="1">
      <alignment horizontal="center" vertical="center"/>
    </xf>
    <xf numFmtId="179" fontId="261" fillId="21" borderId="3" xfId="0" applyNumberFormat="1" applyFont="1" applyFill="1" applyBorder="1" applyAlignment="1">
      <alignment horizontal="center" vertical="center"/>
    </xf>
    <xf numFmtId="0" fontId="261" fillId="21" borderId="13" xfId="0" applyFont="1" applyFill="1" applyBorder="1" applyAlignment="1">
      <alignment horizontal="center" vertical="center"/>
    </xf>
    <xf numFmtId="0" fontId="0" fillId="21" borderId="22" xfId="0" applyFill="1" applyBorder="1">
      <alignment vertical="center"/>
    </xf>
    <xf numFmtId="0" fontId="0" fillId="21" borderId="13" xfId="0" applyFill="1" applyBorder="1">
      <alignment vertical="center"/>
    </xf>
    <xf numFmtId="0" fontId="261" fillId="21" borderId="46" xfId="0" applyFont="1" applyFill="1" applyBorder="1" applyAlignment="1">
      <alignment horizontal="center" vertical="center"/>
    </xf>
    <xf numFmtId="0" fontId="261" fillId="21" borderId="171" xfId="0" applyFont="1" applyFill="1" applyBorder="1" applyAlignment="1">
      <alignment horizontal="center" vertical="center"/>
    </xf>
    <xf numFmtId="179" fontId="261" fillId="21" borderId="171" xfId="0" applyNumberFormat="1" applyFont="1" applyFill="1" applyBorder="1" applyAlignment="1">
      <alignment horizontal="center" vertical="center"/>
    </xf>
    <xf numFmtId="0" fontId="0" fillId="21" borderId="171" xfId="0" applyFill="1" applyBorder="1">
      <alignment vertical="center"/>
    </xf>
    <xf numFmtId="0" fontId="261" fillId="21" borderId="173" xfId="0" applyFont="1" applyFill="1" applyBorder="1" applyAlignment="1">
      <alignment horizontal="center" vertical="center"/>
    </xf>
    <xf numFmtId="0" fontId="0" fillId="21" borderId="173" xfId="0" applyFill="1" applyBorder="1">
      <alignment vertical="center"/>
    </xf>
    <xf numFmtId="179" fontId="261" fillId="21" borderId="173" xfId="0" applyNumberFormat="1" applyFont="1" applyFill="1" applyBorder="1" applyAlignment="1">
      <alignment horizontal="center" vertical="center"/>
    </xf>
    <xf numFmtId="0" fontId="98" fillId="21" borderId="173" xfId="0" applyFont="1" applyFill="1" applyBorder="1" applyAlignment="1">
      <alignment horizontal="center" vertical="center"/>
    </xf>
    <xf numFmtId="0" fontId="0" fillId="0" borderId="175" xfId="0" applyBorder="1">
      <alignment vertical="center"/>
    </xf>
    <xf numFmtId="0" fontId="261" fillId="21" borderId="2" xfId="0" applyFont="1" applyFill="1" applyBorder="1" applyAlignment="1">
      <alignment horizontal="center" vertical="center"/>
    </xf>
    <xf numFmtId="17" fontId="261" fillId="21" borderId="1" xfId="0" applyNumberFormat="1" applyFont="1" applyFill="1" applyBorder="1" applyAlignment="1">
      <alignment horizontal="center" vertical="center"/>
    </xf>
    <xf numFmtId="0" fontId="98" fillId="21" borderId="1" xfId="0" applyFont="1" applyFill="1" applyBorder="1" applyAlignment="1">
      <alignment horizontal="center" vertical="center"/>
    </xf>
    <xf numFmtId="179" fontId="261" fillId="21" borderId="13" xfId="0" applyNumberFormat="1" applyFont="1" applyFill="1" applyBorder="1" applyAlignment="1">
      <alignment horizontal="center" vertical="center"/>
    </xf>
    <xf numFmtId="0" fontId="98" fillId="21" borderId="13" xfId="0" applyFont="1" applyFill="1" applyBorder="1" applyAlignment="1">
      <alignment horizontal="center" vertical="center"/>
    </xf>
    <xf numFmtId="0" fontId="0" fillId="21" borderId="2" xfId="0" applyFill="1" applyBorder="1">
      <alignment vertical="center"/>
    </xf>
    <xf numFmtId="17" fontId="261" fillId="21" borderId="2" xfId="0" applyNumberFormat="1" applyFont="1" applyFill="1" applyBorder="1" applyAlignment="1">
      <alignment horizontal="center" vertical="center"/>
    </xf>
    <xf numFmtId="179" fontId="261" fillId="21" borderId="2" xfId="0" applyNumberFormat="1" applyFont="1" applyFill="1" applyBorder="1" applyAlignment="1">
      <alignment horizontal="center" vertical="center"/>
    </xf>
    <xf numFmtId="0" fontId="0" fillId="21" borderId="2" xfId="0" applyFill="1" applyBorder="1" applyAlignment="1">
      <alignment horizontal="center" vertical="center"/>
    </xf>
    <xf numFmtId="0" fontId="98" fillId="21" borderId="171" xfId="0" applyFont="1" applyFill="1" applyBorder="1" applyAlignment="1">
      <alignment horizontal="center" vertical="center"/>
    </xf>
    <xf numFmtId="17" fontId="261" fillId="21" borderId="173" xfId="0" applyNumberFormat="1" applyFont="1" applyFill="1" applyBorder="1" applyAlignment="1">
      <alignment horizontal="center" vertical="center"/>
    </xf>
    <xf numFmtId="0" fontId="0" fillId="21" borderId="173" xfId="0" applyFill="1" applyBorder="1" applyAlignment="1">
      <alignment horizontal="center" vertical="center"/>
    </xf>
    <xf numFmtId="0" fontId="0" fillId="21" borderId="13" xfId="0" applyFill="1" applyBorder="1" applyAlignment="1">
      <alignment horizontal="center" vertical="center"/>
    </xf>
    <xf numFmtId="0" fontId="0" fillId="22" borderId="1" xfId="0" applyFill="1" applyBorder="1" applyAlignment="1">
      <alignment horizontal="center" vertical="center"/>
    </xf>
    <xf numFmtId="0" fontId="0" fillId="22" borderId="2" xfId="0" applyFill="1" applyBorder="1" applyAlignment="1">
      <alignment horizontal="center" vertical="center"/>
    </xf>
    <xf numFmtId="0" fontId="261" fillId="22" borderId="173" xfId="0" applyFont="1" applyFill="1" applyBorder="1" applyAlignment="1">
      <alignment horizontal="center" vertical="center"/>
    </xf>
    <xf numFmtId="0" fontId="0" fillId="22" borderId="173" xfId="0" applyFill="1" applyBorder="1">
      <alignment vertical="center"/>
    </xf>
    <xf numFmtId="0" fontId="0" fillId="22" borderId="173" xfId="0" applyFill="1" applyBorder="1" applyAlignment="1">
      <alignment horizontal="center" vertical="center"/>
    </xf>
    <xf numFmtId="0" fontId="98" fillId="22" borderId="173" xfId="0" applyFont="1" applyFill="1" applyBorder="1" applyAlignment="1">
      <alignment horizontal="center" vertical="center"/>
    </xf>
    <xf numFmtId="0" fontId="261" fillId="22" borderId="1" xfId="0" applyFont="1" applyFill="1" applyBorder="1" applyAlignment="1">
      <alignment horizontal="center" vertical="center"/>
    </xf>
    <xf numFmtId="0" fontId="0" fillId="22" borderId="1" xfId="0" applyFill="1" applyBorder="1">
      <alignment vertical="center"/>
    </xf>
    <xf numFmtId="0" fontId="98" fillId="22" borderId="1" xfId="0" applyFont="1" applyFill="1" applyBorder="1" applyAlignment="1">
      <alignment horizontal="center" vertical="center"/>
    </xf>
    <xf numFmtId="17" fontId="261" fillId="22" borderId="1" xfId="0" applyNumberFormat="1" applyFont="1" applyFill="1" applyBorder="1" applyAlignment="1">
      <alignment horizontal="center" vertical="center"/>
    </xf>
    <xf numFmtId="0" fontId="261" fillId="22" borderId="171" xfId="0" applyFont="1" applyFill="1" applyBorder="1" applyAlignment="1">
      <alignment horizontal="center" vertical="center"/>
    </xf>
    <xf numFmtId="0" fontId="0" fillId="22" borderId="171" xfId="0" applyFill="1" applyBorder="1">
      <alignment vertical="center"/>
    </xf>
    <xf numFmtId="0" fontId="0" fillId="22" borderId="171" xfId="0" applyFill="1" applyBorder="1" applyAlignment="1">
      <alignment horizontal="center" vertical="center"/>
    </xf>
    <xf numFmtId="0" fontId="98" fillId="22" borderId="171" xfId="0" applyFont="1" applyFill="1" applyBorder="1" applyAlignment="1">
      <alignment horizontal="center" vertical="center"/>
    </xf>
    <xf numFmtId="0" fontId="261" fillId="22" borderId="13" xfId="0" applyFont="1" applyFill="1" applyBorder="1" applyAlignment="1">
      <alignment horizontal="center" vertical="center"/>
    </xf>
    <xf numFmtId="0" fontId="0" fillId="22" borderId="177" xfId="0" applyFill="1" applyBorder="1">
      <alignment vertical="center"/>
    </xf>
    <xf numFmtId="0" fontId="0" fillId="20" borderId="173" xfId="0" applyFill="1" applyBorder="1" applyAlignment="1">
      <alignment horizontal="center" vertical="center"/>
    </xf>
    <xf numFmtId="0" fontId="261" fillId="20" borderId="173" xfId="0" applyFont="1" applyFill="1" applyBorder="1" applyAlignment="1">
      <alignment horizontal="center" vertical="center"/>
    </xf>
    <xf numFmtId="0" fontId="0" fillId="20" borderId="173" xfId="0" applyFill="1" applyBorder="1">
      <alignment vertical="center"/>
    </xf>
    <xf numFmtId="0" fontId="98" fillId="20" borderId="173" xfId="0" applyFont="1" applyFill="1" applyBorder="1" applyAlignment="1">
      <alignment horizontal="center" vertical="center"/>
    </xf>
    <xf numFmtId="0" fontId="0" fillId="20" borderId="1" xfId="0" applyFill="1" applyBorder="1" applyAlignment="1">
      <alignment horizontal="center" vertical="center"/>
    </xf>
    <xf numFmtId="0" fontId="261" fillId="20" borderId="1" xfId="0" applyFont="1" applyFill="1" applyBorder="1" applyAlignment="1">
      <alignment horizontal="center" vertical="center"/>
    </xf>
    <xf numFmtId="0" fontId="0" fillId="20" borderId="1" xfId="0" applyFill="1" applyBorder="1">
      <alignment vertical="center"/>
    </xf>
    <xf numFmtId="0" fontId="0" fillId="20" borderId="171" xfId="0" applyFill="1" applyBorder="1" applyAlignment="1">
      <alignment horizontal="center" vertical="center"/>
    </xf>
    <xf numFmtId="0" fontId="261" fillId="20" borderId="171" xfId="0" applyFont="1" applyFill="1" applyBorder="1" applyAlignment="1">
      <alignment horizontal="center" vertical="center"/>
    </xf>
    <xf numFmtId="0" fontId="0" fillId="20" borderId="171" xfId="0" applyFill="1" applyBorder="1">
      <alignment vertical="center"/>
    </xf>
    <xf numFmtId="0" fontId="98" fillId="20" borderId="171" xfId="0" applyFont="1" applyFill="1" applyBorder="1" applyAlignment="1">
      <alignment horizontal="center" vertical="center"/>
    </xf>
    <xf numFmtId="0" fontId="0" fillId="20" borderId="2" xfId="0" applyFill="1" applyBorder="1" applyAlignment="1">
      <alignment horizontal="center" vertical="center"/>
    </xf>
    <xf numFmtId="0" fontId="261" fillId="20" borderId="179" xfId="0" applyFont="1" applyFill="1" applyBorder="1" applyAlignment="1">
      <alignment horizontal="center" vertical="center"/>
    </xf>
    <xf numFmtId="0" fontId="261" fillId="20" borderId="13" xfId="0" applyFont="1" applyFill="1" applyBorder="1" applyAlignment="1">
      <alignment horizontal="center" vertical="center"/>
    </xf>
    <xf numFmtId="0" fontId="0" fillId="20" borderId="13" xfId="0" applyFill="1" applyBorder="1" applyAlignment="1">
      <alignment horizontal="center" vertical="center"/>
    </xf>
    <xf numFmtId="0" fontId="0" fillId="20" borderId="13" xfId="0" applyFill="1" applyBorder="1">
      <alignment vertical="center"/>
    </xf>
    <xf numFmtId="0" fontId="98" fillId="20" borderId="13" xfId="0" applyFont="1" applyFill="1" applyBorder="1" applyAlignment="1">
      <alignment horizontal="center" vertical="center"/>
    </xf>
    <xf numFmtId="0" fontId="0" fillId="23" borderId="173" xfId="0" applyFill="1" applyBorder="1" applyAlignment="1">
      <alignment horizontal="center" vertical="center"/>
    </xf>
    <xf numFmtId="0" fontId="261" fillId="23" borderId="173" xfId="0" applyFont="1" applyFill="1" applyBorder="1" applyAlignment="1">
      <alignment horizontal="center" vertical="center"/>
    </xf>
    <xf numFmtId="0" fontId="0" fillId="23" borderId="173" xfId="0" applyFill="1" applyBorder="1">
      <alignment vertical="center"/>
    </xf>
    <xf numFmtId="0" fontId="98" fillId="23" borderId="173" xfId="0" applyFont="1" applyFill="1" applyBorder="1">
      <alignment vertical="center"/>
    </xf>
    <xf numFmtId="0" fontId="0" fillId="23" borderId="1" xfId="0" applyFill="1" applyBorder="1" applyAlignment="1">
      <alignment horizontal="center" vertical="center"/>
    </xf>
    <xf numFmtId="0" fontId="261" fillId="23" borderId="1" xfId="0" applyFont="1" applyFill="1" applyBorder="1" applyAlignment="1">
      <alignment horizontal="center" vertical="center"/>
    </xf>
    <xf numFmtId="0" fontId="0" fillId="23" borderId="1" xfId="0" applyFill="1" applyBorder="1">
      <alignment vertical="center"/>
    </xf>
    <xf numFmtId="0" fontId="98" fillId="23" borderId="1" xfId="0" applyFont="1" applyFill="1" applyBorder="1">
      <alignment vertical="center"/>
    </xf>
    <xf numFmtId="0" fontId="261" fillId="23" borderId="5" xfId="0" applyFont="1" applyFill="1" applyBorder="1" applyAlignment="1">
      <alignment horizontal="center" vertical="center"/>
    </xf>
    <xf numFmtId="0" fontId="0" fillId="23" borderId="3" xfId="0" applyFill="1" applyBorder="1" applyAlignment="1">
      <alignment horizontal="center" vertical="center"/>
    </xf>
    <xf numFmtId="0" fontId="261" fillId="23" borderId="171" xfId="0" applyFont="1" applyFill="1" applyBorder="1" applyAlignment="1">
      <alignment horizontal="center" vertical="center"/>
    </xf>
    <xf numFmtId="0" fontId="0" fillId="23" borderId="171" xfId="0" applyFill="1" applyBorder="1">
      <alignment vertical="center"/>
    </xf>
    <xf numFmtId="0" fontId="98" fillId="23" borderId="171" xfId="0" applyFont="1" applyFill="1" applyBorder="1">
      <alignment vertical="center"/>
    </xf>
    <xf numFmtId="0" fontId="261" fillId="23" borderId="179" xfId="0" applyFont="1" applyFill="1" applyBorder="1" applyAlignment="1">
      <alignment horizontal="center" vertical="center"/>
    </xf>
    <xf numFmtId="0" fontId="0" fillId="23" borderId="171" xfId="0" applyFill="1" applyBorder="1" applyAlignment="1">
      <alignment horizontal="center" vertical="center"/>
    </xf>
    <xf numFmtId="0" fontId="0" fillId="23" borderId="177" xfId="0" applyFill="1" applyBorder="1" applyAlignment="1">
      <alignment horizontal="center" vertical="center"/>
    </xf>
    <xf numFmtId="0" fontId="0" fillId="23" borderId="2" xfId="0" applyFill="1" applyBorder="1" applyAlignment="1">
      <alignment horizontal="center" vertical="center"/>
    </xf>
    <xf numFmtId="0" fontId="263" fillId="0" borderId="0" xfId="0" applyFont="1" applyAlignment="1">
      <alignment horizontal="center" vertical="center"/>
    </xf>
    <xf numFmtId="0" fontId="263" fillId="0" borderId="0" xfId="0" applyFont="1">
      <alignment vertical="center"/>
    </xf>
    <xf numFmtId="0" fontId="0" fillId="7" borderId="0" xfId="0" applyFill="1">
      <alignment vertical="center"/>
    </xf>
    <xf numFmtId="0" fontId="0" fillId="0" borderId="1" xfId="0" applyBorder="1">
      <alignment vertical="center"/>
    </xf>
    <xf numFmtId="0" fontId="79" fillId="12" borderId="0" xfId="0" applyFont="1" applyFill="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6" borderId="17"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255" fillId="20" borderId="0" xfId="10" applyFont="1" applyFill="1" applyAlignment="1">
      <alignment horizontal="left" vertical="center" wrapText="1"/>
    </xf>
    <xf numFmtId="0" fontId="0" fillId="24" borderId="1" xfId="0" applyFill="1" applyBorder="1" applyAlignment="1">
      <alignment horizontal="center" vertical="center"/>
    </xf>
    <xf numFmtId="0" fontId="0" fillId="24" borderId="1" xfId="0" applyFill="1" applyBorder="1">
      <alignment vertical="center"/>
    </xf>
    <xf numFmtId="0" fontId="264" fillId="7" borderId="0" xfId="0" applyFont="1" applyFill="1" applyAlignment="1"/>
    <xf numFmtId="43" fontId="264" fillId="7" borderId="0" xfId="0" applyNumberFormat="1" applyFont="1" applyFill="1" applyAlignment="1"/>
    <xf numFmtId="0" fontId="268" fillId="7" borderId="181" xfId="0" applyFont="1" applyFill="1" applyBorder="1" applyAlignment="1">
      <alignment horizontal="center" vertical="center" wrapText="1"/>
    </xf>
    <xf numFmtId="0" fontId="268" fillId="7" borderId="56" xfId="0" applyFont="1" applyFill="1" applyBorder="1" applyAlignment="1">
      <alignment horizontal="center" vertical="center" wrapText="1"/>
    </xf>
    <xf numFmtId="0" fontId="0" fillId="7" borderId="43" xfId="0" applyFill="1" applyBorder="1" applyAlignment="1">
      <alignment vertical="center" wrapText="1"/>
    </xf>
    <xf numFmtId="0" fontId="268" fillId="7" borderId="43" xfId="0" applyFont="1" applyFill="1" applyBorder="1" applyAlignment="1">
      <alignment horizontal="center" vertical="center" wrapText="1"/>
    </xf>
    <xf numFmtId="0" fontId="268" fillId="7" borderId="189" xfId="0" applyFont="1" applyFill="1" applyBorder="1" applyAlignment="1">
      <alignment horizontal="center" vertical="center" wrapText="1"/>
    </xf>
    <xf numFmtId="0" fontId="270" fillId="7" borderId="191" xfId="0" applyFont="1" applyFill="1" applyBorder="1" applyAlignment="1">
      <alignment horizontal="center" vertical="center" wrapText="1"/>
    </xf>
    <xf numFmtId="0" fontId="270" fillId="7" borderId="192" xfId="0" applyFont="1" applyFill="1" applyBorder="1" applyAlignment="1">
      <alignment horizontal="center" vertical="center" wrapText="1"/>
    </xf>
    <xf numFmtId="0" fontId="270" fillId="7" borderId="188" xfId="0" applyFont="1" applyFill="1" applyBorder="1" applyAlignment="1">
      <alignment horizontal="center" vertical="center" wrapText="1"/>
    </xf>
    <xf numFmtId="0" fontId="271" fillId="7"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0" fillId="5" borderId="43" xfId="0" applyFont="1" applyFill="1" applyBorder="1" applyAlignment="1">
      <alignment horizontal="center" vertical="center" wrapText="1"/>
    </xf>
    <xf numFmtId="0" fontId="270" fillId="25" borderId="43" xfId="0" applyFont="1" applyFill="1" applyBorder="1" applyAlignment="1">
      <alignment horizontal="center" vertical="center" wrapText="1"/>
    </xf>
    <xf numFmtId="0" fontId="268" fillId="7" borderId="82" xfId="0" applyFont="1" applyFill="1" applyBorder="1" applyAlignment="1">
      <alignment horizontal="center" vertical="center" wrapText="1"/>
    </xf>
    <xf numFmtId="0" fontId="270" fillId="7" borderId="80" xfId="0" applyFont="1" applyFill="1" applyBorder="1" applyAlignment="1">
      <alignment horizontal="center" vertical="center" wrapText="1"/>
    </xf>
    <xf numFmtId="0" fontId="270" fillId="7" borderId="82" xfId="0" applyFont="1" applyFill="1" applyBorder="1" applyAlignment="1">
      <alignment horizontal="center" vertical="center" wrapText="1"/>
    </xf>
    <xf numFmtId="0" fontId="272" fillId="7" borderId="0" xfId="0" applyFont="1" applyFill="1" applyAlignment="1"/>
    <xf numFmtId="0" fontId="268" fillId="7" borderId="188" xfId="0" applyFont="1" applyFill="1" applyBorder="1" applyAlignment="1">
      <alignment horizontal="center" vertical="center" wrapText="1"/>
    </xf>
    <xf numFmtId="0" fontId="270" fillId="7" borderId="81" xfId="0" applyFont="1" applyFill="1" applyBorder="1" applyAlignment="1">
      <alignment horizontal="center" vertical="center" wrapText="1"/>
    </xf>
    <xf numFmtId="0" fontId="268" fillId="7" borderId="193" xfId="0" applyFont="1" applyFill="1" applyBorder="1" applyAlignment="1">
      <alignment horizontal="center" vertical="center" wrapText="1"/>
    </xf>
    <xf numFmtId="0" fontId="270" fillId="7" borderId="194" xfId="0" applyFont="1" applyFill="1" applyBorder="1" applyAlignment="1">
      <alignment horizontal="center" vertical="center" wrapText="1"/>
    </xf>
    <xf numFmtId="0" fontId="270" fillId="5" borderId="194" xfId="0" applyFont="1" applyFill="1" applyBorder="1" applyAlignment="1">
      <alignment horizontal="center" vertical="center" wrapText="1"/>
    </xf>
    <xf numFmtId="0" fontId="270" fillId="25" borderId="194" xfId="0" applyFont="1" applyFill="1" applyBorder="1" applyAlignment="1">
      <alignment horizontal="center" vertical="center" wrapText="1"/>
    </xf>
    <xf numFmtId="0" fontId="268" fillId="7" borderId="0" xfId="0" applyFont="1" applyFill="1" applyAlignment="1">
      <alignment horizontal="center" vertical="center" wrapText="1"/>
    </xf>
    <xf numFmtId="0" fontId="270" fillId="7" borderId="0" xfId="0" applyFont="1" applyFill="1" applyAlignment="1">
      <alignment horizontal="center" vertical="center" wrapText="1"/>
    </xf>
    <xf numFmtId="0" fontId="268" fillId="25" borderId="0" xfId="0" applyFont="1" applyFill="1" applyAlignment="1">
      <alignment horizontal="center" vertical="center" wrapText="1"/>
    </xf>
    <xf numFmtId="0" fontId="37" fillId="7" borderId="1" xfId="0" applyFont="1" applyFill="1" applyBorder="1" applyAlignment="1"/>
    <xf numFmtId="0" fontId="272" fillId="7" borderId="1" xfId="0" applyFont="1" applyFill="1" applyBorder="1" applyAlignment="1"/>
    <xf numFmtId="0" fontId="37" fillId="0" borderId="1" xfId="0" applyFont="1" applyBorder="1" applyAlignment="1"/>
    <xf numFmtId="0" fontId="272" fillId="5" borderId="1" xfId="0" applyFont="1" applyFill="1" applyBorder="1" applyAlignment="1"/>
    <xf numFmtId="0" fontId="273" fillId="7" borderId="0" xfId="0" applyFont="1" applyFill="1" applyAlignment="1"/>
    <xf numFmtId="0" fontId="274" fillId="0" borderId="41"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0" fontId="275" fillId="0" borderId="0" xfId="0" applyFont="1" applyAlignment="1">
      <alignment horizontal="justify" vertical="center"/>
    </xf>
    <xf numFmtId="0" fontId="276" fillId="0" borderId="0" xfId="0" applyFont="1" applyAlignment="1">
      <alignment horizontal="justify" vertical="center"/>
    </xf>
    <xf numFmtId="0" fontId="232" fillId="0" borderId="24"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111" fillId="0" borderId="0" xfId="10" applyFont="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1" fontId="219" fillId="12" borderId="0" xfId="0" applyNumberFormat="1" applyFont="1" applyFill="1" applyBorder="1" applyAlignment="1" applyProtection="1">
      <alignment horizontal="center" vertical="center" wrapText="1"/>
      <protection locked="0"/>
    </xf>
    <xf numFmtId="10" fontId="49" fillId="18" borderId="24" xfId="0" applyNumberFormat="1" applyFont="1" applyFill="1" applyBorder="1" applyAlignment="1" applyProtection="1">
      <alignment horizontal="center" vertical="center"/>
    </xf>
    <xf numFmtId="0" fontId="0" fillId="23" borderId="1" xfId="0" applyFill="1" applyBorder="1" applyAlignment="1">
      <alignment horizontal="center" vertical="center"/>
    </xf>
    <xf numFmtId="0" fontId="98" fillId="22" borderId="1" xfId="0" applyFont="1" applyFill="1" applyBorder="1" applyAlignment="1">
      <alignment horizontal="center" vertical="center"/>
    </xf>
    <xf numFmtId="0" fontId="0" fillId="22" borderId="1" xfId="0" applyFill="1" applyBorder="1" applyAlignment="1">
      <alignment horizontal="center" vertical="center"/>
    </xf>
    <xf numFmtId="0" fontId="0" fillId="21" borderId="1" xfId="0" applyFill="1" applyBorder="1" applyAlignment="1">
      <alignment horizontal="center" vertical="center"/>
    </xf>
    <xf numFmtId="0" fontId="98" fillId="21" borderId="1" xfId="0" applyFont="1" applyFill="1" applyBorder="1" applyAlignment="1">
      <alignment horizontal="center" vertical="center"/>
    </xf>
    <xf numFmtId="0" fontId="98" fillId="0" borderId="0" xfId="0" applyFont="1">
      <alignment vertical="center"/>
    </xf>
    <xf numFmtId="0" fontId="0" fillId="20" borderId="58" xfId="0" applyFill="1" applyBorder="1">
      <alignment vertical="center"/>
    </xf>
    <xf numFmtId="0" fontId="0" fillId="20" borderId="0" xfId="0" applyFill="1">
      <alignment vertical="center"/>
    </xf>
    <xf numFmtId="0" fontId="98" fillId="20" borderId="0" xfId="0" applyFont="1" applyFill="1">
      <alignment vertical="center"/>
    </xf>
    <xf numFmtId="0" fontId="279" fillId="21" borderId="1" xfId="0" applyFont="1" applyFill="1" applyBorder="1" applyAlignment="1">
      <alignment horizontal="center" vertical="center"/>
    </xf>
    <xf numFmtId="0" fontId="135" fillId="0" borderId="1" xfId="0" applyFont="1" applyBorder="1" applyAlignment="1">
      <alignment horizontal="center" vertical="center" shrinkToFit="1"/>
    </xf>
    <xf numFmtId="0" fontId="169" fillId="0" borderId="1" xfId="0" applyFont="1" applyBorder="1" applyAlignment="1">
      <alignment horizontal="center" vertical="center" shrinkToFit="1"/>
    </xf>
    <xf numFmtId="0" fontId="261" fillId="0" borderId="0" xfId="0" applyFont="1" applyAlignment="1">
      <alignment horizontal="center" vertical="center"/>
    </xf>
    <xf numFmtId="0" fontId="279" fillId="0" borderId="2" xfId="0" applyFont="1" applyBorder="1">
      <alignment vertical="center"/>
    </xf>
    <xf numFmtId="0" fontId="279" fillId="0" borderId="0" xfId="0" applyFont="1">
      <alignment vertical="center"/>
    </xf>
    <xf numFmtId="0" fontId="279" fillId="0" borderId="1" xfId="0" applyFont="1" applyBorder="1">
      <alignment vertical="center"/>
    </xf>
    <xf numFmtId="0" fontId="0" fillId="0" borderId="0" xfId="0" applyAlignment="1">
      <alignment horizontal="center" vertical="center"/>
    </xf>
    <xf numFmtId="0" fontId="279" fillId="23" borderId="1" xfId="0" applyFont="1" applyFill="1" applyBorder="1" applyAlignment="1">
      <alignment horizontal="center" vertical="center"/>
    </xf>
    <xf numFmtId="0" fontId="19" fillId="0" borderId="1" xfId="0" applyFont="1" applyBorder="1" applyAlignment="1">
      <alignment horizontal="center" vertical="center" shrinkToFit="1"/>
    </xf>
    <xf numFmtId="0" fontId="98" fillId="0" borderId="0" xfId="0" applyFont="1" applyAlignment="1">
      <alignment horizontal="center" vertical="center"/>
    </xf>
    <xf numFmtId="0" fontId="0" fillId="21" borderId="0" xfId="0" applyFill="1" applyBorder="1">
      <alignment vertical="center"/>
    </xf>
    <xf numFmtId="0" fontId="79" fillId="0" borderId="1" xfId="0" applyFont="1" applyBorder="1" applyAlignment="1">
      <alignment horizontal="center" vertical="center" shrinkToFit="1"/>
    </xf>
    <xf numFmtId="0" fontId="98" fillId="20" borderId="1" xfId="0" applyFont="1" applyFill="1" applyBorder="1" applyAlignment="1">
      <alignment horizontal="center" vertical="center"/>
    </xf>
    <xf numFmtId="0" fontId="98" fillId="20" borderId="1" xfId="0" applyFont="1" applyFill="1" applyBorder="1">
      <alignment vertical="center"/>
    </xf>
    <xf numFmtId="0" fontId="279" fillId="5"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0" fillId="23" borderId="173" xfId="0" applyFill="1" applyBorder="1" applyAlignment="1">
      <alignment horizontal="center" vertical="center"/>
    </xf>
    <xf numFmtId="0" fontId="0" fillId="23" borderId="1" xfId="0" applyFill="1" applyBorder="1" applyAlignment="1">
      <alignment horizontal="center" vertical="center"/>
    </xf>
    <xf numFmtId="0" fontId="0" fillId="23" borderId="171" xfId="0" applyFill="1" applyBorder="1" applyAlignment="1">
      <alignment horizontal="center" vertical="center"/>
    </xf>
    <xf numFmtId="0" fontId="98" fillId="23" borderId="178" xfId="0" applyFont="1" applyFill="1" applyBorder="1" applyAlignment="1">
      <alignment horizontal="center" vertical="center"/>
    </xf>
    <xf numFmtId="0" fontId="0" fillId="23" borderId="15" xfId="0" applyFill="1" applyBorder="1" applyAlignment="1">
      <alignment horizontal="center" vertical="center"/>
    </xf>
    <xf numFmtId="0" fontId="0" fillId="23" borderId="172" xfId="0" applyFill="1" applyBorder="1" applyAlignment="1">
      <alignment horizontal="center" vertical="center"/>
    </xf>
    <xf numFmtId="0" fontId="0" fillId="20" borderId="178" xfId="0" applyFill="1" applyBorder="1" applyAlignment="1">
      <alignment horizontal="center" vertical="center"/>
    </xf>
    <xf numFmtId="0" fontId="0" fillId="20" borderId="15" xfId="0" applyFill="1" applyBorder="1" applyAlignment="1">
      <alignment horizontal="center" vertical="center"/>
    </xf>
    <xf numFmtId="0" fontId="98" fillId="20" borderId="178" xfId="0" applyFont="1" applyFill="1" applyBorder="1" applyAlignment="1">
      <alignment horizontal="center" vertical="center"/>
    </xf>
    <xf numFmtId="0" fontId="0" fillId="23" borderId="178" xfId="0" applyFill="1" applyBorder="1" applyAlignment="1">
      <alignment horizontal="center" vertical="center"/>
    </xf>
    <xf numFmtId="0" fontId="0" fillId="20" borderId="172" xfId="0" applyFill="1" applyBorder="1" applyAlignment="1">
      <alignment horizontal="center" vertical="center"/>
    </xf>
    <xf numFmtId="0" fontId="98" fillId="22" borderId="173" xfId="0" applyFont="1" applyFill="1" applyBorder="1" applyAlignment="1">
      <alignment horizontal="center" vertical="center"/>
    </xf>
    <xf numFmtId="0" fontId="98" fillId="22" borderId="1" xfId="0" applyFont="1" applyFill="1" applyBorder="1" applyAlignment="1">
      <alignment horizontal="center" vertical="center"/>
    </xf>
    <xf numFmtId="0" fontId="98" fillId="22" borderId="171" xfId="0" applyFont="1" applyFill="1" applyBorder="1" applyAlignment="1">
      <alignment horizontal="center" vertical="center"/>
    </xf>
    <xf numFmtId="0" fontId="0" fillId="22" borderId="1" xfId="0" applyFill="1" applyBorder="1" applyAlignment="1">
      <alignment horizontal="center" vertical="center"/>
    </xf>
    <xf numFmtId="0" fontId="0" fillId="22" borderId="171" xfId="0" applyFill="1" applyBorder="1" applyAlignment="1">
      <alignment horizontal="center" vertical="center"/>
    </xf>
    <xf numFmtId="0" fontId="0" fillId="21" borderId="2" xfId="0" applyFill="1" applyBorder="1" applyAlignment="1">
      <alignment horizontal="center" vertical="center"/>
    </xf>
    <xf numFmtId="0" fontId="0" fillId="21" borderId="1" xfId="0" applyFill="1" applyBorder="1" applyAlignment="1">
      <alignment horizontal="center" vertical="center"/>
    </xf>
    <xf numFmtId="0" fontId="0" fillId="21" borderId="13" xfId="0" applyFill="1" applyBorder="1" applyAlignment="1">
      <alignment horizontal="center" vertical="center"/>
    </xf>
    <xf numFmtId="0" fontId="98" fillId="21" borderId="2" xfId="0" applyFont="1" applyFill="1" applyBorder="1" applyAlignment="1">
      <alignment horizontal="center" vertical="center"/>
    </xf>
    <xf numFmtId="0" fontId="98" fillId="21" borderId="173" xfId="0" applyFont="1" applyFill="1" applyBorder="1" applyAlignment="1">
      <alignment horizontal="center" vertical="center"/>
    </xf>
    <xf numFmtId="0" fontId="98" fillId="21" borderId="1" xfId="0" applyFont="1" applyFill="1" applyBorder="1" applyAlignment="1">
      <alignment horizontal="center" vertical="center"/>
    </xf>
    <xf numFmtId="0" fontId="98" fillId="21" borderId="171" xfId="0" applyFont="1" applyFill="1" applyBorder="1" applyAlignment="1">
      <alignment horizontal="center" vertical="center"/>
    </xf>
    <xf numFmtId="0" fontId="0" fillId="21" borderId="171" xfId="0" applyFill="1" applyBorder="1" applyAlignment="1">
      <alignment horizontal="center" vertical="center"/>
    </xf>
    <xf numFmtId="0" fontId="0" fillId="21" borderId="173" xfId="0" applyFill="1" applyBorder="1" applyAlignment="1">
      <alignment horizontal="center" vertical="center"/>
    </xf>
    <xf numFmtId="0" fontId="0" fillId="21" borderId="15" xfId="0" applyFill="1" applyBorder="1" applyAlignment="1">
      <alignment horizontal="center" vertical="center"/>
    </xf>
    <xf numFmtId="0" fontId="98" fillId="21" borderId="15" xfId="0" applyFont="1" applyFill="1" applyBorder="1" applyAlignment="1">
      <alignment horizontal="center" vertical="center"/>
    </xf>
    <xf numFmtId="0" fontId="0" fillId="21" borderId="172" xfId="0" applyFill="1" applyBorder="1" applyAlignment="1">
      <alignment horizontal="center" vertical="center"/>
    </xf>
    <xf numFmtId="0" fontId="98" fillId="21" borderId="13" xfId="0" applyFont="1" applyFill="1" applyBorder="1" applyAlignment="1">
      <alignment horizontal="center" vertical="center"/>
    </xf>
    <xf numFmtId="0" fontId="0" fillId="21" borderId="174" xfId="0" applyFill="1" applyBorder="1" applyAlignment="1">
      <alignment horizontal="center" vertical="center"/>
    </xf>
    <xf numFmtId="0" fontId="0" fillId="21" borderId="58" xfId="0" applyFill="1" applyBorder="1" applyAlignment="1">
      <alignment horizontal="center" vertical="center"/>
    </xf>
    <xf numFmtId="0" fontId="0" fillId="21" borderId="176" xfId="0" applyFill="1" applyBorder="1" applyAlignment="1">
      <alignment horizontal="center" vertical="center"/>
    </xf>
    <xf numFmtId="0" fontId="259" fillId="0" borderId="163" xfId="0" applyFont="1" applyBorder="1" applyAlignment="1">
      <alignment horizontal="center" vertical="center" wrapText="1"/>
    </xf>
    <xf numFmtId="0" fontId="259" fillId="0" borderId="165" xfId="0" applyFont="1" applyBorder="1" applyAlignment="1">
      <alignment horizontal="center" vertical="center" wrapText="1"/>
    </xf>
    <xf numFmtId="0" fontId="259" fillId="0" borderId="164" xfId="0" applyFont="1" applyBorder="1" applyAlignment="1">
      <alignment horizontal="center" vertical="center" wrapText="1"/>
    </xf>
    <xf numFmtId="0" fontId="259" fillId="0" borderId="169" xfId="0" applyFont="1" applyBorder="1" applyAlignment="1">
      <alignment horizontal="center" vertical="center" wrapText="1"/>
    </xf>
    <xf numFmtId="0" fontId="99" fillId="0" borderId="0" xfId="0" applyFont="1" applyAlignment="1">
      <alignment horizontal="center" vertical="center"/>
    </xf>
    <xf numFmtId="0" fontId="259" fillId="0" borderId="160" xfId="0" applyFont="1" applyBorder="1" applyAlignment="1">
      <alignment horizontal="center" vertical="center" wrapText="1"/>
    </xf>
    <xf numFmtId="0" fontId="259" fillId="0" borderId="166" xfId="0" applyFont="1" applyBorder="1" applyAlignment="1">
      <alignment horizontal="center" vertical="center" wrapText="1"/>
    </xf>
    <xf numFmtId="0" fontId="259" fillId="0" borderId="161" xfId="0" applyFont="1" applyBorder="1" applyAlignment="1">
      <alignment horizontal="center" vertical="center" wrapText="1"/>
    </xf>
    <xf numFmtId="0" fontId="259" fillId="0" borderId="167" xfId="0" applyFont="1" applyBorder="1" applyAlignment="1">
      <alignment horizontal="center" vertical="center" wrapText="1"/>
    </xf>
    <xf numFmtId="0" fontId="259" fillId="0" borderId="162" xfId="0" applyFont="1" applyBorder="1" applyAlignment="1">
      <alignment horizontal="center" vertical="center" wrapText="1"/>
    </xf>
    <xf numFmtId="0" fontId="259" fillId="0" borderId="168" xfId="0" applyFont="1" applyBorder="1" applyAlignment="1">
      <alignment horizontal="center" vertical="center" wrapText="1"/>
    </xf>
    <xf numFmtId="0" fontId="259" fillId="7" borderId="163" xfId="0" applyFont="1" applyFill="1" applyBorder="1" applyAlignment="1">
      <alignment horizontal="center" vertical="center" wrapText="1"/>
    </xf>
    <xf numFmtId="0" fontId="259" fillId="7" borderId="165" xfId="0" applyFont="1" applyFill="1" applyBorder="1" applyAlignment="1">
      <alignment horizontal="center" vertical="center" wrapText="1"/>
    </xf>
    <xf numFmtId="0" fontId="111" fillId="14" borderId="0" xfId="10" applyFont="1" applyFill="1" applyAlignment="1">
      <alignment horizontal="left" vertical="center" wrapText="1"/>
    </xf>
    <xf numFmtId="0" fontId="111" fillId="0" borderId="0" xfId="10" applyFont="1" applyAlignment="1">
      <alignment horizontal="left" vertical="center" wrapText="1"/>
    </xf>
    <xf numFmtId="14" fontId="111" fillId="0" borderId="0" xfId="10" applyNumberFormat="1" applyFont="1" applyAlignment="1">
      <alignment horizontal="left" vertical="center" wrapText="1"/>
    </xf>
    <xf numFmtId="0" fontId="111" fillId="0" borderId="0" xfId="10" applyFont="1" applyAlignment="1">
      <alignment horizontal="center" vertical="center" wrapText="1"/>
    </xf>
    <xf numFmtId="0" fontId="256" fillId="0" borderId="0" xfId="10" applyFont="1" applyAlignment="1">
      <alignment horizontal="left" vertical="center" wrapText="1"/>
    </xf>
    <xf numFmtId="0" fontId="111" fillId="0" borderId="0" xfId="10" applyFont="1" applyAlignment="1">
      <alignment horizontal="right" vertical="center" wrapText="1"/>
    </xf>
    <xf numFmtId="0" fontId="257" fillId="0" borderId="0" xfId="10" applyFont="1" applyAlignment="1">
      <alignment horizontal="center" vertical="center" wrapText="1"/>
    </xf>
    <xf numFmtId="0" fontId="259" fillId="0" borderId="1" xfId="0" applyFont="1" applyBorder="1" applyAlignment="1">
      <alignment horizontal="center" vertical="center" wrapText="1"/>
    </xf>
    <xf numFmtId="0" fontId="280" fillId="0" borderId="1" xfId="0" applyFont="1" applyBorder="1" applyAlignment="1">
      <alignment horizontal="center" vertical="center" wrapText="1"/>
    </xf>
    <xf numFmtId="0" fontId="259" fillId="7" borderId="1" xfId="0" applyFont="1" applyFill="1" applyBorder="1" applyAlignment="1">
      <alignment horizontal="center" vertical="center" wrapText="1"/>
    </xf>
    <xf numFmtId="0" fontId="98" fillId="23"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270" fillId="7" borderId="27" xfId="0" applyFont="1" applyFill="1" applyBorder="1" applyAlignment="1">
      <alignment horizontal="center" vertical="center" wrapText="1"/>
    </xf>
    <xf numFmtId="0" fontId="270" fillId="7" borderId="81"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5" fillId="7" borderId="0" xfId="0" applyFont="1" applyFill="1" applyAlignment="1">
      <alignment horizontal="center" vertical="center"/>
    </xf>
    <xf numFmtId="0" fontId="268" fillId="7" borderId="180" xfId="0" applyFont="1" applyFill="1" applyBorder="1" applyAlignment="1">
      <alignment horizontal="center" vertical="center" wrapText="1"/>
    </xf>
    <xf numFmtId="0" fontId="268" fillId="7" borderId="186" xfId="0" applyFont="1" applyFill="1" applyBorder="1" applyAlignment="1">
      <alignment horizontal="center" vertical="center" wrapText="1"/>
    </xf>
    <xf numFmtId="0" fontId="268" fillId="7" borderId="188" xfId="0" applyFont="1" applyFill="1" applyBorder="1" applyAlignment="1">
      <alignment horizontal="center" vertical="center" wrapText="1"/>
    </xf>
    <xf numFmtId="0" fontId="268" fillId="7" borderId="182" xfId="0" applyFont="1" applyFill="1" applyBorder="1" applyAlignment="1">
      <alignment horizontal="center" vertical="center" wrapText="1"/>
    </xf>
    <xf numFmtId="0" fontId="268" fillId="7" borderId="80" xfId="0" applyFont="1" applyFill="1" applyBorder="1" applyAlignment="1">
      <alignment horizontal="center" vertical="center" wrapText="1"/>
    </xf>
    <xf numFmtId="0" fontId="268" fillId="7" borderId="81" xfId="0" applyFont="1" applyFill="1" applyBorder="1" applyAlignment="1">
      <alignment horizontal="center" vertical="center" wrapText="1"/>
    </xf>
    <xf numFmtId="0" fontId="269" fillId="7" borderId="183" xfId="0" applyFont="1" applyFill="1" applyBorder="1" applyAlignment="1">
      <alignment horizontal="center" vertical="top" wrapText="1"/>
    </xf>
    <xf numFmtId="0" fontId="269" fillId="7" borderId="184" xfId="0" applyFont="1" applyFill="1" applyBorder="1" applyAlignment="1">
      <alignment horizontal="center" vertical="top" wrapText="1"/>
    </xf>
    <xf numFmtId="0" fontId="269" fillId="7" borderId="185" xfId="0" applyFont="1" applyFill="1" applyBorder="1" applyAlignment="1">
      <alignment horizontal="center" vertical="top" wrapText="1"/>
    </xf>
    <xf numFmtId="0" fontId="268" fillId="7" borderId="63" xfId="0" applyFont="1" applyFill="1" applyBorder="1" applyAlignment="1">
      <alignment horizontal="center" vertical="top" wrapText="1"/>
    </xf>
    <xf numFmtId="0" fontId="268" fillId="7" borderId="64" xfId="0" applyFont="1" applyFill="1" applyBorder="1" applyAlignment="1">
      <alignment horizontal="center" vertical="top" wrapText="1"/>
    </xf>
    <xf numFmtId="0" fontId="268" fillId="7" borderId="65" xfId="0" applyFont="1" applyFill="1" applyBorder="1" applyAlignment="1">
      <alignment horizontal="center" vertical="top" wrapText="1"/>
    </xf>
    <xf numFmtId="0" fontId="268" fillId="7" borderId="63" xfId="0" applyFont="1" applyFill="1" applyBorder="1" applyAlignment="1">
      <alignment horizontal="center" vertical="center" wrapText="1"/>
    </xf>
    <xf numFmtId="0" fontId="268" fillId="7" borderId="64" xfId="0" applyFont="1" applyFill="1" applyBorder="1" applyAlignment="1">
      <alignment horizontal="center" vertical="center" wrapText="1"/>
    </xf>
    <xf numFmtId="0" fontId="268" fillId="7" borderId="187" xfId="0" applyFont="1" applyFill="1" applyBorder="1" applyAlignment="1">
      <alignment horizontal="center" vertical="center" wrapText="1"/>
    </xf>
    <xf numFmtId="0" fontId="0" fillId="0" borderId="1" xfId="0" applyBorder="1" applyAlignment="1">
      <alignment horizontal="center" vertical="center"/>
    </xf>
    <xf numFmtId="0" fontId="270" fillId="7" borderId="190" xfId="0" applyFont="1" applyFill="1" applyBorder="1" applyAlignment="1">
      <alignment horizontal="center" vertical="center" wrapText="1"/>
    </xf>
    <xf numFmtId="0" fontId="270" fillId="7" borderId="188" xfId="0" applyFont="1" applyFill="1" applyBorder="1" applyAlignment="1">
      <alignment horizontal="center" vertical="center" wrapText="1"/>
    </xf>
    <xf numFmtId="0" fontId="270" fillId="7" borderId="18" xfId="0" applyFont="1" applyFill="1" applyBorder="1" applyAlignment="1">
      <alignment horizontal="center" vertical="center" wrapText="1"/>
    </xf>
    <xf numFmtId="0" fontId="272" fillId="7" borderId="0" xfId="0" applyFont="1" applyFill="1" applyAlignment="1"/>
    <xf numFmtId="0" fontId="270" fillId="5" borderId="27" xfId="0" applyFont="1" applyFill="1" applyBorder="1" applyAlignment="1">
      <alignment horizontal="center" vertical="center" wrapText="1"/>
    </xf>
    <xf numFmtId="0" fontId="270" fillId="5" borderId="81" xfId="0" applyFont="1" applyFill="1" applyBorder="1" applyAlignment="1">
      <alignment horizontal="center" vertical="center" wrapText="1"/>
    </xf>
    <xf numFmtId="0" fontId="268" fillId="7" borderId="27" xfId="0" applyFont="1" applyFill="1" applyBorder="1" applyAlignment="1">
      <alignment horizontal="center" vertical="center" wrapText="1"/>
    </xf>
    <xf numFmtId="0" fontId="0" fillId="0" borderId="81" xfId="0" applyBorder="1" applyAlignment="1">
      <alignment horizontal="center" vertical="center" wrapText="1"/>
    </xf>
    <xf numFmtId="0" fontId="268" fillId="5" borderId="195" xfId="0" applyFont="1" applyFill="1" applyBorder="1" applyAlignment="1">
      <alignment horizontal="center" vertical="center" wrapText="1"/>
    </xf>
    <xf numFmtId="0" fontId="270" fillId="5" borderId="195" xfId="0" applyFont="1" applyFill="1" applyBorder="1" applyAlignment="1">
      <alignment horizontal="center" vertical="center" wrapText="1"/>
    </xf>
    <xf numFmtId="0" fontId="272" fillId="7" borderId="5" xfId="0" applyFont="1" applyFill="1" applyBorder="1" applyAlignment="1">
      <alignment horizontal="center" vertical="center"/>
    </xf>
    <xf numFmtId="0" fontId="272" fillId="7" borderId="54" xfId="0" applyFont="1" applyFill="1" applyBorder="1" applyAlignment="1">
      <alignment horizontal="center" vertical="center"/>
    </xf>
    <xf numFmtId="0" fontId="272" fillId="7" borderId="3" xfId="0" applyFont="1" applyFill="1" applyBorder="1" applyAlignment="1">
      <alignment horizontal="center" vertical="center"/>
    </xf>
    <xf numFmtId="0" fontId="272" fillId="5" borderId="5" xfId="0" applyFont="1" applyFill="1" applyBorder="1" applyAlignment="1">
      <alignment horizontal="center" vertical="center"/>
    </xf>
    <xf numFmtId="0" fontId="272" fillId="5" borderId="54" xfId="0" applyFont="1" applyFill="1" applyBorder="1" applyAlignment="1">
      <alignment horizontal="center" vertical="center"/>
    </xf>
    <xf numFmtId="0" fontId="272" fillId="5" borderId="3" xfId="0" applyFont="1" applyFill="1" applyBorder="1" applyAlignment="1">
      <alignment horizontal="center" vertical="center"/>
    </xf>
    <xf numFmtId="0" fontId="37" fillId="7" borderId="1" xfId="0" applyFont="1" applyFill="1" applyBorder="1">
      <alignment vertical="center"/>
    </xf>
    <xf numFmtId="0" fontId="0" fillId="0" borderId="1" xfId="0" applyBorder="1">
      <alignment vertical="center"/>
    </xf>
    <xf numFmtId="0" fontId="272" fillId="7" borderId="1" xfId="0" applyFont="1" applyFill="1" applyBorder="1">
      <alignmen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6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20993</xdr:colOff>
      <xdr:row>0</xdr:row>
      <xdr:rowOff>0</xdr:rowOff>
    </xdr:from>
    <xdr:ext cx="7131237" cy="2428519"/>
    <xdr:pic>
      <xdr:nvPicPr>
        <xdr:cNvPr id="2" name="图片 1">
          <a:extLst>
            <a:ext uri="{FF2B5EF4-FFF2-40B4-BE49-F238E27FC236}">
              <a16:creationId xmlns:a16="http://schemas.microsoft.com/office/drawing/2014/main" id="{69D28ADA-872B-4B84-9FF6-2B502554BFC7}"/>
            </a:ext>
          </a:extLst>
        </xdr:cNvPr>
        <xdr:cNvPicPr>
          <a:picLocks noChangeAspect="1"/>
        </xdr:cNvPicPr>
      </xdr:nvPicPr>
      <xdr:blipFill>
        <a:blip xmlns:r="http://schemas.openxmlformats.org/officeDocument/2006/relationships" r:embed="rId1"/>
        <a:stretch>
          <a:fillRect/>
        </a:stretch>
      </xdr:blipFill>
      <xdr:spPr>
        <a:xfrm>
          <a:off x="3449993" y="0"/>
          <a:ext cx="7131237" cy="2428519"/>
        </a:xfrm>
        <a:prstGeom prst="rect">
          <a:avLst/>
        </a:prstGeom>
      </xdr:spPr>
    </xdr:pic>
    <xdr:clientData/>
  </xdr:oneCellAnchor>
  <xdr:oneCellAnchor>
    <xdr:from>
      <xdr:col>4</xdr:col>
      <xdr:colOff>1250194</xdr:colOff>
      <xdr:row>15</xdr:row>
      <xdr:rowOff>95250</xdr:rowOff>
    </xdr:from>
    <xdr:ext cx="6216436" cy="3333230"/>
    <xdr:pic>
      <xdr:nvPicPr>
        <xdr:cNvPr id="3" name="图片 2">
          <a:extLst>
            <a:ext uri="{FF2B5EF4-FFF2-40B4-BE49-F238E27FC236}">
              <a16:creationId xmlns:a16="http://schemas.microsoft.com/office/drawing/2014/main" id="{AE81BA59-5F90-48DD-95E6-AF505F56A980}"/>
            </a:ext>
          </a:extLst>
        </xdr:cNvPr>
        <xdr:cNvPicPr>
          <a:picLocks noChangeAspect="1"/>
        </xdr:cNvPicPr>
      </xdr:nvPicPr>
      <xdr:blipFill>
        <a:blip xmlns:r="http://schemas.openxmlformats.org/officeDocument/2006/relationships" r:embed="rId2"/>
        <a:stretch>
          <a:fillRect/>
        </a:stretch>
      </xdr:blipFill>
      <xdr:spPr>
        <a:xfrm>
          <a:off x="3431419" y="2667000"/>
          <a:ext cx="6216436" cy="3333230"/>
        </a:xfrm>
        <a:prstGeom prst="rect">
          <a:avLst/>
        </a:prstGeom>
      </xdr:spPr>
    </xdr:pic>
    <xdr:clientData/>
  </xdr:oneCellAnchor>
  <xdr:oneCellAnchor>
    <xdr:from>
      <xdr:col>14</xdr:col>
      <xdr:colOff>159478</xdr:colOff>
      <xdr:row>14</xdr:row>
      <xdr:rowOff>76199</xdr:rowOff>
    </xdr:from>
    <xdr:ext cx="5649794" cy="4018855"/>
    <xdr:pic>
      <xdr:nvPicPr>
        <xdr:cNvPr id="4" name="图片 3">
          <a:extLst>
            <a:ext uri="{FF2B5EF4-FFF2-40B4-BE49-F238E27FC236}">
              <a16:creationId xmlns:a16="http://schemas.microsoft.com/office/drawing/2014/main" id="{4FC303BA-611A-4C19-9D2A-8C5370796D74}"/>
            </a:ext>
          </a:extLst>
        </xdr:cNvPr>
        <xdr:cNvPicPr>
          <a:picLocks noChangeAspect="1"/>
        </xdr:cNvPicPr>
      </xdr:nvPicPr>
      <xdr:blipFill>
        <a:blip xmlns:r="http://schemas.openxmlformats.org/officeDocument/2006/relationships" r:embed="rId3"/>
        <a:stretch>
          <a:fillRect/>
        </a:stretch>
      </xdr:blipFill>
      <xdr:spPr>
        <a:xfrm>
          <a:off x="9760678" y="2476499"/>
          <a:ext cx="5649794" cy="4018855"/>
        </a:xfrm>
        <a:prstGeom prst="rect">
          <a:avLst/>
        </a:prstGeom>
      </xdr:spPr>
    </xdr:pic>
    <xdr:clientData/>
  </xdr:oneCellAnchor>
  <xdr:oneCellAnchor>
    <xdr:from>
      <xdr:col>9</xdr:col>
      <xdr:colOff>838200</xdr:colOff>
      <xdr:row>42</xdr:row>
      <xdr:rowOff>57150</xdr:rowOff>
    </xdr:from>
    <xdr:ext cx="7304762" cy="2685714"/>
    <xdr:pic>
      <xdr:nvPicPr>
        <xdr:cNvPr id="5" name="图片 4">
          <a:extLst>
            <a:ext uri="{FF2B5EF4-FFF2-40B4-BE49-F238E27FC236}">
              <a16:creationId xmlns:a16="http://schemas.microsoft.com/office/drawing/2014/main" id="{7D1B24E2-E1C3-459F-8E41-FB5B6D00D3C0}"/>
            </a:ext>
          </a:extLst>
        </xdr:cNvPr>
        <xdr:cNvPicPr>
          <a:picLocks noChangeAspect="1"/>
        </xdr:cNvPicPr>
      </xdr:nvPicPr>
      <xdr:blipFill>
        <a:blip xmlns:r="http://schemas.openxmlformats.org/officeDocument/2006/relationships" r:embed="rId4"/>
        <a:stretch>
          <a:fillRect/>
        </a:stretch>
      </xdr:blipFill>
      <xdr:spPr>
        <a:xfrm>
          <a:off x="6858000" y="7258050"/>
          <a:ext cx="7304762" cy="2685714"/>
        </a:xfrm>
        <a:prstGeom prst="rect">
          <a:avLst/>
        </a:prstGeom>
      </xdr:spPr>
    </xdr:pic>
    <xdr:clientData/>
  </xdr:oneCellAnchor>
  <xdr:oneCellAnchor>
    <xdr:from>
      <xdr:col>10</xdr:col>
      <xdr:colOff>142875</xdr:colOff>
      <xdr:row>49</xdr:row>
      <xdr:rowOff>123825</xdr:rowOff>
    </xdr:from>
    <xdr:ext cx="13266667" cy="5409524"/>
    <xdr:pic>
      <xdr:nvPicPr>
        <xdr:cNvPr id="6" name="图片 5">
          <a:extLst>
            <a:ext uri="{FF2B5EF4-FFF2-40B4-BE49-F238E27FC236}">
              <a16:creationId xmlns:a16="http://schemas.microsoft.com/office/drawing/2014/main" id="{9194B64F-8163-46DA-BB75-C54D06C562BB}"/>
            </a:ext>
          </a:extLst>
        </xdr:cNvPr>
        <xdr:cNvPicPr>
          <a:picLocks noChangeAspect="1"/>
        </xdr:cNvPicPr>
      </xdr:nvPicPr>
      <xdr:blipFill>
        <a:blip xmlns:r="http://schemas.openxmlformats.org/officeDocument/2006/relationships" r:embed="rId5"/>
        <a:stretch>
          <a:fillRect/>
        </a:stretch>
      </xdr:blipFill>
      <xdr:spPr>
        <a:xfrm>
          <a:off x="7000875" y="8524875"/>
          <a:ext cx="13266667" cy="5409524"/>
        </a:xfrm>
        <a:prstGeom prst="rect">
          <a:avLst/>
        </a:prstGeom>
      </xdr:spPr>
    </xdr:pic>
    <xdr:clientData/>
  </xdr:oneCellAnchor>
  <xdr:twoCellAnchor editAs="oneCell">
    <xdr:from>
      <xdr:col>0</xdr:col>
      <xdr:colOff>0</xdr:colOff>
      <xdr:row>153</xdr:row>
      <xdr:rowOff>57150</xdr:rowOff>
    </xdr:from>
    <xdr:to>
      <xdr:col>10</xdr:col>
      <xdr:colOff>379717</xdr:colOff>
      <xdr:row>187</xdr:row>
      <xdr:rowOff>104121</xdr:rowOff>
    </xdr:to>
    <xdr:pic>
      <xdr:nvPicPr>
        <xdr:cNvPr id="7" name="图片 6">
          <a:extLst>
            <a:ext uri="{FF2B5EF4-FFF2-40B4-BE49-F238E27FC236}">
              <a16:creationId xmlns:a16="http://schemas.microsoft.com/office/drawing/2014/main" id="{4969D957-BE3D-4D3F-B012-30F798A15E1E}"/>
            </a:ext>
          </a:extLst>
        </xdr:cNvPr>
        <xdr:cNvPicPr>
          <a:picLocks noChangeAspect="1"/>
        </xdr:cNvPicPr>
      </xdr:nvPicPr>
      <xdr:blipFill>
        <a:blip xmlns:r="http://schemas.openxmlformats.org/officeDocument/2006/relationships" r:embed="rId6"/>
        <a:stretch>
          <a:fillRect/>
        </a:stretch>
      </xdr:blipFill>
      <xdr:spPr>
        <a:xfrm>
          <a:off x="0" y="24736425"/>
          <a:ext cx="10266667" cy="5228571"/>
        </a:xfrm>
        <a:prstGeom prst="rect">
          <a:avLst/>
        </a:prstGeom>
      </xdr:spPr>
    </xdr:pic>
    <xdr:clientData/>
  </xdr:twoCellAnchor>
  <xdr:twoCellAnchor editAs="oneCell">
    <xdr:from>
      <xdr:col>5</xdr:col>
      <xdr:colOff>123825</xdr:colOff>
      <xdr:row>169</xdr:row>
      <xdr:rowOff>9525</xdr:rowOff>
    </xdr:from>
    <xdr:to>
      <xdr:col>12</xdr:col>
      <xdr:colOff>1380336</xdr:colOff>
      <xdr:row>177</xdr:row>
      <xdr:rowOff>9373</xdr:rowOff>
    </xdr:to>
    <xdr:pic>
      <xdr:nvPicPr>
        <xdr:cNvPr id="8" name="图片 7">
          <a:extLst>
            <a:ext uri="{FF2B5EF4-FFF2-40B4-BE49-F238E27FC236}">
              <a16:creationId xmlns:a16="http://schemas.microsoft.com/office/drawing/2014/main" id="{93762572-AC95-4083-9615-8B25625F8441}"/>
            </a:ext>
          </a:extLst>
        </xdr:cNvPr>
        <xdr:cNvPicPr>
          <a:picLocks noChangeAspect="1"/>
        </xdr:cNvPicPr>
      </xdr:nvPicPr>
      <xdr:blipFill>
        <a:blip xmlns:r="http://schemas.openxmlformats.org/officeDocument/2006/relationships" r:embed="rId7"/>
        <a:stretch>
          <a:fillRect/>
        </a:stretch>
      </xdr:blipFill>
      <xdr:spPr>
        <a:xfrm>
          <a:off x="6324600" y="26974800"/>
          <a:ext cx="6314286" cy="1219048"/>
        </a:xfrm>
        <a:prstGeom prst="rect">
          <a:avLst/>
        </a:prstGeom>
      </xdr:spPr>
    </xdr:pic>
    <xdr:clientData/>
  </xdr:twoCellAnchor>
  <xdr:twoCellAnchor editAs="oneCell">
    <xdr:from>
      <xdr:col>0</xdr:col>
      <xdr:colOff>219075</xdr:colOff>
      <xdr:row>169</xdr:row>
      <xdr:rowOff>47625</xdr:rowOff>
    </xdr:from>
    <xdr:to>
      <xdr:col>5</xdr:col>
      <xdr:colOff>332586</xdr:colOff>
      <xdr:row>211</xdr:row>
      <xdr:rowOff>8730</xdr:rowOff>
    </xdr:to>
    <xdr:pic>
      <xdr:nvPicPr>
        <xdr:cNvPr id="9" name="图片 8">
          <a:extLst>
            <a:ext uri="{FF2B5EF4-FFF2-40B4-BE49-F238E27FC236}">
              <a16:creationId xmlns:a16="http://schemas.microsoft.com/office/drawing/2014/main" id="{C68742F3-D222-4A4C-8CD3-16E55F270F0A}"/>
            </a:ext>
          </a:extLst>
        </xdr:cNvPr>
        <xdr:cNvPicPr>
          <a:picLocks noChangeAspect="1"/>
        </xdr:cNvPicPr>
      </xdr:nvPicPr>
      <xdr:blipFill>
        <a:blip xmlns:r="http://schemas.openxmlformats.org/officeDocument/2006/relationships" r:embed="rId8"/>
        <a:stretch>
          <a:fillRect/>
        </a:stretch>
      </xdr:blipFill>
      <xdr:spPr>
        <a:xfrm>
          <a:off x="219075" y="27012900"/>
          <a:ext cx="6314286" cy="6361905"/>
        </a:xfrm>
        <a:prstGeom prst="rect">
          <a:avLst/>
        </a:prstGeom>
      </xdr:spPr>
    </xdr:pic>
    <xdr:clientData/>
  </xdr:twoCellAnchor>
  <xdr:twoCellAnchor editAs="oneCell">
    <xdr:from>
      <xdr:col>0</xdr:col>
      <xdr:colOff>819150</xdr:colOff>
      <xdr:row>135</xdr:row>
      <xdr:rowOff>85725</xdr:rowOff>
    </xdr:from>
    <xdr:to>
      <xdr:col>3</xdr:col>
      <xdr:colOff>456796</xdr:colOff>
      <xdr:row>150</xdr:row>
      <xdr:rowOff>123534</xdr:rowOff>
    </xdr:to>
    <xdr:pic>
      <xdr:nvPicPr>
        <xdr:cNvPr id="10" name="图片 9">
          <a:extLst>
            <a:ext uri="{FF2B5EF4-FFF2-40B4-BE49-F238E27FC236}">
              <a16:creationId xmlns:a16="http://schemas.microsoft.com/office/drawing/2014/main" id="{B7272059-61B2-43CF-AC33-4454DC4EE7EF}"/>
            </a:ext>
          </a:extLst>
        </xdr:cNvPr>
        <xdr:cNvPicPr>
          <a:picLocks noChangeAspect="1"/>
        </xdr:cNvPicPr>
      </xdr:nvPicPr>
      <xdr:blipFill>
        <a:blip xmlns:r="http://schemas.openxmlformats.org/officeDocument/2006/relationships" r:embed="rId9"/>
        <a:stretch>
          <a:fillRect/>
        </a:stretch>
      </xdr:blipFill>
      <xdr:spPr>
        <a:xfrm>
          <a:off x="819150" y="22021800"/>
          <a:ext cx="3228571" cy="2323809"/>
        </a:xfrm>
        <a:prstGeom prst="rect">
          <a:avLst/>
        </a:prstGeom>
      </xdr:spPr>
    </xdr:pic>
    <xdr:clientData/>
  </xdr:twoCellAnchor>
  <xdr:twoCellAnchor editAs="oneCell">
    <xdr:from>
      <xdr:col>3</xdr:col>
      <xdr:colOff>1200150</xdr:colOff>
      <xdr:row>135</xdr:row>
      <xdr:rowOff>123825</xdr:rowOff>
    </xdr:from>
    <xdr:to>
      <xdr:col>6</xdr:col>
      <xdr:colOff>542588</xdr:colOff>
      <xdr:row>148</xdr:row>
      <xdr:rowOff>152149</xdr:rowOff>
    </xdr:to>
    <xdr:pic>
      <xdr:nvPicPr>
        <xdr:cNvPr id="11" name="图片 10">
          <a:extLst>
            <a:ext uri="{FF2B5EF4-FFF2-40B4-BE49-F238E27FC236}">
              <a16:creationId xmlns:a16="http://schemas.microsoft.com/office/drawing/2014/main" id="{A1A1EAF7-DECD-455D-AEE6-E7759062A8E0}"/>
            </a:ext>
          </a:extLst>
        </xdr:cNvPr>
        <xdr:cNvPicPr>
          <a:picLocks noChangeAspect="1"/>
        </xdr:cNvPicPr>
      </xdr:nvPicPr>
      <xdr:blipFill>
        <a:blip xmlns:r="http://schemas.openxmlformats.org/officeDocument/2006/relationships" r:embed="rId10"/>
        <a:stretch>
          <a:fillRect/>
        </a:stretch>
      </xdr:blipFill>
      <xdr:spPr>
        <a:xfrm>
          <a:off x="4791075" y="22059900"/>
          <a:ext cx="2695238" cy="2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18</xdr:row>
      <xdr:rowOff>9138</xdr:rowOff>
    </xdr:to>
    <xdr:pic>
      <xdr:nvPicPr>
        <xdr:cNvPr id="2" name="图片 1">
          <a:extLst>
            <a:ext uri="{FF2B5EF4-FFF2-40B4-BE49-F238E27FC236}">
              <a16:creationId xmlns:a16="http://schemas.microsoft.com/office/drawing/2014/main" id="{62F47327-7F50-4964-BAB3-F4151E0A9F1D}"/>
            </a:ext>
          </a:extLst>
        </xdr:cNvPr>
        <xdr:cNvPicPr>
          <a:picLocks noChangeAspect="1"/>
        </xdr:cNvPicPr>
      </xdr:nvPicPr>
      <xdr:blipFill>
        <a:blip xmlns:r="http://schemas.openxmlformats.org/officeDocument/2006/relationships" r:embed="rId1"/>
        <a:stretch>
          <a:fillRect/>
        </a:stretch>
      </xdr:blipFill>
      <xdr:spPr>
        <a:xfrm>
          <a:off x="0" y="0"/>
          <a:ext cx="9714286" cy="3095238"/>
        </a:xfrm>
        <a:prstGeom prst="rect">
          <a:avLst/>
        </a:prstGeom>
      </xdr:spPr>
    </xdr:pic>
    <xdr:clientData/>
  </xdr:twoCellAnchor>
  <xdr:twoCellAnchor editAs="oneCell">
    <xdr:from>
      <xdr:col>12</xdr:col>
      <xdr:colOff>28575</xdr:colOff>
      <xdr:row>18</xdr:row>
      <xdr:rowOff>47625</xdr:rowOff>
    </xdr:from>
    <xdr:to>
      <xdr:col>23</xdr:col>
      <xdr:colOff>341732</xdr:colOff>
      <xdr:row>47</xdr:row>
      <xdr:rowOff>85099</xdr:rowOff>
    </xdr:to>
    <xdr:pic>
      <xdr:nvPicPr>
        <xdr:cNvPr id="3" name="图片 2">
          <a:extLst>
            <a:ext uri="{FF2B5EF4-FFF2-40B4-BE49-F238E27FC236}">
              <a16:creationId xmlns:a16="http://schemas.microsoft.com/office/drawing/2014/main" id="{C76CD0EA-D942-4B94-9F98-B7E01A1B52E8}"/>
            </a:ext>
          </a:extLst>
        </xdr:cNvPr>
        <xdr:cNvPicPr>
          <a:picLocks noChangeAspect="1"/>
        </xdr:cNvPicPr>
      </xdr:nvPicPr>
      <xdr:blipFill>
        <a:blip xmlns:r="http://schemas.openxmlformats.org/officeDocument/2006/relationships" r:embed="rId2"/>
        <a:stretch>
          <a:fillRect/>
        </a:stretch>
      </xdr:blipFill>
      <xdr:spPr>
        <a:xfrm>
          <a:off x="8258175" y="3133725"/>
          <a:ext cx="9342857" cy="5009524"/>
        </a:xfrm>
        <a:prstGeom prst="rect">
          <a:avLst/>
        </a:prstGeom>
      </xdr:spPr>
    </xdr:pic>
    <xdr:clientData/>
  </xdr:twoCellAnchor>
  <xdr:twoCellAnchor editAs="oneCell">
    <xdr:from>
      <xdr:col>0</xdr:col>
      <xdr:colOff>0</xdr:colOff>
      <xdr:row>41</xdr:row>
      <xdr:rowOff>85725</xdr:rowOff>
    </xdr:from>
    <xdr:to>
      <xdr:col>11</xdr:col>
      <xdr:colOff>28575</xdr:colOff>
      <xdr:row>64</xdr:row>
      <xdr:rowOff>8472</xdr:rowOff>
    </xdr:to>
    <xdr:pic>
      <xdr:nvPicPr>
        <xdr:cNvPr id="4" name="图片 3">
          <a:extLst>
            <a:ext uri="{FF2B5EF4-FFF2-40B4-BE49-F238E27FC236}">
              <a16:creationId xmlns:a16="http://schemas.microsoft.com/office/drawing/2014/main" id="{F5C62032-F964-484E-86BB-B9A11A62A5B3}"/>
            </a:ext>
          </a:extLst>
        </xdr:cNvPr>
        <xdr:cNvPicPr>
          <a:picLocks noChangeAspect="1"/>
        </xdr:cNvPicPr>
      </xdr:nvPicPr>
      <xdr:blipFill>
        <a:blip xmlns:r="http://schemas.openxmlformats.org/officeDocument/2006/relationships" r:embed="rId3"/>
        <a:stretch>
          <a:fillRect/>
        </a:stretch>
      </xdr:blipFill>
      <xdr:spPr>
        <a:xfrm>
          <a:off x="0" y="7115175"/>
          <a:ext cx="7572375" cy="3866097"/>
        </a:xfrm>
        <a:prstGeom prst="rect">
          <a:avLst/>
        </a:prstGeom>
      </xdr:spPr>
    </xdr:pic>
    <xdr:clientData/>
  </xdr:twoCellAnchor>
  <xdr:twoCellAnchor editAs="oneCell">
    <xdr:from>
      <xdr:col>0</xdr:col>
      <xdr:colOff>0</xdr:colOff>
      <xdr:row>14</xdr:row>
      <xdr:rowOff>161626</xdr:rowOff>
    </xdr:from>
    <xdr:to>
      <xdr:col>11</xdr:col>
      <xdr:colOff>542925</xdr:colOff>
      <xdr:row>45</xdr:row>
      <xdr:rowOff>8756</xdr:rowOff>
    </xdr:to>
    <xdr:pic>
      <xdr:nvPicPr>
        <xdr:cNvPr id="5" name="图片 4">
          <a:extLst>
            <a:ext uri="{FF2B5EF4-FFF2-40B4-BE49-F238E27FC236}">
              <a16:creationId xmlns:a16="http://schemas.microsoft.com/office/drawing/2014/main" id="{D80AB0E4-444F-4DAB-A400-FE2591A5E09E}"/>
            </a:ext>
          </a:extLst>
        </xdr:cNvPr>
        <xdr:cNvPicPr>
          <a:picLocks noChangeAspect="1"/>
        </xdr:cNvPicPr>
      </xdr:nvPicPr>
      <xdr:blipFill>
        <a:blip xmlns:r="http://schemas.openxmlformats.org/officeDocument/2006/relationships" r:embed="rId4"/>
        <a:stretch>
          <a:fillRect/>
        </a:stretch>
      </xdr:blipFill>
      <xdr:spPr>
        <a:xfrm>
          <a:off x="0" y="2561926"/>
          <a:ext cx="8086725" cy="5162080"/>
        </a:xfrm>
        <a:prstGeom prst="rect">
          <a:avLst/>
        </a:prstGeom>
      </xdr:spPr>
    </xdr:pic>
    <xdr:clientData/>
  </xdr:twoCellAnchor>
  <xdr:twoCellAnchor editAs="oneCell">
    <xdr:from>
      <xdr:col>0</xdr:col>
      <xdr:colOff>0</xdr:colOff>
      <xdr:row>62</xdr:row>
      <xdr:rowOff>123825</xdr:rowOff>
    </xdr:from>
    <xdr:to>
      <xdr:col>14</xdr:col>
      <xdr:colOff>8324</xdr:colOff>
      <xdr:row>80</xdr:row>
      <xdr:rowOff>94868</xdr:rowOff>
    </xdr:to>
    <xdr:pic>
      <xdr:nvPicPr>
        <xdr:cNvPr id="6" name="图片 5">
          <a:extLst>
            <a:ext uri="{FF2B5EF4-FFF2-40B4-BE49-F238E27FC236}">
              <a16:creationId xmlns:a16="http://schemas.microsoft.com/office/drawing/2014/main" id="{9743054B-C263-4F91-97B4-8283134C55A1}"/>
            </a:ext>
          </a:extLst>
        </xdr:cNvPr>
        <xdr:cNvPicPr>
          <a:picLocks noChangeAspect="1"/>
        </xdr:cNvPicPr>
      </xdr:nvPicPr>
      <xdr:blipFill>
        <a:blip xmlns:r="http://schemas.openxmlformats.org/officeDocument/2006/relationships" r:embed="rId5"/>
        <a:stretch>
          <a:fillRect/>
        </a:stretch>
      </xdr:blipFill>
      <xdr:spPr>
        <a:xfrm>
          <a:off x="0" y="10753725"/>
          <a:ext cx="9609524" cy="3057143"/>
        </a:xfrm>
        <a:prstGeom prst="rect">
          <a:avLst/>
        </a:prstGeom>
      </xdr:spPr>
    </xdr:pic>
    <xdr:clientData/>
  </xdr:twoCellAnchor>
  <xdr:twoCellAnchor editAs="oneCell">
    <xdr:from>
      <xdr:col>0</xdr:col>
      <xdr:colOff>0</xdr:colOff>
      <xdr:row>67</xdr:row>
      <xdr:rowOff>57150</xdr:rowOff>
    </xdr:from>
    <xdr:to>
      <xdr:col>13</xdr:col>
      <xdr:colOff>370314</xdr:colOff>
      <xdr:row>78</xdr:row>
      <xdr:rowOff>104533</xdr:rowOff>
    </xdr:to>
    <xdr:pic>
      <xdr:nvPicPr>
        <xdr:cNvPr id="7" name="图片 6">
          <a:extLst>
            <a:ext uri="{FF2B5EF4-FFF2-40B4-BE49-F238E27FC236}">
              <a16:creationId xmlns:a16="http://schemas.microsoft.com/office/drawing/2014/main" id="{4AC202A1-A4DD-490F-9E05-D16403CC14FD}"/>
            </a:ext>
          </a:extLst>
        </xdr:cNvPr>
        <xdr:cNvPicPr>
          <a:picLocks noChangeAspect="1"/>
        </xdr:cNvPicPr>
      </xdr:nvPicPr>
      <xdr:blipFill>
        <a:blip xmlns:r="http://schemas.openxmlformats.org/officeDocument/2006/relationships" r:embed="rId6"/>
        <a:stretch>
          <a:fillRect/>
        </a:stretch>
      </xdr:blipFill>
      <xdr:spPr>
        <a:xfrm>
          <a:off x="0" y="11544300"/>
          <a:ext cx="9285714"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31199;&#25151;&#25910;&#36141;/1018&#19968;&#23457;&#27979;&#31639;-&#22823;&#20852;&#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44;&#20449;&#20975;&#3684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公租房台账"/>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宿舍"/>
      <sheetName val="收益法-商业"/>
      <sheetName val="收益法-车库"/>
      <sheetName val="收益法-库房"/>
      <sheetName val="系统读取表"/>
      <sheetName val="租金案例"/>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收益法-宿舍</v>
          </cell>
        </row>
        <row r="19">
          <cell r="A19" t="str">
            <v>宿舍</v>
          </cell>
          <cell r="B19" t="str">
            <v>收益法-商业</v>
          </cell>
        </row>
        <row r="20">
          <cell r="A20" t="str">
            <v>食堂</v>
          </cell>
          <cell r="B20" t="str">
            <v>收益法-车库</v>
          </cell>
        </row>
        <row r="21">
          <cell r="A21" t="str">
            <v>车库</v>
          </cell>
          <cell r="B21" t="str">
            <v>收益法-库房</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宿舍</v>
          </cell>
        </row>
        <row r="20">
          <cell r="C20" t="str">
            <v>商业</v>
          </cell>
        </row>
        <row r="21">
          <cell r="C21" t="str">
            <v>地下车库</v>
          </cell>
        </row>
        <row r="22">
          <cell r="C22" t="str">
            <v>地下库房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44938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北京市预评估</v>
      </c>
    </row>
    <row r="3" spans="1:2" s="1333" customFormat="1">
      <c r="A3" s="1331" t="s">
        <v>1129</v>
      </c>
      <c r="B3" s="1332">
        <f>'预评函-封皮'!B40</f>
        <v>0</v>
      </c>
    </row>
    <row r="4" spans="1:2" s="1333" customFormat="1">
      <c r="A4" s="1331" t="s">
        <v>1130</v>
      </c>
      <c r="B4" s="1332" t="str">
        <f>'预评函-封皮'!B46</f>
        <v>（注册号：0)、（注册号：0)</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受贵公司委托，我公司对北京市进行了预评估。</v>
      </c>
    </row>
    <row r="7" spans="1:2" s="1333" customFormat="1">
      <c r="A7" s="1331" t="s">
        <v>1172</v>
      </c>
      <c r="B7" s="1332" t="str">
        <f>'预评函-1'!A7</f>
        <v>估价对象为北京市房地产，为所有。根据《国有土地使用证》[]，估价对象（分摊）出让国有建设用地使用权面积为15403.06平方米，建筑面积为63823.66平方米。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估价对象为北京市房地产,属开发建设的，该项目尚在开发建设中。根据《国有土地使用证》[]，估价对象（分摊）出让国有建设用地使用权面积为15403.06平方米，规划建筑面积为63823.66平方米。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为估价委托人了解估价对象房地产市场价值提供参考依据。</v>
      </c>
    </row>
    <row r="12" spans="1:2" s="1333" customFormat="1">
      <c r="A12" s="1331" t="s">
        <v>1134</v>
      </c>
      <c r="B12" s="1332" t="str">
        <f>'预评函-1'!A15</f>
        <v>2022年4月1日（评估专业人员实地查勘之日）</v>
      </c>
    </row>
    <row r="13" spans="1:2" s="1333" customFormat="1">
      <c r="A13" s="1331" t="s">
        <v>1135</v>
      </c>
      <c r="B13" s="1332" t="str">
        <f>'预评函-1'!A18</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4" spans="1:2" s="1333" customFormat="1">
      <c r="A14" s="1331" t="s">
        <v>1136</v>
      </c>
      <c r="B14" s="13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3" customFormat="1">
      <c r="A16" s="1331" t="s">
        <v>1138</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1139</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1140</v>
      </c>
      <c r="B18" s="1335" t="str">
        <f>'预评函-1'!A24</f>
        <v>本次评估采用的主估价方法为成本法和收益法。</v>
      </c>
    </row>
    <row r="19" spans="1:2" s="1330" customFormat="1" ht="15" thickTop="1">
      <c r="A19" s="1328" t="s">
        <v>1141</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1142</v>
      </c>
      <c r="B20" s="1332" t="e">
        <f ca="1">'预评函-2'!D5</f>
        <v>#REF!</v>
      </c>
    </row>
    <row r="21" spans="1:2" s="1333" customFormat="1">
      <c r="A21" s="1331" t="s">
        <v>1143</v>
      </c>
      <c r="B21" s="1332" t="e">
        <f ca="1">'预评函-2'!D7</f>
        <v>#REF!</v>
      </c>
    </row>
    <row r="22" spans="1:2" s="1333" customFormat="1">
      <c r="A22" s="1331" t="s">
        <v>1144</v>
      </c>
      <c r="B22" s="1332" t="e">
        <f ca="1">'预评函-2'!D6</f>
        <v>#REF!</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t="e">
        <f ca="1">'预评函-2'!D13</f>
        <v>#REF!</v>
      </c>
    </row>
    <row r="31" spans="1:2" s="1333" customFormat="1">
      <c r="A31" s="1331" t="s">
        <v>1182</v>
      </c>
      <c r="B31" s="1332" t="e">
        <f ca="1">'预评函-2'!D15</f>
        <v>#REF!</v>
      </c>
    </row>
    <row r="32" spans="1:2" s="1333" customFormat="1">
      <c r="A32" s="1331" t="s">
        <v>1149</v>
      </c>
      <c r="B32" s="1332" t="e">
        <f ca="1">'预评函-2'!D14</f>
        <v>#REF!</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v>
      </c>
    </row>
    <row r="38" spans="1:2" s="1333" customFormat="1">
      <c r="A38" s="1331" t="s">
        <v>1203</v>
      </c>
      <c r="B38" s="1332" t="str">
        <f>'预评函-2'!D19</f>
        <v>——</v>
      </c>
    </row>
    <row r="39" spans="1:2" s="1333" customFormat="1">
      <c r="A39" s="1331" t="s">
        <v>1151</v>
      </c>
      <c r="B39" s="1332" t="str">
        <f>'预评函-2'!D21</f>
        <v>——</v>
      </c>
    </row>
    <row r="40" spans="1:2" s="1333" customFormat="1">
      <c r="A40" s="1331" t="s">
        <v>1152</v>
      </c>
      <c r="B40" s="1332" t="e">
        <f>'预评函-2'!D20</f>
        <v>#VALUE!</v>
      </c>
    </row>
    <row r="41" spans="1:2" s="1333" customFormat="1">
      <c r="A41" s="1331" t="s">
        <v>1198</v>
      </c>
      <c r="B41" s="1332" t="str">
        <f>'预评函-3'!A4</f>
        <v>北京市房地产</v>
      </c>
    </row>
    <row r="42" spans="1:2" s="1333" customFormat="1">
      <c r="A42" s="1331" t="s">
        <v>1196</v>
      </c>
      <c r="B42" s="1332" t="str">
        <f>'预评函-3'!B2</f>
        <v>建筑面积</v>
      </c>
    </row>
    <row r="43" spans="1:2" s="1333" customFormat="1">
      <c r="A43" s="1331" t="s">
        <v>1197</v>
      </c>
      <c r="B43" s="1332">
        <f>'预评函-3'!B4</f>
        <v>63823.659999999953</v>
      </c>
    </row>
    <row r="44" spans="1:2" s="1333" customFormat="1">
      <c r="A44" s="1331" t="s">
        <v>1181</v>
      </c>
      <c r="B44" s="1332" t="str">
        <f>'预评函-3'!C2</f>
        <v>(分摊)土地面积</v>
      </c>
    </row>
    <row r="45" spans="1:2" s="1333" customFormat="1">
      <c r="A45" s="1331" t="s">
        <v>1153</v>
      </c>
      <c r="B45" s="1332">
        <f>'预评函-3'!C4</f>
        <v>15403.06</v>
      </c>
    </row>
    <row r="46" spans="1:2" s="1333" customFormat="1">
      <c r="A46" s="1331" t="s">
        <v>1179</v>
      </c>
      <c r="B46" s="1332" t="str">
        <f>'预评函-3'!D2</f>
        <v>出让国有建设用地使用权价值</v>
      </c>
    </row>
    <row r="47" spans="1:2" s="1333" customFormat="1">
      <c r="A47" s="1331" t="s">
        <v>1154</v>
      </c>
      <c r="B47" s="1332" t="e">
        <f ca="1">'预评函-3'!D4</f>
        <v>#REF!</v>
      </c>
    </row>
    <row r="48" spans="1:2" s="1333" customFormat="1">
      <c r="A48" s="1331" t="s">
        <v>1155</v>
      </c>
      <c r="B48" s="1332" t="e">
        <f ca="1">'预评函-3'!E4</f>
        <v>#REF!</v>
      </c>
    </row>
    <row r="49" spans="1:2" s="1333" customFormat="1">
      <c r="A49" s="1331" t="s">
        <v>1156</v>
      </c>
      <c r="B49" s="1332" t="e">
        <f ca="1">'预评函-3'!D5</f>
        <v>#REF!</v>
      </c>
    </row>
    <row r="50" spans="1:2" s="1333" customFormat="1">
      <c r="A50" s="1331" t="s">
        <v>1180</v>
      </c>
      <c r="B50" s="1332" t="str">
        <f>'预评函-3'!F2</f>
        <v>在建建筑物价值</v>
      </c>
    </row>
    <row r="51" spans="1:2" s="1333" customFormat="1">
      <c r="A51" s="1331" t="s">
        <v>1157</v>
      </c>
      <c r="B51" s="1332" t="e">
        <f ca="1">'预评函-3'!F4</f>
        <v>#REF!</v>
      </c>
    </row>
    <row r="52" spans="1:2" s="1333" customFormat="1">
      <c r="A52" s="1331" t="s">
        <v>1158</v>
      </c>
      <c r="B52" s="1332" t="e">
        <f ca="1">'预评函-3'!G4</f>
        <v>#REF!</v>
      </c>
    </row>
    <row r="53" spans="1:2" s="1333" customFormat="1">
      <c r="A53" s="1331" t="s">
        <v>1186</v>
      </c>
      <c r="B53" s="1332" t="e">
        <f ca="1">'预评函-3'!F5</f>
        <v>#REF!</v>
      </c>
    </row>
    <row r="54" spans="1:2" s="1333" customFormat="1">
      <c r="A54" s="1331" t="s">
        <v>1204</v>
      </c>
      <c r="B54" s="1332" t="str">
        <f>'预评函-3'!A8</f>
        <v>房地产抵押价值</v>
      </c>
    </row>
    <row r="55" spans="1:2" s="1333" customFormat="1">
      <c r="A55" s="1331" t="s">
        <v>1187</v>
      </c>
      <c r="B55" s="1332" t="str">
        <f>'预评函-3'!A10</f>
        <v/>
      </c>
    </row>
    <row r="56" spans="1:2" s="1333" customFormat="1">
      <c r="A56" s="1331" t="s">
        <v>1188</v>
      </c>
      <c r="B56" s="1332" t="str">
        <f>'预评函-3'!A12</f>
        <v/>
      </c>
    </row>
    <row r="57" spans="1:2" s="1327" customFormat="1" ht="15" thickBot="1">
      <c r="A57" s="1334" t="s">
        <v>1205</v>
      </c>
      <c r="B57" s="1335" t="str">
        <f>'预评函-3'!A6</f>
        <v>估价师知悉的法定优先受偿款</v>
      </c>
    </row>
    <row r="58" spans="1:2" s="1330" customFormat="1" ht="15" thickTop="1">
      <c r="A58" s="1328" t="s">
        <v>1159</v>
      </c>
      <c r="B58" s="1329" t="str">
        <f>'预评函-4'!A12</f>
        <v>2.本次评估设定估价对象房地产权属无争议，未被查封或者以其他形式限制其房地产权利，未设定抵押权等他项权利，不涉及第三方权利义务。</v>
      </c>
    </row>
    <row r="59" spans="1:2" s="1333" customFormat="1">
      <c r="A59" s="1331" t="s">
        <v>1160</v>
      </c>
      <c r="B59" s="1332" t="str">
        <f>'预评函-4'!A13</f>
        <v>——</v>
      </c>
    </row>
    <row r="60" spans="1:2" s="1333" customFormat="1">
      <c r="A60" s="1331" t="s">
        <v>1161</v>
      </c>
      <c r="B60" s="1332" t="str">
        <f>'预评函-4'!A14</f>
        <v>——</v>
      </c>
    </row>
    <row r="61" spans="1:2" s="1333" customFormat="1">
      <c r="A61" s="1331" t="s">
        <v>1162</v>
      </c>
      <c r="B61" s="1332" t="str">
        <f>'预评函-4'!A15</f>
        <v>——</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v>
      </c>
    </row>
    <row r="65" spans="1:2" s="1333" customFormat="1">
      <c r="A65" s="1331" t="s">
        <v>1165</v>
      </c>
      <c r="B65" s="13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f>'预评函-4'!A4</f>
        <v>0</v>
      </c>
    </row>
    <row r="71" spans="1:2">
      <c r="A71" s="1331" t="s">
        <v>1169</v>
      </c>
      <c r="B71" s="1332">
        <f>'预评函-4'!B4</f>
        <v>0</v>
      </c>
    </row>
    <row r="72" spans="1:2">
      <c r="A72" s="1331" t="s">
        <v>1170</v>
      </c>
      <c r="B72" s="1340">
        <f>'预评函-4'!A5</f>
        <v>0</v>
      </c>
    </row>
    <row r="73" spans="1:2" s="1327" customFormat="1" ht="15" thickBot="1">
      <c r="A73" s="1334" t="s">
        <v>1171</v>
      </c>
      <c r="B73" s="1335">
        <f>'预评函-4'!B5</f>
        <v>0</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4" sqref="D24"/>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1595</v>
      </c>
      <c r="C1" s="1692" t="s">
        <v>759</v>
      </c>
      <c r="D1" s="1693" t="s">
        <v>1596</v>
      </c>
      <c r="E1" s="1693" t="s">
        <v>1597</v>
      </c>
      <c r="F1" s="1693" t="s">
        <v>1598</v>
      </c>
      <c r="G1" s="1693" t="s">
        <v>1599</v>
      </c>
      <c r="H1" s="1693" t="s">
        <v>1600</v>
      </c>
      <c r="I1" s="1693" t="s">
        <v>1601</v>
      </c>
      <c r="J1" s="1693" t="s">
        <v>1602</v>
      </c>
      <c r="K1" s="1693" t="s">
        <v>1603</v>
      </c>
      <c r="L1" s="1693" t="s">
        <v>1604</v>
      </c>
      <c r="M1" s="1693" t="s">
        <v>1605</v>
      </c>
      <c r="N1" s="1693" t="s">
        <v>1606</v>
      </c>
      <c r="O1" s="1693" t="s">
        <v>1607</v>
      </c>
      <c r="P1" s="1694" t="s">
        <v>753</v>
      </c>
      <c r="Q1" s="1694" t="s">
        <v>1053</v>
      </c>
      <c r="R1" s="1693" t="s">
        <v>1047</v>
      </c>
      <c r="S1" s="1693" t="s">
        <v>1608</v>
      </c>
      <c r="T1" s="1695" t="s">
        <v>1609</v>
      </c>
      <c r="U1" s="1693" t="s">
        <v>1610</v>
      </c>
      <c r="V1" s="1693" t="s">
        <v>1611</v>
      </c>
      <c r="W1" s="1693" t="s">
        <v>755</v>
      </c>
    </row>
    <row r="2" spans="1:23">
      <c r="A2" s="1697" t="s">
        <v>22</v>
      </c>
      <c r="B2" s="1697" t="s">
        <v>1612</v>
      </c>
      <c r="C2" s="1698" t="s">
        <v>760</v>
      </c>
      <c r="D2" s="1699" t="s">
        <v>1613</v>
      </c>
      <c r="E2" s="1699" t="s">
        <v>1614</v>
      </c>
      <c r="F2" s="1699" t="s">
        <v>1615</v>
      </c>
      <c r="G2" s="1699">
        <v>40</v>
      </c>
      <c r="H2" s="1699" t="s">
        <v>1615</v>
      </c>
      <c r="I2" s="1699" t="s">
        <v>1616</v>
      </c>
      <c r="J2" s="1699" t="s">
        <v>1617</v>
      </c>
      <c r="K2" s="1699" t="s">
        <v>1618</v>
      </c>
      <c r="L2" s="1699" t="s">
        <v>1618</v>
      </c>
      <c r="M2" s="1699" t="s">
        <v>1618</v>
      </c>
      <c r="N2" s="1699" t="s">
        <v>1618</v>
      </c>
      <c r="O2" s="1699" t="s">
        <v>1618</v>
      </c>
      <c r="P2" s="1699" t="s">
        <v>1618</v>
      </c>
      <c r="Q2" s="1699" t="s">
        <v>1618</v>
      </c>
      <c r="R2" s="1699" t="s">
        <v>1049</v>
      </c>
      <c r="S2" s="1699" t="s">
        <v>1618</v>
      </c>
      <c r="T2" s="1699" t="s">
        <v>1619</v>
      </c>
      <c r="U2" s="1699" t="s">
        <v>1618</v>
      </c>
      <c r="V2" s="1699" t="s">
        <v>1620</v>
      </c>
      <c r="W2" s="1699" t="s">
        <v>1618</v>
      </c>
    </row>
    <row r="3" spans="1:23">
      <c r="A3" s="1697" t="s">
        <v>1621</v>
      </c>
      <c r="B3" s="1700" t="s">
        <v>1054</v>
      </c>
      <c r="C3" s="1701" t="s">
        <v>761</v>
      </c>
      <c r="D3" s="1699" t="s">
        <v>1622</v>
      </c>
      <c r="E3" s="1699" t="s">
        <v>16</v>
      </c>
      <c r="F3" s="1699" t="s">
        <v>1623</v>
      </c>
      <c r="G3" s="1699">
        <v>50</v>
      </c>
      <c r="H3" s="1699" t="s">
        <v>1623</v>
      </c>
      <c r="I3" s="1699" t="s">
        <v>1624</v>
      </c>
      <c r="J3" s="1699" t="s">
        <v>1625</v>
      </c>
      <c r="K3" s="1699" t="s">
        <v>1626</v>
      </c>
      <c r="L3" s="1699" t="s">
        <v>1626</v>
      </c>
      <c r="M3" s="1699" t="s">
        <v>1626</v>
      </c>
      <c r="N3" s="1699" t="s">
        <v>1626</v>
      </c>
      <c r="O3" s="1699" t="s">
        <v>1626</v>
      </c>
      <c r="P3" s="1699" t="s">
        <v>1626</v>
      </c>
      <c r="Q3" s="1699" t="s">
        <v>1626</v>
      </c>
      <c r="R3" s="1699" t="s">
        <v>1048</v>
      </c>
      <c r="S3" s="1699" t="s">
        <v>1626</v>
      </c>
      <c r="T3" s="1699" t="s">
        <v>1627</v>
      </c>
      <c r="U3" s="1699" t="s">
        <v>1626</v>
      </c>
      <c r="V3" s="1699" t="s">
        <v>1628</v>
      </c>
      <c r="W3" s="1699" t="s">
        <v>1626</v>
      </c>
    </row>
    <row r="4" spans="1:23">
      <c r="A4" s="1697" t="s">
        <v>1629</v>
      </c>
      <c r="B4" s="1697" t="s">
        <v>1630</v>
      </c>
      <c r="C4" s="1698" t="s">
        <v>762</v>
      </c>
      <c r="D4" s="1699" t="s">
        <v>836</v>
      </c>
      <c r="E4" s="1699" t="s">
        <v>1631</v>
      </c>
      <c r="F4" s="1699" t="s">
        <v>1632</v>
      </c>
      <c r="G4" s="1699">
        <v>70</v>
      </c>
      <c r="H4" s="1699" t="s">
        <v>1632</v>
      </c>
      <c r="I4" s="1699" t="s">
        <v>1633</v>
      </c>
      <c r="K4" s="1699" t="s">
        <v>1634</v>
      </c>
      <c r="L4" s="1699" t="s">
        <v>1634</v>
      </c>
      <c r="M4" s="1699" t="s">
        <v>1634</v>
      </c>
      <c r="N4" s="1699" t="s">
        <v>1634</v>
      </c>
      <c r="O4" s="1699" t="s">
        <v>1634</v>
      </c>
      <c r="P4" s="1699" t="s">
        <v>1634</v>
      </c>
      <c r="Q4" s="1699" t="s">
        <v>1634</v>
      </c>
      <c r="R4" s="1699" t="s">
        <v>1050</v>
      </c>
      <c r="S4" s="1699" t="s">
        <v>1634</v>
      </c>
      <c r="T4" s="1699" t="s">
        <v>1635</v>
      </c>
      <c r="U4" s="1699" t="s">
        <v>1634</v>
      </c>
      <c r="W4" s="1699" t="s">
        <v>1634</v>
      </c>
    </row>
    <row r="5" spans="1:23">
      <c r="A5" s="1697" t="s">
        <v>1636</v>
      </c>
      <c r="B5" s="1697" t="s">
        <v>1637</v>
      </c>
      <c r="C5" s="1698" t="s">
        <v>763</v>
      </c>
      <c r="F5" s="1699" t="s">
        <v>1638</v>
      </c>
      <c r="H5" s="1699" t="s">
        <v>1639</v>
      </c>
      <c r="I5" s="1699" t="s">
        <v>1640</v>
      </c>
      <c r="K5" s="1699" t="s">
        <v>1641</v>
      </c>
      <c r="L5" s="1699" t="s">
        <v>1641</v>
      </c>
      <c r="M5" s="1699" t="s">
        <v>1641</v>
      </c>
      <c r="N5" s="1699" t="s">
        <v>1641</v>
      </c>
      <c r="O5" s="1699" t="s">
        <v>1641</v>
      </c>
      <c r="P5" s="1699" t="s">
        <v>1641</v>
      </c>
      <c r="Q5" s="1699" t="s">
        <v>1641</v>
      </c>
      <c r="R5" s="1699" t="s">
        <v>1051</v>
      </c>
      <c r="S5" s="1699" t="s">
        <v>1641</v>
      </c>
      <c r="T5" s="1699" t="s">
        <v>1642</v>
      </c>
      <c r="U5" s="1699" t="s">
        <v>1641</v>
      </c>
      <c r="W5" s="1699" t="s">
        <v>1641</v>
      </c>
    </row>
    <row r="6" spans="1:23">
      <c r="A6" s="1697" t="s">
        <v>1643</v>
      </c>
      <c r="B6" s="1700" t="s">
        <v>1055</v>
      </c>
      <c r="C6" s="1703" t="s">
        <v>30</v>
      </c>
      <c r="F6" s="1699" t="s">
        <v>1639</v>
      </c>
      <c r="H6" s="1699" t="s">
        <v>1644</v>
      </c>
      <c r="I6" s="1699" t="s">
        <v>1645</v>
      </c>
      <c r="K6" s="1699" t="s">
        <v>1646</v>
      </c>
      <c r="L6" s="1699" t="s">
        <v>1646</v>
      </c>
      <c r="M6" s="1699" t="s">
        <v>1646</v>
      </c>
      <c r="N6" s="1699" t="s">
        <v>1646</v>
      </c>
      <c r="O6" s="1699" t="s">
        <v>1646</v>
      </c>
      <c r="P6" s="1699" t="s">
        <v>1646</v>
      </c>
      <c r="Q6" s="1699" t="s">
        <v>1646</v>
      </c>
      <c r="R6" s="1699" t="s">
        <v>1052</v>
      </c>
      <c r="S6" s="1699" t="s">
        <v>1646</v>
      </c>
      <c r="T6" s="1699"/>
      <c r="U6" s="1699" t="s">
        <v>1646</v>
      </c>
      <c r="W6" s="1699" t="s">
        <v>1646</v>
      </c>
    </row>
    <row r="7" spans="1:23">
      <c r="A7" s="1697" t="s">
        <v>1647</v>
      </c>
      <c r="B7" s="1700" t="s">
        <v>1056</v>
      </c>
      <c r="C7" s="1698" t="s">
        <v>31</v>
      </c>
      <c r="F7" s="1699" t="s">
        <v>1648</v>
      </c>
      <c r="H7" s="1699" t="s">
        <v>1649</v>
      </c>
      <c r="I7" s="1699" t="s">
        <v>1650</v>
      </c>
    </row>
    <row r="8" spans="1:23">
      <c r="A8" s="1697" t="s">
        <v>1651</v>
      </c>
      <c r="B8" s="1697" t="s">
        <v>1652</v>
      </c>
      <c r="C8" s="1698" t="s">
        <v>764</v>
      </c>
      <c r="F8" s="1699" t="s">
        <v>1653</v>
      </c>
      <c r="H8" s="1699"/>
      <c r="I8" s="1699" t="s">
        <v>1654</v>
      </c>
    </row>
    <row r="9" spans="1:23">
      <c r="A9" s="1697" t="s">
        <v>1655</v>
      </c>
      <c r="B9" s="1697" t="s">
        <v>1656</v>
      </c>
      <c r="C9" s="1698" t="s">
        <v>765</v>
      </c>
      <c r="F9" s="1699" t="s">
        <v>1657</v>
      </c>
      <c r="H9" s="1699"/>
    </row>
    <row r="10" spans="1:23">
      <c r="A10" s="1697" t="s">
        <v>1658</v>
      </c>
      <c r="B10" s="1697" t="s">
        <v>1659</v>
      </c>
      <c r="C10" s="1698" t="s">
        <v>766</v>
      </c>
      <c r="F10" s="1699" t="s">
        <v>16</v>
      </c>
    </row>
    <row r="11" spans="1:23">
      <c r="A11" s="1697" t="s">
        <v>1660</v>
      </c>
      <c r="B11" s="1697" t="s">
        <v>1661</v>
      </c>
      <c r="C11" s="1698" t="s">
        <v>767</v>
      </c>
    </row>
    <row r="12" spans="1:23">
      <c r="A12" s="1697" t="s">
        <v>1662</v>
      </c>
      <c r="B12" s="1697" t="s">
        <v>1663</v>
      </c>
      <c r="C12" s="1698" t="s">
        <v>768</v>
      </c>
    </row>
    <row r="13" spans="1:23">
      <c r="A13" s="1697" t="s">
        <v>1664</v>
      </c>
      <c r="B13" s="1697" t="s">
        <v>1665</v>
      </c>
      <c r="C13" s="1698" t="s">
        <v>769</v>
      </c>
    </row>
    <row r="14" spans="1:23">
      <c r="A14" s="1697" t="s">
        <v>1666</v>
      </c>
      <c r="B14" s="1697" t="s">
        <v>1667</v>
      </c>
      <c r="C14" s="1699" t="s">
        <v>16</v>
      </c>
    </row>
    <row r="15" spans="1:23">
      <c r="A15" s="1697" t="s">
        <v>1668</v>
      </c>
      <c r="B15" s="1697" t="s">
        <v>1669</v>
      </c>
      <c r="C15" s="1698"/>
    </row>
    <row r="16" spans="1:23">
      <c r="A16" s="1697" t="s">
        <v>1670</v>
      </c>
      <c r="B16" s="1697" t="s">
        <v>756</v>
      </c>
      <c r="C16" s="1698"/>
    </row>
    <row r="17" spans="1:3">
      <c r="A17" s="1697" t="s">
        <v>1671</v>
      </c>
      <c r="B17" s="1697" t="s">
        <v>2976</v>
      </c>
      <c r="C17" s="1698"/>
    </row>
    <row r="18" spans="1:3">
      <c r="A18" s="1697" t="s">
        <v>1672</v>
      </c>
      <c r="B18" s="1697" t="s">
        <v>3121</v>
      </c>
      <c r="C18" s="1698"/>
    </row>
    <row r="19" spans="1:3">
      <c r="A19" s="1697" t="s">
        <v>1673</v>
      </c>
      <c r="B19" s="1697" t="s">
        <v>3126</v>
      </c>
      <c r="C19" s="1698"/>
    </row>
    <row r="20" spans="1:3">
      <c r="A20" s="1697" t="s">
        <v>1674</v>
      </c>
      <c r="B20" s="1697" t="s">
        <v>3127</v>
      </c>
      <c r="C20" s="1698"/>
    </row>
    <row r="21" spans="1:3">
      <c r="A21" s="1697" t="s">
        <v>1675</v>
      </c>
      <c r="B21" s="1697" t="s">
        <v>3128</v>
      </c>
      <c r="C21" s="1698"/>
    </row>
    <row r="22" spans="1:3">
      <c r="A22" s="1697" t="s">
        <v>1676</v>
      </c>
      <c r="B22" s="1697" t="s">
        <v>3129</v>
      </c>
      <c r="C22" s="1698"/>
    </row>
    <row r="23" spans="1:3">
      <c r="A23" s="1697" t="s">
        <v>1677</v>
      </c>
      <c r="B23" s="1697" t="s">
        <v>3492</v>
      </c>
      <c r="C23" s="1698"/>
    </row>
    <row r="24" spans="1:3">
      <c r="A24" s="1697" t="s">
        <v>1678</v>
      </c>
      <c r="B24" s="1697" t="s">
        <v>757</v>
      </c>
      <c r="C24" s="1698"/>
    </row>
    <row r="25" spans="1:3">
      <c r="A25" s="1697" t="s">
        <v>1679</v>
      </c>
      <c r="B25" s="1697" t="s">
        <v>757</v>
      </c>
      <c r="C25" s="1698"/>
    </row>
    <row r="26" spans="1:3">
      <c r="A26" s="1697" t="s">
        <v>1680</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458"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8"/>
      <c r="B54" s="1705" t="s">
        <v>832</v>
      </c>
      <c r="C54" s="1702" t="s">
        <v>1189</v>
      </c>
    </row>
    <row r="55" spans="1:4">
      <c r="A55" s="3458"/>
      <c r="B55" s="1705" t="s">
        <v>833</v>
      </c>
      <c r="C55" s="1702" t="s">
        <v>1190</v>
      </c>
    </row>
    <row r="56" spans="1:4">
      <c r="A56" s="3458"/>
      <c r="B56" s="1705" t="s">
        <v>834</v>
      </c>
      <c r="C56" s="1702" t="s">
        <v>1194</v>
      </c>
    </row>
    <row r="57" spans="1:4">
      <c r="A57" s="3458"/>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46" sqref="F46"/>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30" customWidth="1"/>
    <col min="10" max="10" width="10" style="1894" customWidth="1"/>
    <col min="11" max="11" width="10" style="2817" customWidth="1"/>
    <col min="12" max="13" width="10" style="2818"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3" t="s">
        <v>2853</v>
      </c>
      <c r="B1" s="3467" t="str">
        <f>IF(B10="北京市","北京市",C10)&amp;F10&amp;IF(结果表!G1="在建","出让国有建设用地使用权及在建建筑物",IF(结果表!G1="土地","出让国有建设用地使用权",))&amp;B9&amp;"预评估"</f>
        <v>北京市预评估</v>
      </c>
      <c r="C1" s="3468"/>
      <c r="D1" s="3468"/>
      <c r="E1" s="3468"/>
      <c r="F1" s="3468"/>
      <c r="G1" s="3468"/>
      <c r="H1" s="3468"/>
      <c r="I1" s="3469"/>
      <c r="J1" s="2659"/>
      <c r="K1" s="2555"/>
      <c r="L1" s="2556"/>
      <c r="M1" s="2556"/>
      <c r="N1" s="2557"/>
      <c r="O1" s="1727"/>
      <c r="P1" s="2557"/>
      <c r="Q1" s="2557"/>
      <c r="R1" s="2557"/>
      <c r="S1" s="1833" t="str">
        <f>IF(B10="北京市","北京市",C10)&amp;F10&amp;IF(结果表!G1="在建","出让国有建设用地使用权及在建建筑物房地产抵押价值",IF(结果表!G1="土地","出让国有建设用地使用权抵押价值",B9))</f>
        <v>北京市</v>
      </c>
      <c r="T1" s="1896"/>
      <c r="U1" s="1896"/>
      <c r="V1" s="1896"/>
      <c r="W1" s="1896"/>
      <c r="X1" s="1896"/>
      <c r="Y1" s="1896"/>
      <c r="Z1" s="1896"/>
      <c r="AA1" s="1896"/>
      <c r="AB1" s="1896"/>
    </row>
    <row r="2" spans="1:28">
      <c r="A2" s="2554" t="s">
        <v>2854</v>
      </c>
      <c r="B2" s="2558"/>
      <c r="C2" s="2559"/>
      <c r="D2" s="2861"/>
      <c r="E2" s="2851"/>
      <c r="F2" s="2851"/>
      <c r="G2" s="2852"/>
      <c r="H2" s="2852"/>
      <c r="I2" s="2852"/>
      <c r="J2" s="2659"/>
      <c r="K2" s="2555"/>
      <c r="L2" s="2556"/>
      <c r="M2" s="2556"/>
      <c r="N2" s="2557"/>
      <c r="O2" s="1727"/>
      <c r="P2" s="2557"/>
      <c r="Q2" s="2557"/>
      <c r="R2" s="2557"/>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8" t="s">
        <v>2855</v>
      </c>
      <c r="B3" s="2560">
        <v>44652</v>
      </c>
      <c r="C3" s="2561" t="s">
        <v>2856</v>
      </c>
      <c r="D3" s="2560">
        <f>B3</f>
        <v>44652</v>
      </c>
      <c r="E3" s="2852"/>
      <c r="F3" s="2852"/>
      <c r="G3" s="2852"/>
      <c r="H3" s="2852"/>
      <c r="I3" s="2852"/>
      <c r="J3" s="2659"/>
      <c r="K3" s="2555"/>
      <c r="L3" s="2556"/>
      <c r="M3" s="2556"/>
      <c r="N3" s="2557"/>
      <c r="O3" s="1727"/>
      <c r="P3" s="2557"/>
      <c r="Q3" s="2557"/>
      <c r="R3" s="2557"/>
      <c r="S3" s="1833"/>
      <c r="T3" s="1896"/>
      <c r="U3" s="1896"/>
      <c r="V3" s="1896"/>
      <c r="W3" s="1896"/>
      <c r="X3" s="1896"/>
      <c r="Y3" s="1896"/>
      <c r="Z3" s="1896"/>
      <c r="AA3" s="1896"/>
      <c r="AB3" s="1896"/>
    </row>
    <row r="4" spans="1:28" ht="13.5" thickBot="1">
      <c r="A4" s="1218" t="s">
        <v>2857</v>
      </c>
      <c r="B4" s="2562"/>
      <c r="C4" s="2563">
        <f>SUMIF(注册房地产估价师,B4,估价师及机构信息!B3:B24)</f>
        <v>0</v>
      </c>
      <c r="D4" s="2562"/>
      <c r="E4" s="2564">
        <f>SUMIF(注册房地产估价师,D4,估价师及机构信息!B3:B24)</f>
        <v>0</v>
      </c>
      <c r="F4" s="2562"/>
      <c r="G4" s="2564">
        <f>SUMIF(注册房地产估价师,F4,估价师及机构信息!B3:B24)</f>
        <v>0</v>
      </c>
      <c r="H4" s="2562"/>
      <c r="I4" s="2564">
        <f>SUMIF(注册房地产估价师,H4,估价师及机构信息!B3:B24)</f>
        <v>0</v>
      </c>
      <c r="J4" s="2628"/>
      <c r="K4" s="2565" t="str">
        <f>CONCATENATE(B4,"（注册号：",C4,")、",D4,"（注册号：",E4,")")</f>
        <v>（注册号：0)、（注册号：0)</v>
      </c>
      <c r="L4" s="2556"/>
      <c r="M4" s="2556"/>
      <c r="N4" s="2557"/>
      <c r="O4" s="1727"/>
      <c r="P4" s="2557"/>
      <c r="Q4" s="2557"/>
      <c r="R4" s="2557"/>
      <c r="S4" s="1833"/>
      <c r="T4" s="1896"/>
      <c r="U4" s="1896"/>
      <c r="V4" s="1896"/>
      <c r="W4" s="1896"/>
      <c r="X4" s="1896"/>
      <c r="Y4" s="1896"/>
      <c r="Z4" s="1896"/>
      <c r="AA4" s="1896"/>
      <c r="AB4" s="1896"/>
    </row>
    <row r="5" spans="1:28" ht="13.5" thickTop="1">
      <c r="A5" s="2566" t="s">
        <v>2858</v>
      </c>
      <c r="B5" s="2567"/>
      <c r="C5" s="2568"/>
      <c r="D5" s="2569"/>
      <c r="E5" s="2853"/>
      <c r="F5" s="2853"/>
      <c r="G5" s="2853"/>
      <c r="H5" s="2853"/>
      <c r="I5" s="2853"/>
      <c r="J5" s="2628"/>
      <c r="K5" s="2565" t="str">
        <f>IF(F4="——","",IF(H4="——",F4&amp;"（注册号："&amp;G4&amp;")",CONCATENATE(F4,"（注册号：",G4,")、",H4,"（注册号：",I4,")")))</f>
        <v>（注册号：0)、（注册号：0)</v>
      </c>
      <c r="L5" s="2556"/>
      <c r="M5" s="2556"/>
      <c r="N5" s="2557"/>
      <c r="O5" s="1727"/>
      <c r="P5" s="2557"/>
      <c r="Q5" s="2557"/>
      <c r="R5" s="2557"/>
      <c r="S5" s="1896"/>
      <c r="T5" s="1896"/>
      <c r="U5" s="1896"/>
      <c r="V5" s="1896"/>
      <c r="W5" s="1896"/>
      <c r="X5" s="1896"/>
      <c r="Y5" s="1896"/>
      <c r="Z5" s="1896"/>
      <c r="AA5" s="1896"/>
      <c r="AB5" s="1896"/>
    </row>
    <row r="6" spans="1:28">
      <c r="A6" s="2570" t="s">
        <v>2859</v>
      </c>
      <c r="B6" s="2571"/>
      <c r="C6" s="2572"/>
      <c r="D6" s="2573"/>
      <c r="E6" s="2851"/>
      <c r="F6" s="2853"/>
      <c r="G6" s="2853"/>
      <c r="H6" s="2853"/>
      <c r="I6" s="2853"/>
      <c r="J6" s="2628"/>
      <c r="K6" s="2803" t="str">
        <f>IF(COUNTIF(B6,"*上海银行*"),"上海银行","")</f>
        <v/>
      </c>
      <c r="L6" s="2801"/>
      <c r="M6" s="2801"/>
      <c r="N6" s="2628"/>
      <c r="O6" s="2639"/>
      <c r="P6" s="2628"/>
      <c r="Q6" s="2628"/>
      <c r="R6" s="2628"/>
    </row>
    <row r="7" spans="1:28">
      <c r="A7" s="2570" t="s">
        <v>2860</v>
      </c>
      <c r="B7" s="2574"/>
      <c r="C7" s="2572"/>
      <c r="D7" s="2573"/>
      <c r="E7" s="2851"/>
      <c r="F7" s="2853"/>
      <c r="G7" s="2853"/>
      <c r="H7" s="2853"/>
      <c r="I7" s="2853"/>
      <c r="J7" s="2628"/>
      <c r="K7" s="2804"/>
      <c r="L7" s="2801"/>
      <c r="M7" s="2801"/>
      <c r="N7" s="2628"/>
      <c r="O7" s="2639"/>
      <c r="P7" s="2628"/>
      <c r="Q7" s="2628"/>
      <c r="R7" s="2628"/>
    </row>
    <row r="8" spans="1:28">
      <c r="A8" s="2575" t="s">
        <v>2861</v>
      </c>
      <c r="B8" s="2576" t="s">
        <v>3133</v>
      </c>
      <c r="C8" s="2577"/>
      <c r="D8" s="3470" t="s">
        <v>2862</v>
      </c>
      <c r="E8" s="2578"/>
      <c r="F8" s="2579"/>
      <c r="G8" s="2852"/>
      <c r="H8" s="2852"/>
      <c r="I8" s="2852"/>
      <c r="J8" s="2628"/>
      <c r="K8" s="2802"/>
      <c r="L8" s="2801"/>
      <c r="M8" s="2801"/>
      <c r="N8" s="2628"/>
      <c r="O8" s="2639"/>
      <c r="P8" s="2628"/>
      <c r="Q8" s="2628"/>
      <c r="R8" s="2628"/>
    </row>
    <row r="9" spans="1:28" ht="13.5" thickBot="1">
      <c r="A9" s="2580" t="s">
        <v>2863</v>
      </c>
      <c r="B9" s="2581"/>
      <c r="C9" s="2582"/>
      <c r="D9" s="3471"/>
      <c r="E9" s="2581"/>
      <c r="F9" s="2583"/>
      <c r="G9" s="2854"/>
      <c r="H9" s="2854"/>
      <c r="I9" s="2854"/>
      <c r="J9" s="2628"/>
      <c r="K9" s="2804"/>
      <c r="L9" s="2801"/>
      <c r="M9" s="2801"/>
      <c r="N9" s="2628"/>
      <c r="O9" s="2639"/>
      <c r="P9" s="2628"/>
      <c r="Q9" s="2628"/>
      <c r="R9" s="2628"/>
    </row>
    <row r="10" spans="1:28" ht="13.5" thickTop="1">
      <c r="A10" s="2584" t="s">
        <v>2864</v>
      </c>
      <c r="B10" s="2585" t="s">
        <v>3132</v>
      </c>
      <c r="C10" s="2586"/>
      <c r="D10" s="2569"/>
      <c r="E10" s="2587" t="s">
        <v>2865</v>
      </c>
      <c r="F10" s="2855"/>
      <c r="G10" s="2856"/>
      <c r="H10" s="2857"/>
      <c r="I10" s="2858"/>
      <c r="J10" s="2628"/>
      <c r="K10" s="2804"/>
      <c r="L10" s="2801"/>
      <c r="M10" s="2801"/>
      <c r="N10" s="2628"/>
      <c r="O10" s="2639"/>
      <c r="P10" s="2628"/>
      <c r="Q10" s="2628"/>
      <c r="R10" s="2628"/>
    </row>
    <row r="11" spans="1:28">
      <c r="A11" s="2588" t="s">
        <v>2866</v>
      </c>
      <c r="B11" s="2589" t="s">
        <v>3131</v>
      </c>
      <c r="C11" s="2590"/>
      <c r="D11" s="2591"/>
      <c r="E11" s="2557"/>
      <c r="F11" s="2557"/>
      <c r="G11" s="2557"/>
      <c r="H11" s="2557"/>
      <c r="I11" s="2557"/>
      <c r="J11" s="2628"/>
      <c r="K11" s="2804"/>
      <c r="L11" s="2801"/>
      <c r="M11" s="2801"/>
      <c r="N11" s="2628"/>
      <c r="O11" s="2639"/>
      <c r="P11" s="2628"/>
      <c r="Q11" s="2628"/>
      <c r="R11" s="2628"/>
    </row>
    <row r="12" spans="1:28">
      <c r="A12" s="2592" t="s">
        <v>2867</v>
      </c>
      <c r="B12" s="2589" t="s">
        <v>3130</v>
      </c>
      <c r="C12" s="329" t="s">
        <v>2868</v>
      </c>
      <c r="D12" s="2593" t="s">
        <v>2869</v>
      </c>
      <c r="E12" s="2593" t="s">
        <v>2870</v>
      </c>
      <c r="F12" s="2593" t="s">
        <v>2871</v>
      </c>
      <c r="G12" s="2593" t="s">
        <v>2872</v>
      </c>
      <c r="H12" s="2593" t="s">
        <v>2873</v>
      </c>
      <c r="I12" s="2593" t="s">
        <v>2874</v>
      </c>
      <c r="J12" s="2628"/>
      <c r="K12" s="2804"/>
      <c r="L12" s="2801"/>
      <c r="M12" s="2801"/>
      <c r="N12" s="2628"/>
      <c r="O12" s="2639"/>
      <c r="P12" s="2628"/>
      <c r="Q12" s="2628"/>
      <c r="R12" s="2628"/>
    </row>
    <row r="13" spans="1:28">
      <c r="A13" s="1209"/>
      <c r="B13" s="2594"/>
      <c r="C13" s="2595" t="s">
        <v>2875</v>
      </c>
      <c r="D13" s="961"/>
      <c r="E13" s="961">
        <v>57164</v>
      </c>
      <c r="F13" s="961">
        <v>60816</v>
      </c>
      <c r="G13" s="961">
        <v>60816</v>
      </c>
      <c r="H13" s="961">
        <v>60816</v>
      </c>
      <c r="I13" s="961"/>
      <c r="J13" s="2628"/>
      <c r="K13" s="2804"/>
      <c r="L13" s="2801"/>
      <c r="M13" s="2801"/>
      <c r="N13" s="2628"/>
      <c r="O13" s="2639"/>
      <c r="P13" s="2628"/>
      <c r="Q13" s="2628"/>
      <c r="R13" s="2628"/>
    </row>
    <row r="14" spans="1:28">
      <c r="A14" s="1209"/>
      <c r="B14" s="2594"/>
      <c r="C14" s="2595" t="s">
        <v>2876</v>
      </c>
      <c r="D14" s="2596"/>
      <c r="E14" s="2596">
        <v>40</v>
      </c>
      <c r="F14" s="2596">
        <v>50</v>
      </c>
      <c r="G14" s="2596">
        <v>50</v>
      </c>
      <c r="H14" s="2596">
        <v>50</v>
      </c>
      <c r="I14" s="2596"/>
      <c r="J14" s="2628"/>
      <c r="K14" s="2805"/>
      <c r="L14" s="2801"/>
      <c r="M14" s="2801"/>
      <c r="N14" s="2628"/>
      <c r="O14" s="2639"/>
      <c r="P14" s="2628"/>
      <c r="Q14" s="2628"/>
      <c r="R14" s="2628"/>
    </row>
    <row r="15" spans="1:28">
      <c r="A15" s="326"/>
      <c r="B15" s="2597"/>
      <c r="C15" s="2598" t="s">
        <v>2877</v>
      </c>
      <c r="D15" s="2599" t="str">
        <f>IF(B12="出让",IF(D13="","",ROUNDDOWN(MIN((D13-$D$3)/365,D14),2)),D14)</f>
        <v/>
      </c>
      <c r="E15" s="2599">
        <f>IF(B12="出让",IF(E13="","",ROUNDDOWN(MIN((E13-$D$3)/365,E14),2)),E14)</f>
        <v>34.270000000000003</v>
      </c>
      <c r="F15" s="2599">
        <f>IF(B12="出让",IF(F13="","",ROUNDDOWN(MIN((F13-$D$3)/365,F14),2)),F14)</f>
        <v>44.28</v>
      </c>
      <c r="G15" s="2599">
        <f>IF(B12="出让",IF(G13="","",ROUNDDOWN(MIN((G13-$D$3)/365,G14),2)),G14)</f>
        <v>44.28</v>
      </c>
      <c r="H15" s="2599">
        <f>IF(B12="出让",IF(H13="","",ROUNDDOWN(MIN((H13-$D$3)/365,H14),2)),H14)</f>
        <v>44.28</v>
      </c>
      <c r="I15" s="2599" t="str">
        <f>IF(B12="出让",IF(I13="","",ROUNDDOWN(MIN((I13-$D$3)/365,I14),2)),I14)</f>
        <v/>
      </c>
      <c r="J15" s="2628"/>
      <c r="K15" s="2806"/>
      <c r="L15" s="2640"/>
      <c r="M15" s="2640"/>
      <c r="N15" s="2697"/>
      <c r="O15" s="2640"/>
      <c r="P15" s="2697"/>
      <c r="Q15" s="2628"/>
      <c r="R15" s="2628"/>
    </row>
    <row r="16" spans="1:28">
      <c r="A16" s="2587" t="s">
        <v>2878</v>
      </c>
      <c r="B16" s="3477"/>
      <c r="C16" s="3478"/>
      <c r="D16" s="3479"/>
      <c r="E16" s="2602" t="s">
        <v>2879</v>
      </c>
      <c r="F16" s="3480"/>
      <c r="G16" s="3481"/>
      <c r="H16" s="3481"/>
      <c r="I16" s="3482"/>
      <c r="J16" s="2628"/>
      <c r="K16" s="2806"/>
      <c r="L16" s="2640"/>
      <c r="M16" s="2640"/>
      <c r="N16" s="2697"/>
      <c r="O16" s="2640"/>
      <c r="P16" s="2697"/>
      <c r="Q16" s="2628"/>
      <c r="R16" s="2628"/>
    </row>
    <row r="17" spans="1:28">
      <c r="A17" s="319" t="s">
        <v>2880</v>
      </c>
      <c r="B17" s="308" t="s">
        <v>2881</v>
      </c>
      <c r="C17" s="11">
        <f>'数据-汇总表'!E3</f>
        <v>63823.659999999953</v>
      </c>
      <c r="D17" s="2508" t="s">
        <v>2882</v>
      </c>
      <c r="E17" s="3483" t="s">
        <v>2883</v>
      </c>
      <c r="F17" s="3484"/>
      <c r="G17" s="3484"/>
      <c r="H17" s="3484"/>
      <c r="I17" s="3485"/>
      <c r="J17" s="2628"/>
      <c r="K17" s="2807"/>
      <c r="L17" s="2640"/>
      <c r="M17" s="2640"/>
      <c r="N17" s="2697"/>
      <c r="O17" s="2640"/>
      <c r="P17" s="2697"/>
      <c r="Q17" s="2628"/>
      <c r="R17" s="2628"/>
      <c r="S17" s="2628"/>
      <c r="T17" s="2628"/>
      <c r="U17" s="2628"/>
      <c r="V17" s="2628"/>
    </row>
    <row r="18" spans="1:28" ht="24.75" thickBot="1">
      <c r="A18" s="2603" t="s">
        <v>2884</v>
      </c>
      <c r="B18" s="1218" t="s">
        <v>2885</v>
      </c>
      <c r="C18" s="2604">
        <f>'数据-汇总表'!D3</f>
        <v>15403.06</v>
      </c>
      <c r="D18" s="1220" t="s">
        <v>2886</v>
      </c>
      <c r="E18" s="3486" t="s">
        <v>2887</v>
      </c>
      <c r="F18" s="3487"/>
      <c r="G18" s="3487"/>
      <c r="H18" s="3487"/>
      <c r="I18" s="3488"/>
      <c r="J18" s="2628"/>
      <c r="K18" s="2807"/>
      <c r="L18" s="2640"/>
      <c r="M18" s="2640"/>
      <c r="N18" s="2697"/>
      <c r="O18" s="2640"/>
      <c r="P18" s="2697"/>
      <c r="Q18" s="2628"/>
      <c r="R18" s="2628"/>
      <c r="S18" s="2628"/>
      <c r="T18" s="2628"/>
      <c r="U18" s="2628"/>
      <c r="V18" s="2628"/>
    </row>
    <row r="19" spans="1:28" ht="37.5" thickTop="1" thickBot="1">
      <c r="A19" s="333" t="s">
        <v>1681</v>
      </c>
      <c r="B19" s="313" t="s">
        <v>2888</v>
      </c>
      <c r="C19" s="1714"/>
      <c r="D19" s="1715" t="s">
        <v>2889</v>
      </c>
      <c r="E19" s="1716"/>
      <c r="F19" s="1717" t="str">
        <f>IF(AND(C19="是",E19="否"),"是否提供他项权证或相关说明","")</f>
        <v/>
      </c>
      <c r="G19" s="1718"/>
      <c r="H19" s="2853"/>
      <c r="I19" s="2853"/>
      <c r="J19" s="2628"/>
      <c r="K19" s="2804"/>
      <c r="L19" s="2801"/>
      <c r="M19" s="2801"/>
      <c r="N19" s="2697"/>
      <c r="O19" s="2640"/>
      <c r="P19" s="2697"/>
      <c r="Q19" s="2628"/>
      <c r="R19" s="2628"/>
      <c r="S19" s="2628"/>
      <c r="T19" s="2628"/>
      <c r="U19" s="2628"/>
      <c r="V19" s="2628"/>
    </row>
    <row r="20" spans="1:28">
      <c r="A20" s="2821" t="s">
        <v>2890</v>
      </c>
      <c r="B20" s="3473" t="s">
        <v>2891</v>
      </c>
      <c r="C20" s="3474"/>
      <c r="D20" s="3475" t="s">
        <v>2892</v>
      </c>
      <c r="E20" s="3476"/>
      <c r="F20" s="2836" t="s">
        <v>1682</v>
      </c>
      <c r="G20" s="2853"/>
      <c r="H20" s="2853"/>
      <c r="I20" s="2853"/>
      <c r="J20" s="2628"/>
      <c r="K20" s="3472"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6"/>
      <c r="X20" s="1896"/>
      <c r="Y20" s="1896"/>
      <c r="Z20" s="1896"/>
      <c r="AA20" s="1896"/>
      <c r="AB20" s="1896"/>
    </row>
    <row r="21" spans="1:28" ht="24.75" thickBot="1">
      <c r="A21" s="2821"/>
      <c r="B21" s="2822" t="s">
        <v>2894</v>
      </c>
      <c r="C21" s="2823" t="s">
        <v>1683</v>
      </c>
      <c r="D21" s="1719" t="s">
        <v>2895</v>
      </c>
      <c r="E21" s="2824" t="s">
        <v>1683</v>
      </c>
      <c r="F21" s="2837"/>
      <c r="G21" s="2853"/>
      <c r="H21" s="2853"/>
      <c r="I21" s="2853"/>
      <c r="J21" s="2628"/>
      <c r="K21" s="347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6"/>
      <c r="X21" s="1896"/>
      <c r="Y21" s="1896"/>
      <c r="Z21" s="1896"/>
      <c r="AA21" s="1896"/>
      <c r="AB21" s="1896"/>
    </row>
    <row r="22" spans="1:28" ht="24.75" thickBot="1">
      <c r="A22" s="2821"/>
      <c r="B22" s="2825" t="s">
        <v>2896</v>
      </c>
      <c r="C22" s="2823" t="s">
        <v>1684</v>
      </c>
      <c r="D22" s="2852"/>
      <c r="E22" s="2852"/>
      <c r="F22" s="2852"/>
      <c r="G22" s="2853"/>
      <c r="H22" s="2853"/>
      <c r="I22" s="2853"/>
      <c r="J22" s="2628"/>
      <c r="K22" s="347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6"/>
      <c r="X22" s="1896"/>
      <c r="Y22" s="1896"/>
      <c r="Z22" s="1896"/>
      <c r="AA22" s="1896"/>
      <c r="AB22" s="1896"/>
    </row>
    <row r="23" spans="1:28">
      <c r="A23" s="2826" t="s">
        <v>2897</v>
      </c>
      <c r="B23" s="2690" t="s">
        <v>2898</v>
      </c>
      <c r="C23" s="2827"/>
      <c r="D23" s="2828" t="s">
        <v>2898</v>
      </c>
      <c r="E23" s="2829"/>
      <c r="F23" s="2852"/>
      <c r="G23" s="2853"/>
      <c r="H23" s="2853"/>
      <c r="I23" s="2853"/>
      <c r="J23" s="2628"/>
      <c r="K23" s="2808"/>
      <c r="L23" s="2663"/>
      <c r="M23" s="2801"/>
      <c r="N23" s="2697"/>
      <c r="O23" s="2640"/>
      <c r="P23" s="2697"/>
      <c r="Q23" s="2628"/>
      <c r="R23" s="2628"/>
      <c r="S23" s="2628"/>
      <c r="T23" s="2628"/>
      <c r="U23" s="2628"/>
      <c r="V23" s="2628"/>
    </row>
    <row r="24" spans="1:28">
      <c r="A24" s="2826"/>
      <c r="B24" s="2690" t="s">
        <v>1685</v>
      </c>
      <c r="C24" s="2830"/>
      <c r="D24" s="2826" t="s">
        <v>1685</v>
      </c>
      <c r="E24" s="2831"/>
      <c r="F24" s="2852"/>
      <c r="G24" s="2853"/>
      <c r="H24" s="2853"/>
      <c r="I24" s="2853"/>
      <c r="J24" s="2628"/>
      <c r="K24" s="2808"/>
      <c r="L24" s="2663"/>
      <c r="M24" s="2801"/>
      <c r="N24" s="2697"/>
      <c r="O24" s="2640"/>
      <c r="P24" s="2697"/>
      <c r="Q24" s="2628"/>
      <c r="R24" s="2628"/>
      <c r="S24" s="2628"/>
      <c r="T24" s="2628"/>
      <c r="U24" s="2628"/>
      <c r="V24" s="2628"/>
    </row>
    <row r="25" spans="1:28">
      <c r="A25" s="2826"/>
      <c r="B25" s="2690" t="s">
        <v>1686</v>
      </c>
      <c r="C25" s="2830"/>
      <c r="D25" s="2826" t="s">
        <v>1686</v>
      </c>
      <c r="E25" s="2831"/>
      <c r="F25" s="2852"/>
      <c r="G25" s="2853"/>
      <c r="H25" s="2853"/>
      <c r="I25" s="2853"/>
      <c r="J25" s="2628"/>
      <c r="K25" s="2804"/>
      <c r="L25" s="2801"/>
      <c r="M25" s="2801"/>
      <c r="N25" s="2697"/>
      <c r="O25" s="2640"/>
      <c r="P25" s="2697"/>
      <c r="Q25" s="2628"/>
      <c r="R25" s="2628"/>
      <c r="S25" s="2628"/>
      <c r="T25" s="2628"/>
      <c r="U25" s="2628"/>
      <c r="V25" s="2628"/>
    </row>
    <row r="26" spans="1:28" ht="13.5" thickBot="1">
      <c r="A26" s="2832"/>
      <c r="B26" s="2833" t="s">
        <v>1687</v>
      </c>
      <c r="C26" s="2834"/>
      <c r="D26" s="2832" t="s">
        <v>1687</v>
      </c>
      <c r="E26" s="2835"/>
      <c r="F26" s="2854"/>
      <c r="G26" s="2854"/>
      <c r="H26" s="2854"/>
      <c r="I26" s="2854"/>
      <c r="J26" s="2628"/>
      <c r="K26" s="2804"/>
      <c r="L26" s="2801"/>
      <c r="M26" s="2801"/>
      <c r="N26" s="2697"/>
      <c r="O26" s="2640"/>
      <c r="P26" s="2697"/>
      <c r="Q26" s="2628"/>
      <c r="R26" s="2628"/>
      <c r="S26" s="2628"/>
      <c r="T26" s="2628"/>
      <c r="U26" s="2628"/>
      <c r="V26" s="2628"/>
    </row>
    <row r="27" spans="1:28" ht="13.5" thickTop="1">
      <c r="A27" s="3460" t="s">
        <v>2899</v>
      </c>
      <c r="B27" s="326" t="s">
        <v>2900</v>
      </c>
      <c r="C27" s="2605"/>
      <c r="D27" s="2606"/>
      <c r="E27" s="2853"/>
      <c r="F27" s="2853"/>
      <c r="G27" s="2853"/>
      <c r="H27" s="2853"/>
      <c r="I27" s="2853"/>
      <c r="J27" s="2628"/>
      <c r="K27" s="2806"/>
      <c r="L27" s="2640"/>
      <c r="M27" s="2640"/>
      <c r="N27" s="2697"/>
      <c r="O27" s="2640"/>
      <c r="P27" s="2697"/>
      <c r="Q27" s="2628"/>
      <c r="R27" s="2628"/>
      <c r="S27" s="2628"/>
      <c r="T27" s="2628"/>
      <c r="U27" s="2628"/>
      <c r="V27" s="2628"/>
    </row>
    <row r="28" spans="1:28">
      <c r="A28" s="3460"/>
      <c r="B28" s="308" t="s">
        <v>2901</v>
      </c>
      <c r="C28" s="2607"/>
      <c r="D28" s="2608"/>
      <c r="E28" s="2853"/>
      <c r="F28" s="2853"/>
      <c r="G28" s="2853"/>
      <c r="H28" s="2853"/>
      <c r="I28" s="2853"/>
      <c r="J28" s="2628"/>
      <c r="K28" s="2804"/>
      <c r="L28" s="2801"/>
      <c r="M28" s="2801"/>
      <c r="N28" s="2628"/>
      <c r="O28" s="2639"/>
      <c r="P28" s="2628"/>
      <c r="Q28" s="2628"/>
      <c r="R28" s="2628"/>
      <c r="S28" s="2628"/>
      <c r="T28" s="2628"/>
      <c r="U28" s="2628"/>
      <c r="V28" s="2628"/>
    </row>
    <row r="29" spans="1:28">
      <c r="A29" s="3460"/>
      <c r="B29" s="308" t="s">
        <v>2902</v>
      </c>
      <c r="C29" s="2609"/>
      <c r="D29" s="2610"/>
      <c r="E29" s="2853"/>
      <c r="F29" s="2853"/>
      <c r="G29" s="2853"/>
      <c r="H29" s="2853"/>
      <c r="I29" s="2853"/>
      <c r="J29" s="2628"/>
      <c r="K29" s="2804"/>
      <c r="L29" s="2801"/>
      <c r="M29" s="2801"/>
      <c r="N29" s="2628"/>
      <c r="O29" s="2639"/>
      <c r="P29" s="2628"/>
      <c r="Q29" s="2628"/>
      <c r="R29" s="2628"/>
      <c r="S29" s="2628"/>
      <c r="T29" s="2628"/>
      <c r="U29" s="2628"/>
      <c r="V29" s="2628"/>
    </row>
    <row r="30" spans="1:28">
      <c r="A30" s="3461"/>
      <c r="B30" s="308" t="s">
        <v>2903</v>
      </c>
      <c r="C30" s="3462"/>
      <c r="D30" s="3463"/>
      <c r="E30" s="2853"/>
      <c r="F30" s="2853"/>
      <c r="G30" s="2853"/>
      <c r="H30" s="2853"/>
      <c r="I30" s="2853"/>
      <c r="J30" s="2628"/>
      <c r="K30" s="2804"/>
      <c r="L30" s="2801"/>
      <c r="M30" s="2801"/>
      <c r="N30" s="2628"/>
      <c r="O30" s="2639"/>
      <c r="P30" s="2628"/>
      <c r="Q30" s="2628"/>
      <c r="R30" s="2628"/>
      <c r="S30" s="2628"/>
      <c r="T30" s="2628"/>
      <c r="U30" s="2628"/>
      <c r="V30" s="2628"/>
    </row>
    <row r="31" spans="1:28">
      <c r="A31" s="3464" t="s">
        <v>2904</v>
      </c>
      <c r="B31" s="2611"/>
      <c r="C31" s="2509" t="str">
        <f>IF(B31="现房","成新及维护状况正常否",IF(B31="在建","工程状态是否正常",IF(B31="土地","是否闲置","-")))</f>
        <v>-</v>
      </c>
      <c r="D31" s="1523"/>
      <c r="E31" s="2612"/>
      <c r="F31" s="2853"/>
      <c r="G31" s="2853"/>
      <c r="H31" s="2853"/>
      <c r="I31" s="2853"/>
      <c r="J31" s="2628"/>
      <c r="K31" s="2803"/>
      <c r="L31" s="2801"/>
      <c r="M31" s="2801"/>
      <c r="N31" s="2628"/>
      <c r="O31" s="2639"/>
      <c r="P31" s="2628"/>
      <c r="Q31" s="2628"/>
      <c r="R31" s="2628"/>
      <c r="S31" s="2628"/>
      <c r="T31" s="2628"/>
      <c r="U31" s="2628"/>
      <c r="V31" s="2628"/>
    </row>
    <row r="32" spans="1:28">
      <c r="A32" s="3465"/>
      <c r="B32" s="2611"/>
      <c r="C32" s="2509" t="str">
        <f>IF(B32="现房","成新及维护状况是否正常",IF(B32="在建","工程状态是否正常",IF(B32="土地","是否闲置","-")))</f>
        <v>-</v>
      </c>
      <c r="D32" s="1523"/>
      <c r="E32" s="2612"/>
      <c r="F32" s="2853"/>
      <c r="G32" s="2853"/>
      <c r="H32" s="2853"/>
      <c r="I32" s="2853"/>
      <c r="J32" s="2628"/>
      <c r="K32" s="2804"/>
      <c r="L32" s="2801"/>
      <c r="M32" s="2801"/>
      <c r="N32" s="2628"/>
      <c r="O32" s="2639"/>
      <c r="P32" s="2628"/>
      <c r="Q32" s="2628"/>
      <c r="R32" s="2628"/>
      <c r="S32" s="2628"/>
      <c r="T32" s="2628"/>
      <c r="U32" s="2628"/>
      <c r="V32" s="2628"/>
    </row>
    <row r="33" spans="1:30">
      <c r="A33" s="3465"/>
      <c r="B33" s="2614"/>
      <c r="C33" s="1741" t="str">
        <f>IF(B33="现房","成新及维护状况是否正常",IF(B33="在建","工程状态是否正常",IF(B33="土地","是否闲置","-")))</f>
        <v>-</v>
      </c>
      <c r="D33" s="1515"/>
      <c r="E33" s="2615"/>
      <c r="F33" s="2853"/>
      <c r="G33" s="2853"/>
      <c r="H33" s="2853"/>
      <c r="I33" s="2853"/>
      <c r="J33" s="2628"/>
      <c r="K33" s="2804"/>
      <c r="L33" s="2801"/>
      <c r="M33" s="2801"/>
      <c r="N33" s="2628"/>
      <c r="O33" s="2639"/>
      <c r="P33" s="2628"/>
      <c r="Q33" s="2628"/>
      <c r="R33" s="2628"/>
      <c r="S33" s="2628"/>
      <c r="T33" s="2628"/>
      <c r="U33" s="2628"/>
      <c r="V33" s="2628"/>
    </row>
    <row r="34" spans="1:30">
      <c r="A34" s="308" t="s">
        <v>2905</v>
      </c>
      <c r="B34" s="2177"/>
      <c r="C34" s="2177"/>
      <c r="D34" s="2177"/>
      <c r="E34" s="2177"/>
      <c r="F34" s="2177"/>
      <c r="G34" s="2177"/>
      <c r="H34" s="2177"/>
      <c r="I34" s="2853"/>
      <c r="J34" s="2628"/>
      <c r="K34" s="2616">
        <f>COUNTIF(B34:H34,"——")</f>
        <v>0</v>
      </c>
      <c r="L34" s="329" t="s">
        <v>2906</v>
      </c>
      <c r="M34" s="329" t="s">
        <v>2907</v>
      </c>
      <c r="N34" s="329" t="s">
        <v>2908</v>
      </c>
      <c r="O34" s="329" t="s">
        <v>2909</v>
      </c>
      <c r="P34" s="329" t="s">
        <v>2910</v>
      </c>
      <c r="Q34" s="329" t="s">
        <v>2911</v>
      </c>
      <c r="R34" s="329" t="s">
        <v>2912</v>
      </c>
      <c r="S34" s="3459" t="s">
        <v>2913</v>
      </c>
      <c r="T34" s="2617" t="str">
        <f>NUMBERSTRING(7-K34,1)&amp;"通"</f>
        <v>七通</v>
      </c>
      <c r="U34" s="2628"/>
      <c r="V34" s="2628"/>
    </row>
    <row r="35" spans="1:30">
      <c r="A35" s="2618"/>
      <c r="B35" s="3466" t="s">
        <v>2914</v>
      </c>
      <c r="C35" s="3466"/>
      <c r="D35" s="3466"/>
      <c r="E35" s="3466"/>
      <c r="F35" s="673">
        <f>C10</f>
        <v>0</v>
      </c>
      <c r="G35" s="2853"/>
      <c r="H35" s="2853"/>
      <c r="I35" s="2853"/>
      <c r="J35" s="262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59"/>
      <c r="T35" s="335" t="str">
        <f>IF(T34="一通",L35,IF(T34="二通",M35,IF(T34="三通",N35,IF(T34="四通",O35,IF(T34="五通",P35,IF(T34="六通",Q35,R35))))))</f>
        <v>、、、、、、</v>
      </c>
      <c r="U35" s="2628"/>
      <c r="V35" s="2628"/>
    </row>
    <row r="36" spans="1:30">
      <c r="A36" s="2619"/>
      <c r="B36" s="673" t="s">
        <v>2870</v>
      </c>
      <c r="C36" s="673" t="s">
        <v>2871</v>
      </c>
      <c r="D36" s="673" t="s">
        <v>2869</v>
      </c>
      <c r="E36" s="673" t="s">
        <v>2874</v>
      </c>
      <c r="F36" s="2859"/>
      <c r="G36" s="2853"/>
      <c r="H36" s="2853"/>
      <c r="I36" s="2853"/>
      <c r="J36" s="2628"/>
      <c r="K36" s="2804"/>
      <c r="L36" s="2801"/>
      <c r="M36" s="2801"/>
      <c r="N36" s="2628"/>
      <c r="O36" s="2639"/>
      <c r="P36" s="2628"/>
      <c r="Q36" s="2628"/>
      <c r="R36" s="2628"/>
      <c r="S36" s="2628"/>
      <c r="T36" s="2628"/>
      <c r="U36" s="2628"/>
      <c r="V36" s="2628"/>
    </row>
    <row r="37" spans="1:30">
      <c r="A37" s="2819" t="s">
        <v>2915</v>
      </c>
      <c r="B37" s="2620" t="s">
        <v>526</v>
      </c>
      <c r="C37" s="2620" t="s">
        <v>526</v>
      </c>
      <c r="D37" s="2620"/>
      <c r="E37" s="2620"/>
      <c r="F37" s="2859"/>
      <c r="G37" s="2853"/>
      <c r="H37" s="2853"/>
      <c r="I37" s="2853"/>
      <c r="J37" s="2628"/>
      <c r="K37" s="2804"/>
      <c r="L37" s="2801"/>
      <c r="M37" s="2801"/>
      <c r="N37" s="2628"/>
      <c r="O37" s="2639"/>
      <c r="P37" s="2628"/>
      <c r="Q37" s="2628"/>
      <c r="R37" s="2628"/>
      <c r="S37" s="2628"/>
      <c r="T37" s="2628"/>
      <c r="U37" s="2628"/>
      <c r="V37" s="2628"/>
    </row>
    <row r="38" spans="1:30" ht="13.5" thickBot="1">
      <c r="A38" s="2820" t="s">
        <v>2916</v>
      </c>
      <c r="B38" s="2621" t="s">
        <v>378</v>
      </c>
      <c r="C38" s="2621" t="s">
        <v>378</v>
      </c>
      <c r="D38" s="2621"/>
      <c r="E38" s="2621"/>
      <c r="F38" s="2860"/>
      <c r="G38" s="2854"/>
      <c r="H38" s="2854"/>
      <c r="I38" s="2854"/>
      <c r="J38" s="2628"/>
      <c r="K38" s="2804"/>
      <c r="L38" s="2801"/>
      <c r="M38" s="2801"/>
      <c r="N38" s="2628"/>
      <c r="O38" s="2639"/>
      <c r="P38" s="2628"/>
      <c r="Q38" s="2628"/>
      <c r="R38" s="2628"/>
      <c r="S38" s="2628"/>
      <c r="T38" s="2628"/>
      <c r="U38" s="2628"/>
      <c r="V38" s="2628"/>
    </row>
    <row r="39" spans="1:30" s="2624" customFormat="1" ht="14.25" thickTop="1" thickBot="1">
      <c r="A39" s="2622" t="s">
        <v>2917</v>
      </c>
      <c r="B39" s="2623"/>
      <c r="C39" s="2623"/>
      <c r="D39" s="2623"/>
      <c r="E39" s="2623"/>
      <c r="F39" s="2623"/>
      <c r="G39" s="2623"/>
      <c r="H39" s="2623"/>
      <c r="I39" s="2623"/>
      <c r="J39" s="2811"/>
      <c r="K39" s="2812"/>
      <c r="L39" s="2811"/>
      <c r="M39" s="2811"/>
      <c r="N39" s="2811"/>
      <c r="O39" s="2813"/>
      <c r="P39" s="2811"/>
      <c r="Q39" s="2811"/>
      <c r="R39" s="2811"/>
      <c r="S39" s="2811"/>
      <c r="T39" s="2811"/>
      <c r="U39" s="2811"/>
      <c r="V39" s="2811"/>
      <c r="W39" s="2814"/>
      <c r="X39" s="2814"/>
      <c r="Y39" s="2814"/>
      <c r="Z39" s="2814"/>
      <c r="AA39" s="2814"/>
      <c r="AB39" s="2814"/>
      <c r="AC39" s="2814"/>
      <c r="AD39" s="2814"/>
    </row>
    <row r="40" spans="1:30">
      <c r="A40" s="2557"/>
      <c r="B40" s="2557"/>
      <c r="C40" s="2557"/>
      <c r="D40" s="2557"/>
      <c r="E40" s="2557"/>
      <c r="F40" s="2557"/>
      <c r="G40" s="2557"/>
      <c r="H40" s="2557"/>
      <c r="I40" s="1729"/>
      <c r="J40" s="2697"/>
      <c r="K40" s="2803"/>
      <c r="L40" s="2640"/>
      <c r="M40" s="2640"/>
      <c r="N40" s="2697"/>
      <c r="O40" s="2640"/>
      <c r="P40" s="2628"/>
      <c r="Q40" s="2628"/>
      <c r="R40" s="2628"/>
      <c r="S40" s="2628"/>
      <c r="T40" s="2628"/>
      <c r="U40" s="2628"/>
      <c r="V40" s="2628"/>
    </row>
    <row r="41" spans="1:30">
      <c r="A41" s="2625" t="s">
        <v>2918</v>
      </c>
      <c r="B41" s="1908"/>
      <c r="C41" s="1523"/>
      <c r="D41" s="2557"/>
      <c r="E41" s="2557"/>
      <c r="F41" s="2557"/>
      <c r="G41" s="2557"/>
      <c r="H41" s="2557"/>
      <c r="I41" s="1727"/>
      <c r="J41" s="2628"/>
      <c r="K41" s="2804"/>
      <c r="L41" s="2801"/>
      <c r="M41" s="2801"/>
      <c r="N41" s="2628"/>
      <c r="O41" s="2639"/>
      <c r="P41" s="2628"/>
      <c r="Q41" s="2628"/>
      <c r="R41" s="2628"/>
      <c r="S41" s="2628"/>
      <c r="T41" s="2628"/>
      <c r="U41" s="2628"/>
      <c r="V41" s="2628"/>
    </row>
    <row r="42" spans="1:30" ht="25.5">
      <c r="A42" s="329" t="s">
        <v>2919</v>
      </c>
      <c r="B42" s="11" t="s">
        <v>2920</v>
      </c>
      <c r="C42" s="11" t="s">
        <v>2921</v>
      </c>
      <c r="D42" s="11" t="s">
        <v>2922</v>
      </c>
      <c r="E42" s="11" t="s">
        <v>2923</v>
      </c>
      <c r="F42" s="11" t="s">
        <v>2924</v>
      </c>
      <c r="G42" s="11" t="s">
        <v>2925</v>
      </c>
      <c r="H42" s="11" t="s">
        <v>2926</v>
      </c>
      <c r="I42" s="11" t="s">
        <v>2927</v>
      </c>
      <c r="J42" s="2815" t="s">
        <v>2928</v>
      </c>
      <c r="K42" s="2816" t="s">
        <v>2929</v>
      </c>
      <c r="L42" s="2816" t="s">
        <v>2930</v>
      </c>
      <c r="M42" s="2816" t="s">
        <v>2931</v>
      </c>
      <c r="N42" s="2809" t="s">
        <v>2932</v>
      </c>
      <c r="O42" s="2809" t="s">
        <v>2933</v>
      </c>
      <c r="P42" s="2809" t="s">
        <v>2934</v>
      </c>
      <c r="Q42" s="2810" t="s">
        <v>2935</v>
      </c>
      <c r="R42" s="2810" t="s">
        <v>2936</v>
      </c>
      <c r="S42" s="2628"/>
      <c r="T42" s="2628"/>
      <c r="U42" s="2628"/>
      <c r="V42" s="2628"/>
    </row>
    <row r="43" spans="1:30" s="1894" customFormat="1">
      <c r="A43" s="1721"/>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1"/>
      <c r="B44" s="1721"/>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1"/>
      <c r="B45" s="1721"/>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1"/>
      <c r="B46" s="1721"/>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1"/>
      <c r="B47" s="1721"/>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1"/>
      <c r="B48" s="1721"/>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1"/>
      <c r="B49" s="1721"/>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1"/>
      <c r="B50" s="1721"/>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1"/>
      <c r="B51" s="1721"/>
      <c r="C51" s="1178"/>
      <c r="D51" s="1178"/>
      <c r="E51" s="1178"/>
      <c r="F51" s="1178"/>
      <c r="G51" s="1178"/>
      <c r="H51" s="1178"/>
      <c r="I51" s="1178"/>
      <c r="J51" s="2626"/>
      <c r="K51" s="2627"/>
      <c r="L51" s="2627"/>
      <c r="M51" s="1178"/>
      <c r="N51" s="1178"/>
      <c r="O51" s="1178"/>
      <c r="P51" s="1178"/>
      <c r="Q51" s="1178"/>
      <c r="R51" s="1178"/>
    </row>
    <row r="52" spans="1:22" s="1894" customFormat="1">
      <c r="A52" s="1721"/>
      <c r="B52" s="1721"/>
      <c r="C52" s="1721"/>
      <c r="D52" s="1721"/>
      <c r="E52" s="1721"/>
      <c r="F52" s="1178"/>
      <c r="G52" s="1721"/>
      <c r="H52" s="1721"/>
      <c r="I52" s="1721"/>
      <c r="J52" s="2629"/>
      <c r="K52" s="2627"/>
      <c r="L52" s="2627"/>
      <c r="M52" s="2627"/>
      <c r="N52" s="1721"/>
      <c r="O52" s="1721"/>
      <c r="P52" s="1721"/>
      <c r="Q52" s="1721"/>
      <c r="R52" s="1721"/>
    </row>
    <row r="53" spans="1:22" s="1894" customFormat="1">
      <c r="A53" s="1721"/>
      <c r="B53" s="1721"/>
      <c r="C53" s="1721"/>
      <c r="D53" s="1721"/>
      <c r="E53" s="1721"/>
      <c r="F53" s="1178"/>
      <c r="G53" s="1721"/>
      <c r="H53" s="1721"/>
      <c r="I53" s="1721"/>
      <c r="J53" s="2629"/>
      <c r="K53" s="2627"/>
      <c r="L53" s="2627"/>
      <c r="M53" s="2627"/>
      <c r="N53" s="1721"/>
      <c r="O53" s="1721"/>
      <c r="P53" s="1721"/>
      <c r="Q53" s="1721"/>
      <c r="R53" s="1721"/>
    </row>
    <row r="54" spans="1:22" s="1894" customFormat="1">
      <c r="A54" s="1721"/>
      <c r="B54" s="1721"/>
      <c r="C54" s="1721"/>
      <c r="D54" s="1721"/>
      <c r="E54" s="1721"/>
      <c r="F54" s="1178"/>
      <c r="G54" s="1721"/>
      <c r="H54" s="1721"/>
      <c r="I54" s="1721"/>
      <c r="J54" s="2629"/>
      <c r="K54" s="2627"/>
      <c r="L54" s="2627"/>
      <c r="M54" s="2627"/>
      <c r="N54" s="1721"/>
      <c r="O54" s="1721"/>
      <c r="P54" s="1721"/>
      <c r="Q54" s="1721"/>
      <c r="R54" s="1721"/>
    </row>
    <row r="55" spans="1:22" s="1894" customFormat="1">
      <c r="A55" s="1721"/>
      <c r="B55" s="1721"/>
      <c r="C55" s="1721"/>
      <c r="D55" s="1721"/>
      <c r="E55" s="1721"/>
      <c r="F55" s="1178"/>
      <c r="G55" s="1721"/>
      <c r="H55" s="1721"/>
      <c r="I55" s="1721"/>
      <c r="J55" s="2629"/>
      <c r="K55" s="2627"/>
      <c r="L55" s="2627"/>
      <c r="M55" s="2627"/>
      <c r="N55" s="1721"/>
      <c r="O55" s="1721"/>
      <c r="P55" s="1721"/>
      <c r="Q55" s="1721"/>
      <c r="R55" s="1721"/>
    </row>
    <row r="56" spans="1:22" s="1894" customFormat="1">
      <c r="A56" s="1721"/>
      <c r="B56" s="1721"/>
      <c r="C56" s="1721"/>
      <c r="D56" s="1721"/>
      <c r="E56" s="1721"/>
      <c r="F56" s="1178"/>
      <c r="G56" s="1721"/>
      <c r="H56" s="1721"/>
      <c r="I56" s="1721"/>
      <c r="J56" s="2629"/>
      <c r="K56" s="2627"/>
      <c r="L56" s="2627"/>
      <c r="M56" s="2627"/>
      <c r="N56" s="1721"/>
      <c r="O56" s="1721"/>
      <c r="P56" s="1721"/>
      <c r="Q56" s="1721"/>
      <c r="R56" s="172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134"/>
  <sheetViews>
    <sheetView topLeftCell="A3" workbookViewId="0">
      <pane ySplit="1" topLeftCell="A4" activePane="bottomLeft" state="frozen"/>
      <selection activeCell="A3" sqref="A3"/>
      <selection pane="bottomLeft" activeCell="I23" sqref="I23:K24"/>
    </sheetView>
  </sheetViews>
  <sheetFormatPr defaultColWidth="9" defaultRowHeight="13.5"/>
  <cols>
    <col min="4" max="4" width="9" style="3322"/>
    <col min="7" max="7" width="8.125" customWidth="1"/>
    <col min="8" max="8" width="10.375" customWidth="1"/>
    <col min="9" max="9" width="13.5" style="3321" customWidth="1"/>
  </cols>
  <sheetData>
    <row r="1" spans="1:18" ht="36" hidden="1" customHeight="1" thickBot="1">
      <c r="A1" s="3525" t="s">
        <v>3275</v>
      </c>
      <c r="B1" s="3525"/>
      <c r="C1" s="3525"/>
      <c r="D1" s="3525"/>
      <c r="E1" s="3525"/>
      <c r="F1" s="3525"/>
      <c r="G1" s="3525"/>
      <c r="H1" s="3525"/>
      <c r="I1" s="3525"/>
      <c r="J1" s="3525"/>
      <c r="K1" s="3525"/>
      <c r="L1" s="3525"/>
      <c r="M1" s="3525"/>
      <c r="N1" s="3525"/>
      <c r="O1" s="3525"/>
      <c r="P1" s="3525"/>
      <c r="Q1" s="3525"/>
      <c r="R1" s="3525"/>
    </row>
    <row r="2" spans="1:18" ht="15" hidden="1" customHeight="1" thickTop="1" thickBot="1">
      <c r="A2" s="3526" t="s">
        <v>3276</v>
      </c>
      <c r="B2" s="3528" t="s">
        <v>3277</v>
      </c>
      <c r="C2" s="3528" t="s">
        <v>3278</v>
      </c>
      <c r="D2" s="3530" t="s">
        <v>3279</v>
      </c>
      <c r="E2" s="3521" t="s">
        <v>3280</v>
      </c>
      <c r="F2" s="3521" t="s">
        <v>3281</v>
      </c>
      <c r="G2" s="3521" t="s">
        <v>3282</v>
      </c>
      <c r="H2" s="3521" t="s">
        <v>3283</v>
      </c>
      <c r="I2" s="3532" t="s">
        <v>3284</v>
      </c>
      <c r="J2" s="3521" t="s">
        <v>3285</v>
      </c>
      <c r="K2" s="3521" t="s">
        <v>3286</v>
      </c>
      <c r="L2" s="3521" t="s">
        <v>3287</v>
      </c>
      <c r="M2" s="3521" t="s">
        <v>3288</v>
      </c>
      <c r="N2" s="3521" t="s">
        <v>3289</v>
      </c>
      <c r="O2" s="3523" t="s">
        <v>3290</v>
      </c>
      <c r="P2" s="3521" t="s">
        <v>3291</v>
      </c>
      <c r="Q2" s="3234" t="s">
        <v>3292</v>
      </c>
      <c r="R2" s="3521" t="s">
        <v>3293</v>
      </c>
    </row>
    <row r="3" spans="1:18" ht="24" customHeight="1" thickBot="1">
      <c r="A3" s="3527"/>
      <c r="B3" s="3529"/>
      <c r="C3" s="3529"/>
      <c r="D3" s="3531"/>
      <c r="E3" s="3522"/>
      <c r="F3" s="3522"/>
      <c r="G3" s="3522"/>
      <c r="H3" s="3522"/>
      <c r="I3" s="3533"/>
      <c r="J3" s="3522"/>
      <c r="K3" s="3522"/>
      <c r="L3" s="3522"/>
      <c r="M3" s="3522"/>
      <c r="N3" s="3522"/>
      <c r="O3" s="3524"/>
      <c r="P3" s="3522"/>
      <c r="Q3" s="3235" t="s">
        <v>3294</v>
      </c>
      <c r="R3" s="3522"/>
    </row>
    <row r="4" spans="1:18" ht="14.25" thickTop="1">
      <c r="A4" s="3236">
        <v>1</v>
      </c>
      <c r="B4" s="3236">
        <v>1</v>
      </c>
      <c r="C4" s="3236">
        <v>1</v>
      </c>
      <c r="D4" s="3237">
        <v>101</v>
      </c>
      <c r="E4" s="3238">
        <v>1</v>
      </c>
      <c r="F4" s="3239">
        <v>0</v>
      </c>
      <c r="G4" s="3239">
        <v>1</v>
      </c>
      <c r="H4" s="3237" t="s">
        <v>3295</v>
      </c>
      <c r="I4" s="3237" t="s">
        <v>3296</v>
      </c>
      <c r="J4" s="3240"/>
      <c r="K4" s="3241">
        <v>40.21</v>
      </c>
      <c r="L4" s="3239"/>
      <c r="M4" s="3239"/>
      <c r="N4" s="3507">
        <v>4.2</v>
      </c>
      <c r="O4" s="3515" t="s">
        <v>3297</v>
      </c>
      <c r="P4" s="3517" t="s">
        <v>3298</v>
      </c>
      <c r="Q4" s="3239"/>
      <c r="R4" s="3239"/>
    </row>
    <row r="5" spans="1:18">
      <c r="A5" s="3236">
        <v>2</v>
      </c>
      <c r="B5" s="3236">
        <v>1</v>
      </c>
      <c r="C5" s="3236">
        <v>1</v>
      </c>
      <c r="D5" s="3237">
        <v>102</v>
      </c>
      <c r="E5" s="3238">
        <v>1</v>
      </c>
      <c r="F5" s="3239">
        <v>0</v>
      </c>
      <c r="G5" s="3239">
        <v>1</v>
      </c>
      <c r="H5" s="3242" t="s">
        <v>3295</v>
      </c>
      <c r="I5" s="3242" t="s">
        <v>3296</v>
      </c>
      <c r="J5" s="3243"/>
      <c r="K5" s="3241">
        <v>40.21</v>
      </c>
      <c r="L5" s="3239"/>
      <c r="M5" s="3239"/>
      <c r="N5" s="3514"/>
      <c r="O5" s="3514"/>
      <c r="P5" s="3514"/>
      <c r="Q5" s="3239"/>
      <c r="R5" s="3239"/>
    </row>
    <row r="6" spans="1:18">
      <c r="A6" s="3236">
        <v>3</v>
      </c>
      <c r="B6" s="3236">
        <v>1</v>
      </c>
      <c r="C6" s="3236">
        <v>1</v>
      </c>
      <c r="D6" s="3237">
        <v>103</v>
      </c>
      <c r="E6" s="3238">
        <v>1</v>
      </c>
      <c r="F6" s="3239">
        <v>0</v>
      </c>
      <c r="G6" s="3239">
        <v>1</v>
      </c>
      <c r="H6" s="3237" t="s">
        <v>3295</v>
      </c>
      <c r="I6" s="3237" t="s">
        <v>3299</v>
      </c>
      <c r="J6" s="3240"/>
      <c r="K6" s="3241">
        <v>42.44</v>
      </c>
      <c r="L6" s="3239"/>
      <c r="M6" s="3239"/>
      <c r="N6" s="3514"/>
      <c r="O6" s="3514"/>
      <c r="P6" s="3514"/>
      <c r="Q6" s="3239"/>
      <c r="R6" s="3239"/>
    </row>
    <row r="7" spans="1:18">
      <c r="A7" s="3236">
        <v>4</v>
      </c>
      <c r="B7" s="3236">
        <v>1</v>
      </c>
      <c r="C7" s="3236">
        <v>1</v>
      </c>
      <c r="D7" s="3237">
        <v>104</v>
      </c>
      <c r="E7" s="3238">
        <v>1</v>
      </c>
      <c r="F7" s="3239">
        <v>0</v>
      </c>
      <c r="G7" s="3239">
        <v>1</v>
      </c>
      <c r="H7" s="3237" t="s">
        <v>3300</v>
      </c>
      <c r="I7" s="3237" t="s">
        <v>3296</v>
      </c>
      <c r="J7" s="3240"/>
      <c r="K7" s="3241">
        <v>40.21</v>
      </c>
      <c r="L7" s="3239"/>
      <c r="M7" s="3239"/>
      <c r="N7" s="3514"/>
      <c r="O7" s="3514"/>
      <c r="P7" s="3514"/>
      <c r="Q7" s="3239"/>
      <c r="R7" s="3239"/>
    </row>
    <row r="8" spans="1:18">
      <c r="A8" s="3236">
        <v>5</v>
      </c>
      <c r="B8" s="3236">
        <v>1</v>
      </c>
      <c r="C8" s="3236">
        <v>1</v>
      </c>
      <c r="D8" s="3237">
        <v>105</v>
      </c>
      <c r="E8" s="3238">
        <v>1</v>
      </c>
      <c r="F8" s="3239">
        <v>0</v>
      </c>
      <c r="G8" s="3239">
        <v>1</v>
      </c>
      <c r="H8" s="3237" t="s">
        <v>3300</v>
      </c>
      <c r="I8" s="3237" t="s">
        <v>3296</v>
      </c>
      <c r="J8" s="3240"/>
      <c r="K8" s="3241">
        <v>40.21</v>
      </c>
      <c r="L8" s="3239"/>
      <c r="M8" s="3239"/>
      <c r="N8" s="3514"/>
      <c r="O8" s="3514"/>
      <c r="P8" s="3514"/>
      <c r="Q8" s="3239"/>
      <c r="R8" s="3239"/>
    </row>
    <row r="9" spans="1:18" ht="14.25" thickBot="1">
      <c r="A9" s="3236">
        <v>6</v>
      </c>
      <c r="B9" s="3236">
        <v>1</v>
      </c>
      <c r="C9" s="3236">
        <v>1</v>
      </c>
      <c r="D9" s="3244">
        <v>106</v>
      </c>
      <c r="E9" s="3245">
        <v>1</v>
      </c>
      <c r="F9" s="3246">
        <v>0</v>
      </c>
      <c r="G9" s="3246">
        <v>1</v>
      </c>
      <c r="H9" s="3247" t="s">
        <v>3300</v>
      </c>
      <c r="I9" s="3248" t="s">
        <v>3301</v>
      </c>
      <c r="J9" s="3249"/>
      <c r="K9" s="3241">
        <v>39.76</v>
      </c>
      <c r="L9" s="3246"/>
      <c r="M9" s="3246"/>
      <c r="N9" s="3514"/>
      <c r="O9" s="3516"/>
      <c r="P9" s="3516"/>
      <c r="Q9" s="3250"/>
      <c r="R9" s="3250"/>
    </row>
    <row r="10" spans="1:18" s="3255" customFormat="1" ht="14.25" thickTop="1">
      <c r="A10" s="3236">
        <v>7</v>
      </c>
      <c r="B10" s="3236">
        <v>1</v>
      </c>
      <c r="C10" s="3236">
        <v>1</v>
      </c>
      <c r="D10" s="3251">
        <v>201</v>
      </c>
      <c r="E10" s="3252">
        <v>1</v>
      </c>
      <c r="F10" s="3252">
        <v>1</v>
      </c>
      <c r="G10" s="3252">
        <v>1</v>
      </c>
      <c r="H10" s="3251" t="s">
        <v>3302</v>
      </c>
      <c r="I10" s="3251" t="s">
        <v>3303</v>
      </c>
      <c r="J10" s="3253"/>
      <c r="K10" s="3254">
        <v>40.520000000000003</v>
      </c>
      <c r="L10" s="3252"/>
      <c r="M10" s="3252"/>
      <c r="N10" s="3518">
        <v>2.9</v>
      </c>
      <c r="O10" s="3509" t="s">
        <v>3297</v>
      </c>
      <c r="P10" s="3509" t="s">
        <v>3298</v>
      </c>
      <c r="Q10" s="3252"/>
      <c r="R10" s="3252"/>
    </row>
    <row r="11" spans="1:18">
      <c r="A11" s="3236">
        <v>8</v>
      </c>
      <c r="B11" s="3236">
        <v>1</v>
      </c>
      <c r="C11" s="3236">
        <v>1</v>
      </c>
      <c r="D11" s="3256">
        <v>202</v>
      </c>
      <c r="E11" s="3239">
        <v>1</v>
      </c>
      <c r="F11" s="3239">
        <v>0</v>
      </c>
      <c r="G11" s="3239">
        <v>1</v>
      </c>
      <c r="H11" s="3257" t="s">
        <v>3304</v>
      </c>
      <c r="I11" s="3237" t="s">
        <v>3305</v>
      </c>
      <c r="J11" s="3240"/>
      <c r="K11" s="3236">
        <v>31.54</v>
      </c>
      <c r="L11" s="3239"/>
      <c r="M11" s="3239"/>
      <c r="N11" s="3519"/>
      <c r="O11" s="3506"/>
      <c r="P11" s="3506"/>
      <c r="Q11" s="3239"/>
      <c r="R11" s="3239"/>
    </row>
    <row r="12" spans="1:18">
      <c r="A12" s="3236">
        <v>9</v>
      </c>
      <c r="B12" s="3236">
        <v>1</v>
      </c>
      <c r="C12" s="3236">
        <v>1</v>
      </c>
      <c r="D12" s="3237">
        <v>203</v>
      </c>
      <c r="E12" s="3239">
        <v>1</v>
      </c>
      <c r="F12" s="3239">
        <v>0</v>
      </c>
      <c r="G12" s="3239">
        <v>1</v>
      </c>
      <c r="H12" s="3257" t="s">
        <v>3304</v>
      </c>
      <c r="I12" s="3237" t="s">
        <v>3305</v>
      </c>
      <c r="J12" s="3240"/>
      <c r="K12" s="3236">
        <v>31.54</v>
      </c>
      <c r="L12" s="3239"/>
      <c r="M12" s="3239"/>
      <c r="N12" s="3519"/>
      <c r="O12" s="3506"/>
      <c r="P12" s="3506"/>
      <c r="Q12" s="3239"/>
      <c r="R12" s="3239"/>
    </row>
    <row r="13" spans="1:18">
      <c r="A13" s="3236">
        <v>10</v>
      </c>
      <c r="B13" s="3236">
        <v>1</v>
      </c>
      <c r="C13" s="3236">
        <v>1</v>
      </c>
      <c r="D13" s="3237">
        <v>204</v>
      </c>
      <c r="E13" s="3239">
        <v>1</v>
      </c>
      <c r="F13" s="3239">
        <v>0</v>
      </c>
      <c r="G13" s="3239">
        <v>1</v>
      </c>
      <c r="H13" s="3257" t="s">
        <v>3304</v>
      </c>
      <c r="I13" s="3237" t="s">
        <v>3306</v>
      </c>
      <c r="J13" s="3240"/>
      <c r="K13" s="3236">
        <v>32.26</v>
      </c>
      <c r="L13" s="3239"/>
      <c r="M13" s="3239"/>
      <c r="N13" s="3519"/>
      <c r="O13" s="3506"/>
      <c r="P13" s="3506"/>
      <c r="Q13" s="3239"/>
      <c r="R13" s="3239"/>
    </row>
    <row r="14" spans="1:18">
      <c r="A14" s="3236">
        <v>11</v>
      </c>
      <c r="B14" s="3236">
        <v>1</v>
      </c>
      <c r="C14" s="3236">
        <v>1</v>
      </c>
      <c r="D14" s="3237">
        <v>205</v>
      </c>
      <c r="E14" s="3239">
        <v>1</v>
      </c>
      <c r="F14" s="3239">
        <v>0</v>
      </c>
      <c r="G14" s="3239">
        <v>1</v>
      </c>
      <c r="H14" s="3257" t="s">
        <v>3304</v>
      </c>
      <c r="I14" s="3237" t="s">
        <v>3306</v>
      </c>
      <c r="J14" s="3240"/>
      <c r="K14" s="3236">
        <v>32.26</v>
      </c>
      <c r="L14" s="3239"/>
      <c r="M14" s="3239"/>
      <c r="N14" s="3519"/>
      <c r="O14" s="3506"/>
      <c r="P14" s="3506"/>
      <c r="Q14" s="3239"/>
      <c r="R14" s="3239"/>
    </row>
    <row r="15" spans="1:18">
      <c r="A15" s="3236">
        <v>12</v>
      </c>
      <c r="B15" s="3236">
        <v>1</v>
      </c>
      <c r="C15" s="3236">
        <v>1</v>
      </c>
      <c r="D15" s="3237">
        <v>206</v>
      </c>
      <c r="E15" s="3239">
        <v>1</v>
      </c>
      <c r="F15" s="3239">
        <v>0</v>
      </c>
      <c r="G15" s="3239">
        <v>1</v>
      </c>
      <c r="H15" s="3257" t="s">
        <v>3304</v>
      </c>
      <c r="I15" s="3237" t="s">
        <v>3305</v>
      </c>
      <c r="J15" s="3240"/>
      <c r="K15" s="3236">
        <v>31.54</v>
      </c>
      <c r="L15" s="3239"/>
      <c r="M15" s="3239"/>
      <c r="N15" s="3519"/>
      <c r="O15" s="3506"/>
      <c r="P15" s="3506"/>
      <c r="Q15" s="3239"/>
      <c r="R15" s="3239"/>
    </row>
    <row r="16" spans="1:18">
      <c r="A16" s="3236">
        <v>13</v>
      </c>
      <c r="B16" s="3236">
        <v>1</v>
      </c>
      <c r="C16" s="3236">
        <v>1</v>
      </c>
      <c r="D16" s="3237">
        <v>207</v>
      </c>
      <c r="E16" s="3239">
        <v>1</v>
      </c>
      <c r="F16" s="3239">
        <v>0</v>
      </c>
      <c r="G16" s="3239">
        <v>1</v>
      </c>
      <c r="H16" s="3257" t="s">
        <v>3304</v>
      </c>
      <c r="I16" s="3237" t="s">
        <v>3305</v>
      </c>
      <c r="J16" s="3240"/>
      <c r="K16" s="3236">
        <v>31.54</v>
      </c>
      <c r="L16" s="3239"/>
      <c r="M16" s="3239"/>
      <c r="N16" s="3519"/>
      <c r="O16" s="3506"/>
      <c r="P16" s="3506"/>
      <c r="Q16" s="3239"/>
      <c r="R16" s="3239"/>
    </row>
    <row r="17" spans="1:18">
      <c r="A17" s="3236">
        <v>14</v>
      </c>
      <c r="B17" s="3236">
        <v>1</v>
      </c>
      <c r="C17" s="3236">
        <v>1</v>
      </c>
      <c r="D17" s="3237">
        <v>208</v>
      </c>
      <c r="E17" s="3239">
        <v>1</v>
      </c>
      <c r="F17" s="3239">
        <v>0</v>
      </c>
      <c r="G17" s="3239">
        <v>1</v>
      </c>
      <c r="H17" s="3257" t="s">
        <v>3304</v>
      </c>
      <c r="I17" s="3237" t="s">
        <v>3305</v>
      </c>
      <c r="J17" s="3240"/>
      <c r="K17" s="3236">
        <v>31.54</v>
      </c>
      <c r="L17" s="3239"/>
      <c r="M17" s="3239"/>
      <c r="N17" s="3519"/>
      <c r="O17" s="3506"/>
      <c r="P17" s="3506"/>
      <c r="Q17" s="3239"/>
      <c r="R17" s="3239"/>
    </row>
    <row r="18" spans="1:18">
      <c r="A18" s="3236">
        <v>15</v>
      </c>
      <c r="B18" s="3236">
        <v>1</v>
      </c>
      <c r="C18" s="3236">
        <v>1</v>
      </c>
      <c r="D18" s="3237">
        <v>209</v>
      </c>
      <c r="E18" s="3239">
        <v>1</v>
      </c>
      <c r="F18" s="3239">
        <v>0</v>
      </c>
      <c r="G18" s="3239">
        <v>1</v>
      </c>
      <c r="H18" s="3257" t="s">
        <v>3304</v>
      </c>
      <c r="I18" s="3237" t="s">
        <v>3305</v>
      </c>
      <c r="J18" s="3240"/>
      <c r="K18" s="3236">
        <v>31.54</v>
      </c>
      <c r="L18" s="3239"/>
      <c r="M18" s="3239"/>
      <c r="N18" s="3519"/>
      <c r="O18" s="3506"/>
      <c r="P18" s="3506"/>
      <c r="Q18" s="3239"/>
      <c r="R18" s="3239"/>
    </row>
    <row r="19" spans="1:18">
      <c r="A19" s="3236">
        <v>16</v>
      </c>
      <c r="B19" s="3236">
        <v>1</v>
      </c>
      <c r="C19" s="3236">
        <v>1</v>
      </c>
      <c r="D19" s="3237">
        <v>210</v>
      </c>
      <c r="E19" s="3239">
        <v>1</v>
      </c>
      <c r="F19" s="3239">
        <v>0</v>
      </c>
      <c r="G19" s="3239">
        <v>1</v>
      </c>
      <c r="H19" s="3257" t="s">
        <v>3304</v>
      </c>
      <c r="I19" s="3237" t="s">
        <v>3305</v>
      </c>
      <c r="J19" s="3240"/>
      <c r="K19" s="3236">
        <v>31.54</v>
      </c>
      <c r="L19" s="3239"/>
      <c r="M19" s="3239"/>
      <c r="N19" s="3519"/>
      <c r="O19" s="3506"/>
      <c r="P19" s="3506"/>
      <c r="Q19" s="3239"/>
      <c r="R19" s="3239"/>
    </row>
    <row r="20" spans="1:18">
      <c r="A20" s="3236">
        <v>17</v>
      </c>
      <c r="B20" s="3236">
        <v>1</v>
      </c>
      <c r="C20" s="3236">
        <v>1</v>
      </c>
      <c r="D20" s="3237">
        <v>211</v>
      </c>
      <c r="E20" s="3239">
        <v>1</v>
      </c>
      <c r="F20" s="3239">
        <v>0</v>
      </c>
      <c r="G20" s="3239">
        <v>1</v>
      </c>
      <c r="H20" s="3257" t="s">
        <v>3304</v>
      </c>
      <c r="I20" s="3237" t="s">
        <v>3307</v>
      </c>
      <c r="J20" s="3240"/>
      <c r="K20" s="3236">
        <v>31.98</v>
      </c>
      <c r="L20" s="3239"/>
      <c r="M20" s="3239"/>
      <c r="N20" s="3519"/>
      <c r="O20" s="3506"/>
      <c r="P20" s="3506"/>
      <c r="Q20" s="3239"/>
      <c r="R20" s="3239"/>
    </row>
    <row r="21" spans="1:18">
      <c r="A21" s="3236">
        <v>18</v>
      </c>
      <c r="B21" s="3236">
        <v>1</v>
      </c>
      <c r="C21" s="3236">
        <v>1</v>
      </c>
      <c r="D21" s="3237">
        <v>212</v>
      </c>
      <c r="E21" s="3239">
        <v>1</v>
      </c>
      <c r="F21" s="3239">
        <v>1</v>
      </c>
      <c r="G21" s="3239">
        <v>1</v>
      </c>
      <c r="H21" s="3257" t="s">
        <v>3304</v>
      </c>
      <c r="I21" s="3237" t="s">
        <v>3308</v>
      </c>
      <c r="J21" s="3240"/>
      <c r="K21" s="3236">
        <v>39.869999999999997</v>
      </c>
      <c r="L21" s="3239"/>
      <c r="M21" s="3239"/>
      <c r="N21" s="3519"/>
      <c r="O21" s="3506"/>
      <c r="P21" s="3506"/>
      <c r="Q21" s="3239"/>
      <c r="R21" s="3239"/>
    </row>
    <row r="22" spans="1:18">
      <c r="A22" s="3236">
        <v>19</v>
      </c>
      <c r="B22" s="3236">
        <v>1</v>
      </c>
      <c r="C22" s="3236">
        <v>1</v>
      </c>
      <c r="D22" s="3237">
        <v>213</v>
      </c>
      <c r="E22" s="3239">
        <v>1</v>
      </c>
      <c r="F22" s="3239">
        <v>1</v>
      </c>
      <c r="G22" s="3239">
        <v>1</v>
      </c>
      <c r="H22" s="3257" t="s">
        <v>3304</v>
      </c>
      <c r="I22" s="3257" t="s">
        <v>3309</v>
      </c>
      <c r="J22" s="3240"/>
      <c r="K22" s="3258">
        <v>39.96</v>
      </c>
      <c r="L22" s="3239"/>
      <c r="M22" s="3239"/>
      <c r="N22" s="3519"/>
      <c r="O22" s="3506"/>
      <c r="P22" s="3506"/>
      <c r="Q22" s="3239"/>
      <c r="R22" s="3239"/>
    </row>
    <row r="23" spans="1:18">
      <c r="A23" s="3236">
        <v>20</v>
      </c>
      <c r="B23" s="3236">
        <v>1</v>
      </c>
      <c r="C23" s="3236">
        <v>1</v>
      </c>
      <c r="D23" s="3237">
        <v>214</v>
      </c>
      <c r="E23" s="3239">
        <v>1</v>
      </c>
      <c r="F23" s="3239">
        <v>1</v>
      </c>
      <c r="G23" s="3239">
        <v>1</v>
      </c>
      <c r="H23" s="3237" t="s">
        <v>3310</v>
      </c>
      <c r="I23" s="3237" t="s">
        <v>3311</v>
      </c>
      <c r="J23" s="3240"/>
      <c r="K23" s="3258">
        <v>38.54</v>
      </c>
      <c r="L23" s="3239"/>
      <c r="M23" s="3239"/>
      <c r="N23" s="3519"/>
      <c r="O23" s="3506"/>
      <c r="P23" s="3506"/>
      <c r="Q23" s="3239"/>
      <c r="R23" s="3239"/>
    </row>
    <row r="24" spans="1:18">
      <c r="A24" s="3236">
        <v>21</v>
      </c>
      <c r="B24" s="3236">
        <v>1</v>
      </c>
      <c r="C24" s="3236">
        <v>1</v>
      </c>
      <c r="D24" s="3237">
        <v>215</v>
      </c>
      <c r="E24" s="3239">
        <v>2</v>
      </c>
      <c r="F24" s="3239">
        <v>1</v>
      </c>
      <c r="G24" s="3239">
        <v>1</v>
      </c>
      <c r="H24" s="3257" t="s">
        <v>3312</v>
      </c>
      <c r="I24" s="3237" t="s">
        <v>3313</v>
      </c>
      <c r="J24" s="3240"/>
      <c r="K24" s="3258">
        <v>67.27</v>
      </c>
      <c r="L24" s="3239"/>
      <c r="M24" s="3239"/>
      <c r="N24" s="3519"/>
      <c r="O24" s="3506"/>
      <c r="P24" s="3506"/>
      <c r="Q24" s="3239"/>
      <c r="R24" s="3239"/>
    </row>
    <row r="25" spans="1:18">
      <c r="A25" s="3236">
        <v>22</v>
      </c>
      <c r="B25" s="3236">
        <v>1</v>
      </c>
      <c r="C25" s="3236">
        <v>1</v>
      </c>
      <c r="D25" s="3237">
        <v>216</v>
      </c>
      <c r="E25" s="3239">
        <v>1</v>
      </c>
      <c r="F25" s="3239">
        <v>1</v>
      </c>
      <c r="G25" s="3239">
        <v>1</v>
      </c>
      <c r="H25" s="3257" t="s">
        <v>3312</v>
      </c>
      <c r="I25" s="3237" t="s">
        <v>3314</v>
      </c>
      <c r="J25" s="3240"/>
      <c r="K25" s="3236">
        <v>39.97</v>
      </c>
      <c r="L25" s="3239"/>
      <c r="M25" s="3239"/>
      <c r="N25" s="3519"/>
      <c r="O25" s="3506"/>
      <c r="P25" s="3506"/>
      <c r="Q25" s="3239"/>
      <c r="R25" s="3239"/>
    </row>
    <row r="26" spans="1:18">
      <c r="A26" s="3236">
        <v>23</v>
      </c>
      <c r="B26" s="3236">
        <v>1</v>
      </c>
      <c r="C26" s="3236">
        <v>1</v>
      </c>
      <c r="D26" s="3237">
        <v>217</v>
      </c>
      <c r="E26" s="3239">
        <v>1</v>
      </c>
      <c r="F26" s="3239">
        <v>1</v>
      </c>
      <c r="G26" s="3239">
        <v>1</v>
      </c>
      <c r="H26" s="3257" t="s">
        <v>3312</v>
      </c>
      <c r="I26" s="3237">
        <v>50</v>
      </c>
      <c r="J26" s="3240"/>
      <c r="K26" s="3236">
        <v>40.32</v>
      </c>
      <c r="L26" s="3239"/>
      <c r="M26" s="3239"/>
      <c r="N26" s="3519"/>
      <c r="O26" s="3506"/>
      <c r="P26" s="3506"/>
      <c r="Q26" s="3239"/>
      <c r="R26" s="3239"/>
    </row>
    <row r="27" spans="1:18">
      <c r="A27" s="3236">
        <v>24</v>
      </c>
      <c r="B27" s="3236">
        <v>1</v>
      </c>
      <c r="C27" s="3236">
        <v>1</v>
      </c>
      <c r="D27" s="3237">
        <v>218</v>
      </c>
      <c r="E27" s="3239">
        <v>1</v>
      </c>
      <c r="F27" s="3239">
        <v>1</v>
      </c>
      <c r="G27" s="3239">
        <v>1</v>
      </c>
      <c r="H27" s="3257" t="s">
        <v>3312</v>
      </c>
      <c r="I27" s="3237">
        <v>50</v>
      </c>
      <c r="J27" s="3240"/>
      <c r="K27" s="3236">
        <v>40.32</v>
      </c>
      <c r="L27" s="3239"/>
      <c r="M27" s="3239"/>
      <c r="N27" s="3519"/>
      <c r="O27" s="3506"/>
      <c r="P27" s="3506"/>
      <c r="Q27" s="3239"/>
      <c r="R27" s="3239"/>
    </row>
    <row r="28" spans="1:18">
      <c r="A28" s="3236">
        <v>25</v>
      </c>
      <c r="B28" s="3236">
        <v>1</v>
      </c>
      <c r="C28" s="3236">
        <v>1</v>
      </c>
      <c r="D28" s="3237">
        <v>219</v>
      </c>
      <c r="E28" s="3239">
        <v>1</v>
      </c>
      <c r="F28" s="3239">
        <v>1</v>
      </c>
      <c r="G28" s="3239">
        <v>1</v>
      </c>
      <c r="H28" s="3257" t="s">
        <v>3312</v>
      </c>
      <c r="I28" s="3237" t="s">
        <v>3308</v>
      </c>
      <c r="J28" s="3240"/>
      <c r="K28" s="3236">
        <v>39.869999999999997</v>
      </c>
      <c r="L28" s="3239"/>
      <c r="M28" s="3239"/>
      <c r="N28" s="3519"/>
      <c r="O28" s="3506"/>
      <c r="P28" s="3506"/>
      <c r="Q28" s="3239"/>
      <c r="R28" s="3239"/>
    </row>
    <row r="29" spans="1:18">
      <c r="A29" s="3236">
        <v>26</v>
      </c>
      <c r="B29" s="3236">
        <v>1</v>
      </c>
      <c r="C29" s="3236">
        <v>1</v>
      </c>
      <c r="D29" s="3237">
        <v>220</v>
      </c>
      <c r="E29" s="3239">
        <v>1</v>
      </c>
      <c r="F29" s="3239">
        <v>1</v>
      </c>
      <c r="G29" s="3239">
        <v>1</v>
      </c>
      <c r="H29" s="3257" t="s">
        <v>3312</v>
      </c>
      <c r="I29" s="3257" t="s">
        <v>3315</v>
      </c>
      <c r="J29" s="3240"/>
      <c r="K29" s="3258">
        <v>41.22</v>
      </c>
      <c r="L29" s="3239"/>
      <c r="M29" s="3239"/>
      <c r="N29" s="3519"/>
      <c r="O29" s="3506"/>
      <c r="P29" s="3506"/>
      <c r="Q29" s="3239"/>
      <c r="R29" s="3239"/>
    </row>
    <row r="30" spans="1:18">
      <c r="A30" s="3236">
        <v>27</v>
      </c>
      <c r="B30" s="3236">
        <v>1</v>
      </c>
      <c r="C30" s="3236">
        <v>1</v>
      </c>
      <c r="D30" s="3237">
        <v>221</v>
      </c>
      <c r="E30" s="3239">
        <v>4</v>
      </c>
      <c r="F30" s="3239">
        <v>1</v>
      </c>
      <c r="G30" s="3239">
        <v>1</v>
      </c>
      <c r="H30" s="3237" t="s">
        <v>3316</v>
      </c>
      <c r="I30" s="3237" t="s">
        <v>3317</v>
      </c>
      <c r="J30" s="3240"/>
      <c r="K30" s="3258">
        <v>75.8</v>
      </c>
      <c r="L30" s="3239"/>
      <c r="M30" s="3239"/>
      <c r="N30" s="3519"/>
      <c r="O30" s="3506"/>
      <c r="P30" s="3506"/>
      <c r="Q30" s="3239"/>
      <c r="R30" s="3239"/>
    </row>
    <row r="31" spans="1:18">
      <c r="A31" s="3236">
        <v>28</v>
      </c>
      <c r="B31" s="3236">
        <v>1</v>
      </c>
      <c r="C31" s="3236">
        <v>1</v>
      </c>
      <c r="D31" s="3237">
        <v>222</v>
      </c>
      <c r="E31" s="3239">
        <v>4</v>
      </c>
      <c r="F31" s="3239">
        <v>1</v>
      </c>
      <c r="G31" s="3239">
        <v>1</v>
      </c>
      <c r="H31" s="3237" t="s">
        <v>3318</v>
      </c>
      <c r="I31" s="3237" t="s">
        <v>3319</v>
      </c>
      <c r="J31" s="3240"/>
      <c r="K31" s="3258">
        <v>75.8</v>
      </c>
      <c r="L31" s="3239"/>
      <c r="M31" s="3239"/>
      <c r="N31" s="3519"/>
      <c r="O31" s="3506"/>
      <c r="P31" s="3506"/>
      <c r="Q31" s="3239"/>
      <c r="R31" s="3239"/>
    </row>
    <row r="32" spans="1:18">
      <c r="A32" s="3236">
        <v>29</v>
      </c>
      <c r="B32" s="3236">
        <v>1</v>
      </c>
      <c r="C32" s="3236">
        <v>1</v>
      </c>
      <c r="D32" s="3237">
        <v>223</v>
      </c>
      <c r="E32" s="3239">
        <v>1</v>
      </c>
      <c r="F32" s="3239">
        <v>1</v>
      </c>
      <c r="G32" s="3239">
        <v>1</v>
      </c>
      <c r="H32" s="3237" t="s">
        <v>3300</v>
      </c>
      <c r="I32" s="3237" t="s">
        <v>3308</v>
      </c>
      <c r="J32" s="3240"/>
      <c r="K32" s="3236">
        <v>39.869999999999997</v>
      </c>
      <c r="L32" s="3239"/>
      <c r="M32" s="3239"/>
      <c r="N32" s="3519"/>
      <c r="O32" s="3506"/>
      <c r="P32" s="3506"/>
      <c r="Q32" s="3239"/>
      <c r="R32" s="3239"/>
    </row>
    <row r="33" spans="1:18">
      <c r="A33" s="3236">
        <v>30</v>
      </c>
      <c r="B33" s="3236">
        <v>1</v>
      </c>
      <c r="C33" s="3236">
        <v>1</v>
      </c>
      <c r="D33" s="3237">
        <v>224</v>
      </c>
      <c r="E33" s="3239">
        <v>1</v>
      </c>
      <c r="F33" s="3239">
        <v>1</v>
      </c>
      <c r="G33" s="3239">
        <v>1</v>
      </c>
      <c r="H33" s="3237" t="s">
        <v>3300</v>
      </c>
      <c r="I33" s="3237">
        <v>50</v>
      </c>
      <c r="J33" s="3240"/>
      <c r="K33" s="3236">
        <v>40.32</v>
      </c>
      <c r="L33" s="3239"/>
      <c r="M33" s="3239"/>
      <c r="N33" s="3519"/>
      <c r="O33" s="3506"/>
      <c r="P33" s="3506"/>
      <c r="Q33" s="3239"/>
      <c r="R33" s="3239"/>
    </row>
    <row r="34" spans="1:18">
      <c r="A34" s="3236">
        <v>31</v>
      </c>
      <c r="B34" s="3236">
        <v>1</v>
      </c>
      <c r="C34" s="3236">
        <v>1</v>
      </c>
      <c r="D34" s="3237">
        <v>225</v>
      </c>
      <c r="E34" s="3239">
        <v>1</v>
      </c>
      <c r="F34" s="3239">
        <v>1</v>
      </c>
      <c r="G34" s="3239">
        <v>1</v>
      </c>
      <c r="H34" s="3237" t="s">
        <v>3300</v>
      </c>
      <c r="I34" s="3237" t="s">
        <v>3320</v>
      </c>
      <c r="J34" s="3240"/>
      <c r="K34" s="3236">
        <v>40.42</v>
      </c>
      <c r="L34" s="3239"/>
      <c r="M34" s="3239"/>
      <c r="N34" s="3519"/>
      <c r="O34" s="3506"/>
      <c r="P34" s="3506"/>
      <c r="Q34" s="3239"/>
      <c r="R34" s="3239"/>
    </row>
    <row r="35" spans="1:18">
      <c r="A35" s="3236">
        <v>32</v>
      </c>
      <c r="B35" s="3236">
        <v>1</v>
      </c>
      <c r="C35" s="3236">
        <v>1</v>
      </c>
      <c r="D35" s="3237">
        <v>226</v>
      </c>
      <c r="E35" s="3239">
        <v>1</v>
      </c>
      <c r="F35" s="3239">
        <v>1</v>
      </c>
      <c r="G35" s="3239">
        <v>1</v>
      </c>
      <c r="H35" s="3237" t="s">
        <v>3295</v>
      </c>
      <c r="I35" s="3237" t="s">
        <v>3321</v>
      </c>
      <c r="J35" s="3240"/>
      <c r="K35" s="3236">
        <v>42.56</v>
      </c>
      <c r="L35" s="3239"/>
      <c r="M35" s="3239"/>
      <c r="N35" s="3519"/>
      <c r="O35" s="3506"/>
      <c r="P35" s="3506"/>
      <c r="Q35" s="3239"/>
      <c r="R35" s="3239"/>
    </row>
    <row r="36" spans="1:18">
      <c r="A36" s="3236">
        <v>33</v>
      </c>
      <c r="B36" s="3236">
        <v>1</v>
      </c>
      <c r="C36" s="3236">
        <v>1</v>
      </c>
      <c r="D36" s="3237">
        <v>227</v>
      </c>
      <c r="E36" s="3239">
        <v>1</v>
      </c>
      <c r="F36" s="3239">
        <v>1</v>
      </c>
      <c r="G36" s="3239">
        <v>1</v>
      </c>
      <c r="H36" s="3237" t="s">
        <v>3295</v>
      </c>
      <c r="I36" s="3237">
        <v>50</v>
      </c>
      <c r="J36" s="3240"/>
      <c r="K36" s="3236">
        <v>40.32</v>
      </c>
      <c r="L36" s="3239"/>
      <c r="M36" s="3239"/>
      <c r="N36" s="3519"/>
      <c r="O36" s="3506"/>
      <c r="P36" s="3506"/>
      <c r="Q36" s="3239"/>
      <c r="R36" s="3239"/>
    </row>
    <row r="37" spans="1:18">
      <c r="A37" s="3236">
        <v>34</v>
      </c>
      <c r="B37" s="3236">
        <v>1</v>
      </c>
      <c r="C37" s="3236">
        <v>1</v>
      </c>
      <c r="D37" s="3237">
        <v>228</v>
      </c>
      <c r="E37" s="3239">
        <v>1</v>
      </c>
      <c r="F37" s="3239">
        <v>1</v>
      </c>
      <c r="G37" s="3239">
        <v>1</v>
      </c>
      <c r="H37" s="3237" t="s">
        <v>3295</v>
      </c>
      <c r="I37" s="3237">
        <v>50</v>
      </c>
      <c r="J37" s="3240"/>
      <c r="K37" s="3236">
        <v>40.32</v>
      </c>
      <c r="L37" s="3239"/>
      <c r="M37" s="3239"/>
      <c r="N37" s="3519"/>
      <c r="O37" s="3506"/>
      <c r="P37" s="3506"/>
      <c r="Q37" s="3239"/>
      <c r="R37" s="3239"/>
    </row>
    <row r="38" spans="1:18">
      <c r="A38" s="3236">
        <v>35</v>
      </c>
      <c r="B38" s="3236">
        <v>1</v>
      </c>
      <c r="C38" s="3236">
        <v>1</v>
      </c>
      <c r="D38" s="3237">
        <v>229</v>
      </c>
      <c r="E38" s="3239">
        <v>1</v>
      </c>
      <c r="F38" s="3239">
        <v>1</v>
      </c>
      <c r="G38" s="3239">
        <v>1</v>
      </c>
      <c r="H38" s="3237" t="s">
        <v>3295</v>
      </c>
      <c r="I38" s="3237">
        <v>50</v>
      </c>
      <c r="J38" s="3240"/>
      <c r="K38" s="3236">
        <v>40.32</v>
      </c>
      <c r="L38" s="3239"/>
      <c r="M38" s="3239"/>
      <c r="N38" s="3519"/>
      <c r="O38" s="3506"/>
      <c r="P38" s="3506"/>
      <c r="Q38" s="3239"/>
      <c r="R38" s="3239"/>
    </row>
    <row r="39" spans="1:18">
      <c r="A39" s="3236">
        <v>36</v>
      </c>
      <c r="B39" s="3236">
        <v>1</v>
      </c>
      <c r="C39" s="3236">
        <v>1</v>
      </c>
      <c r="D39" s="3237">
        <v>230</v>
      </c>
      <c r="E39" s="3239">
        <v>1</v>
      </c>
      <c r="F39" s="3239">
        <v>1</v>
      </c>
      <c r="G39" s="3239">
        <v>1</v>
      </c>
      <c r="H39" s="3237" t="s">
        <v>3295</v>
      </c>
      <c r="I39" s="3237">
        <v>50</v>
      </c>
      <c r="J39" s="3240"/>
      <c r="K39" s="3236">
        <v>40.32</v>
      </c>
      <c r="L39" s="3239"/>
      <c r="M39" s="3239"/>
      <c r="N39" s="3519"/>
      <c r="O39" s="3506"/>
      <c r="P39" s="3506"/>
      <c r="Q39" s="3239"/>
      <c r="R39" s="3239"/>
    </row>
    <row r="40" spans="1:18">
      <c r="A40" s="3236">
        <v>37</v>
      </c>
      <c r="B40" s="3236">
        <v>1</v>
      </c>
      <c r="C40" s="3236">
        <v>1</v>
      </c>
      <c r="D40" s="3237">
        <v>231</v>
      </c>
      <c r="E40" s="3239">
        <v>1</v>
      </c>
      <c r="F40" s="3239">
        <v>1</v>
      </c>
      <c r="G40" s="3239">
        <v>1</v>
      </c>
      <c r="H40" s="3237" t="s">
        <v>3295</v>
      </c>
      <c r="I40" s="3237">
        <v>50</v>
      </c>
      <c r="J40" s="3240"/>
      <c r="K40" s="3236">
        <v>40.32</v>
      </c>
      <c r="L40" s="3239"/>
      <c r="M40" s="3239"/>
      <c r="N40" s="3519"/>
      <c r="O40" s="3506"/>
      <c r="P40" s="3506"/>
      <c r="Q40" s="3239"/>
      <c r="R40" s="3239"/>
    </row>
    <row r="41" spans="1:18">
      <c r="A41" s="3236">
        <v>38</v>
      </c>
      <c r="B41" s="3236">
        <v>1</v>
      </c>
      <c r="C41" s="3236">
        <v>1</v>
      </c>
      <c r="D41" s="3237">
        <v>232</v>
      </c>
      <c r="E41" s="3239">
        <v>1</v>
      </c>
      <c r="F41" s="3239">
        <v>1</v>
      </c>
      <c r="G41" s="3239">
        <v>1</v>
      </c>
      <c r="H41" s="3237" t="s">
        <v>3295</v>
      </c>
      <c r="I41" s="3237">
        <v>50</v>
      </c>
      <c r="J41" s="3240"/>
      <c r="K41" s="3236">
        <v>40.32</v>
      </c>
      <c r="L41" s="3239"/>
      <c r="M41" s="3239"/>
      <c r="N41" s="3519"/>
      <c r="O41" s="3506"/>
      <c r="P41" s="3506"/>
      <c r="Q41" s="3239"/>
      <c r="R41" s="3239"/>
    </row>
    <row r="42" spans="1:18">
      <c r="A42" s="3236">
        <v>39</v>
      </c>
      <c r="B42" s="3236">
        <v>1</v>
      </c>
      <c r="C42" s="3236">
        <v>1</v>
      </c>
      <c r="D42" s="3237">
        <v>233</v>
      </c>
      <c r="E42" s="3239">
        <v>1</v>
      </c>
      <c r="F42" s="3239">
        <v>1</v>
      </c>
      <c r="G42" s="3239">
        <v>1</v>
      </c>
      <c r="H42" s="3237" t="s">
        <v>3295</v>
      </c>
      <c r="I42" s="3237">
        <v>50</v>
      </c>
      <c r="J42" s="3240"/>
      <c r="K42" s="3236">
        <v>40.32</v>
      </c>
      <c r="L42" s="3239"/>
      <c r="M42" s="3239"/>
      <c r="N42" s="3519"/>
      <c r="O42" s="3506"/>
      <c r="P42" s="3506"/>
      <c r="Q42" s="3239"/>
      <c r="R42" s="3239"/>
    </row>
    <row r="43" spans="1:18">
      <c r="A43" s="3236">
        <v>40</v>
      </c>
      <c r="B43" s="3236">
        <v>1</v>
      </c>
      <c r="C43" s="3236">
        <v>1</v>
      </c>
      <c r="D43" s="3237">
        <v>234</v>
      </c>
      <c r="E43" s="3239">
        <v>1</v>
      </c>
      <c r="F43" s="3239">
        <v>1</v>
      </c>
      <c r="G43" s="3239">
        <v>1</v>
      </c>
      <c r="H43" s="3237" t="s">
        <v>3295</v>
      </c>
      <c r="I43" s="3237">
        <v>50</v>
      </c>
      <c r="J43" s="3240"/>
      <c r="K43" s="3236">
        <v>40.32</v>
      </c>
      <c r="L43" s="3239"/>
      <c r="M43" s="3239"/>
      <c r="N43" s="3519"/>
      <c r="O43" s="3506"/>
      <c r="P43" s="3506"/>
      <c r="Q43" s="3239"/>
      <c r="R43" s="3239"/>
    </row>
    <row r="44" spans="1:18">
      <c r="A44" s="3236">
        <v>41</v>
      </c>
      <c r="B44" s="3236">
        <v>1</v>
      </c>
      <c r="C44" s="3236">
        <v>1</v>
      </c>
      <c r="D44" s="3237">
        <v>235</v>
      </c>
      <c r="E44" s="3239">
        <v>1</v>
      </c>
      <c r="F44" s="3239">
        <v>1</v>
      </c>
      <c r="G44" s="3239">
        <v>1</v>
      </c>
      <c r="H44" s="3237" t="s">
        <v>3295</v>
      </c>
      <c r="I44" s="3237">
        <v>50</v>
      </c>
      <c r="J44" s="3240"/>
      <c r="K44" s="3236">
        <v>40.32</v>
      </c>
      <c r="L44" s="3239"/>
      <c r="M44" s="3239"/>
      <c r="N44" s="3519"/>
      <c r="O44" s="3506"/>
      <c r="P44" s="3506"/>
      <c r="Q44" s="3239"/>
      <c r="R44" s="3239"/>
    </row>
    <row r="45" spans="1:18">
      <c r="A45" s="3236">
        <v>42</v>
      </c>
      <c r="B45" s="3236">
        <v>1</v>
      </c>
      <c r="C45" s="3236">
        <v>1</v>
      </c>
      <c r="D45" s="3237">
        <v>236</v>
      </c>
      <c r="E45" s="3239">
        <v>1</v>
      </c>
      <c r="F45" s="3239">
        <v>1</v>
      </c>
      <c r="G45" s="3239">
        <v>1</v>
      </c>
      <c r="H45" s="3237" t="s">
        <v>3295</v>
      </c>
      <c r="I45" s="3237">
        <v>50</v>
      </c>
      <c r="J45" s="3240"/>
      <c r="K45" s="3236">
        <v>40.32</v>
      </c>
      <c r="L45" s="3239"/>
      <c r="M45" s="3239"/>
      <c r="N45" s="3519"/>
      <c r="O45" s="3506"/>
      <c r="P45" s="3506"/>
      <c r="Q45" s="3239"/>
      <c r="R45" s="3239"/>
    </row>
    <row r="46" spans="1:18">
      <c r="A46" s="3236">
        <v>43</v>
      </c>
      <c r="B46" s="3236">
        <v>1</v>
      </c>
      <c r="C46" s="3236">
        <v>1</v>
      </c>
      <c r="D46" s="3237">
        <v>237</v>
      </c>
      <c r="E46" s="3239">
        <v>1</v>
      </c>
      <c r="F46" s="3239">
        <v>0</v>
      </c>
      <c r="G46" s="3239">
        <v>1</v>
      </c>
      <c r="H46" s="3237" t="s">
        <v>3295</v>
      </c>
      <c r="I46" s="3257" t="s">
        <v>3322</v>
      </c>
      <c r="J46" s="3240"/>
      <c r="K46" s="3236">
        <v>34.5</v>
      </c>
      <c r="L46" s="3239"/>
      <c r="M46" s="3239"/>
      <c r="N46" s="3519"/>
      <c r="O46" s="3506"/>
      <c r="P46" s="3506"/>
      <c r="Q46" s="3239"/>
      <c r="R46" s="3239"/>
    </row>
    <row r="47" spans="1:18">
      <c r="A47" s="3236">
        <v>44</v>
      </c>
      <c r="B47" s="3236">
        <v>1</v>
      </c>
      <c r="C47" s="3236">
        <v>1</v>
      </c>
      <c r="D47" s="3237">
        <v>238</v>
      </c>
      <c r="E47" s="3239">
        <v>1</v>
      </c>
      <c r="F47" s="3239">
        <v>0</v>
      </c>
      <c r="G47" s="3239">
        <v>1</v>
      </c>
      <c r="H47" s="3237" t="s">
        <v>3295</v>
      </c>
      <c r="I47" s="3237">
        <v>40</v>
      </c>
      <c r="J47" s="3240"/>
      <c r="K47" s="3236">
        <v>35.26</v>
      </c>
      <c r="L47" s="3239"/>
      <c r="M47" s="3239"/>
      <c r="N47" s="3519"/>
      <c r="O47" s="3506"/>
      <c r="P47" s="3506"/>
      <c r="Q47" s="3239"/>
      <c r="R47" s="3239"/>
    </row>
    <row r="48" spans="1:18" ht="14.25" thickBot="1">
      <c r="A48" s="3236">
        <v>45</v>
      </c>
      <c r="B48" s="3236">
        <v>1</v>
      </c>
      <c r="C48" s="3236">
        <v>1</v>
      </c>
      <c r="D48" s="3244">
        <v>239</v>
      </c>
      <c r="E48" s="3246">
        <v>1</v>
      </c>
      <c r="F48" s="3246">
        <v>0</v>
      </c>
      <c r="G48" s="3246">
        <v>1</v>
      </c>
      <c r="H48" s="3244" t="s">
        <v>3300</v>
      </c>
      <c r="I48" s="3244" t="s">
        <v>3323</v>
      </c>
      <c r="J48" s="3259"/>
      <c r="K48" s="3260">
        <v>32.42</v>
      </c>
      <c r="L48" s="3246"/>
      <c r="M48" s="3246"/>
      <c r="N48" s="3520"/>
      <c r="O48" s="3512"/>
      <c r="P48" s="3512"/>
      <c r="Q48" s="3250"/>
      <c r="R48" s="3250"/>
    </row>
    <row r="49" spans="1:18" ht="14.25" thickTop="1">
      <c r="A49" s="3236">
        <v>46</v>
      </c>
      <c r="B49" s="3236">
        <v>1</v>
      </c>
      <c r="C49" s="3236">
        <v>1</v>
      </c>
      <c r="D49" s="3251">
        <v>301</v>
      </c>
      <c r="E49" s="3252">
        <v>1</v>
      </c>
      <c r="F49" s="3252">
        <v>1</v>
      </c>
      <c r="G49" s="3252">
        <v>1</v>
      </c>
      <c r="H49" s="3251" t="s">
        <v>3302</v>
      </c>
      <c r="I49" s="3251" t="s">
        <v>3303</v>
      </c>
      <c r="J49" s="3253"/>
      <c r="K49" s="3254">
        <v>40.520000000000003</v>
      </c>
      <c r="L49" s="3252"/>
      <c r="M49" s="3252"/>
      <c r="N49" s="3505">
        <v>2.9</v>
      </c>
      <c r="O49" s="3508" t="s">
        <v>3297</v>
      </c>
      <c r="P49" s="3508" t="s">
        <v>3298</v>
      </c>
      <c r="Q49" s="3261"/>
      <c r="R49" s="3261"/>
    </row>
    <row r="50" spans="1:18">
      <c r="A50" s="3236">
        <v>47</v>
      </c>
      <c r="B50" s="3236">
        <v>1</v>
      </c>
      <c r="C50" s="3236">
        <v>1</v>
      </c>
      <c r="D50" s="3256">
        <v>302</v>
      </c>
      <c r="E50" s="3261">
        <v>1</v>
      </c>
      <c r="F50" s="3261">
        <v>0</v>
      </c>
      <c r="G50" s="3261">
        <v>1</v>
      </c>
      <c r="H50" s="3262" t="s">
        <v>3304</v>
      </c>
      <c r="I50" s="3256" t="s">
        <v>3305</v>
      </c>
      <c r="J50" s="3263"/>
      <c r="K50" s="3264">
        <v>31.54</v>
      </c>
      <c r="L50" s="3261"/>
      <c r="M50" s="3261"/>
      <c r="N50" s="3506"/>
      <c r="O50" s="3506"/>
      <c r="P50" s="3506"/>
      <c r="Q50" s="3239"/>
      <c r="R50" s="3239"/>
    </row>
    <row r="51" spans="1:18">
      <c r="A51" s="3236">
        <v>48</v>
      </c>
      <c r="B51" s="3236">
        <v>1</v>
      </c>
      <c r="C51" s="3236">
        <v>1</v>
      </c>
      <c r="D51" s="3237">
        <v>303</v>
      </c>
      <c r="E51" s="3239">
        <v>1</v>
      </c>
      <c r="F51" s="3239">
        <v>0</v>
      </c>
      <c r="G51" s="3239">
        <v>1</v>
      </c>
      <c r="H51" s="3257" t="s">
        <v>3304</v>
      </c>
      <c r="I51" s="3237" t="s">
        <v>3305</v>
      </c>
      <c r="J51" s="3240"/>
      <c r="K51" s="3236">
        <v>31.54</v>
      </c>
      <c r="L51" s="3239"/>
      <c r="M51" s="3239"/>
      <c r="N51" s="3506"/>
      <c r="O51" s="3506"/>
      <c r="P51" s="3506"/>
      <c r="Q51" s="3239"/>
      <c r="R51" s="3239"/>
    </row>
    <row r="52" spans="1:18">
      <c r="A52" s="3236">
        <v>49</v>
      </c>
      <c r="B52" s="3236">
        <v>1</v>
      </c>
      <c r="C52" s="3236">
        <v>1</v>
      </c>
      <c r="D52" s="3237">
        <v>304</v>
      </c>
      <c r="E52" s="3239">
        <v>1</v>
      </c>
      <c r="F52" s="3239">
        <v>0</v>
      </c>
      <c r="G52" s="3239">
        <v>1</v>
      </c>
      <c r="H52" s="3257" t="s">
        <v>3304</v>
      </c>
      <c r="I52" s="3237" t="s">
        <v>3306</v>
      </c>
      <c r="J52" s="3240"/>
      <c r="K52" s="3236">
        <v>32.26</v>
      </c>
      <c r="L52" s="3239"/>
      <c r="M52" s="3239"/>
      <c r="N52" s="3506"/>
      <c r="O52" s="3506"/>
      <c r="P52" s="3506"/>
      <c r="Q52" s="3239"/>
      <c r="R52" s="3239"/>
    </row>
    <row r="53" spans="1:18">
      <c r="A53" s="3236">
        <v>50</v>
      </c>
      <c r="B53" s="3236">
        <v>1</v>
      </c>
      <c r="C53" s="3236">
        <v>1</v>
      </c>
      <c r="D53" s="3237">
        <v>305</v>
      </c>
      <c r="E53" s="3239">
        <v>1</v>
      </c>
      <c r="F53" s="3239">
        <v>0</v>
      </c>
      <c r="G53" s="3239">
        <v>1</v>
      </c>
      <c r="H53" s="3257" t="s">
        <v>3304</v>
      </c>
      <c r="I53" s="3237" t="s">
        <v>3306</v>
      </c>
      <c r="J53" s="3240"/>
      <c r="K53" s="3236">
        <v>32.26</v>
      </c>
      <c r="L53" s="3239"/>
      <c r="M53" s="3239"/>
      <c r="N53" s="3506"/>
      <c r="O53" s="3506"/>
      <c r="P53" s="3506"/>
      <c r="Q53" s="3239"/>
      <c r="R53" s="3239"/>
    </row>
    <row r="54" spans="1:18">
      <c r="A54" s="3236">
        <v>51</v>
      </c>
      <c r="B54" s="3236">
        <v>1</v>
      </c>
      <c r="C54" s="3236">
        <v>1</v>
      </c>
      <c r="D54" s="3237">
        <v>306</v>
      </c>
      <c r="E54" s="3239">
        <v>1</v>
      </c>
      <c r="F54" s="3239">
        <v>0</v>
      </c>
      <c r="G54" s="3239">
        <v>1</v>
      </c>
      <c r="H54" s="3257" t="s">
        <v>3304</v>
      </c>
      <c r="I54" s="3237" t="s">
        <v>3305</v>
      </c>
      <c r="J54" s="3240"/>
      <c r="K54" s="3236">
        <v>31.54</v>
      </c>
      <c r="L54" s="3239"/>
      <c r="M54" s="3239"/>
      <c r="N54" s="3506"/>
      <c r="O54" s="3506"/>
      <c r="P54" s="3506"/>
      <c r="Q54" s="3239"/>
      <c r="R54" s="3239"/>
    </row>
    <row r="55" spans="1:18">
      <c r="A55" s="3236">
        <v>52</v>
      </c>
      <c r="B55" s="3236">
        <v>1</v>
      </c>
      <c r="C55" s="3236">
        <v>1</v>
      </c>
      <c r="D55" s="3237">
        <v>307</v>
      </c>
      <c r="E55" s="3239">
        <v>1</v>
      </c>
      <c r="F55" s="3239">
        <v>0</v>
      </c>
      <c r="G55" s="3239">
        <v>1</v>
      </c>
      <c r="H55" s="3257" t="s">
        <v>3304</v>
      </c>
      <c r="I55" s="3237" t="s">
        <v>3305</v>
      </c>
      <c r="J55" s="3240"/>
      <c r="K55" s="3236">
        <v>31.54</v>
      </c>
      <c r="L55" s="3239"/>
      <c r="M55" s="3239"/>
      <c r="N55" s="3506"/>
      <c r="O55" s="3506"/>
      <c r="P55" s="3506"/>
      <c r="Q55" s="3239"/>
      <c r="R55" s="3239"/>
    </row>
    <row r="56" spans="1:18">
      <c r="A56" s="3236">
        <v>53</v>
      </c>
      <c r="B56" s="3236">
        <v>1</v>
      </c>
      <c r="C56" s="3236">
        <v>1</v>
      </c>
      <c r="D56" s="3237">
        <v>308</v>
      </c>
      <c r="E56" s="3239">
        <v>1</v>
      </c>
      <c r="F56" s="3239">
        <v>0</v>
      </c>
      <c r="G56" s="3239">
        <v>1</v>
      </c>
      <c r="H56" s="3257" t="s">
        <v>3304</v>
      </c>
      <c r="I56" s="3237" t="s">
        <v>3305</v>
      </c>
      <c r="J56" s="3240"/>
      <c r="K56" s="3236">
        <v>31.54</v>
      </c>
      <c r="L56" s="3239"/>
      <c r="M56" s="3239"/>
      <c r="N56" s="3506"/>
      <c r="O56" s="3506"/>
      <c r="P56" s="3506"/>
      <c r="Q56" s="3239"/>
      <c r="R56" s="3239"/>
    </row>
    <row r="57" spans="1:18">
      <c r="A57" s="3236">
        <v>54</v>
      </c>
      <c r="B57" s="3236">
        <v>1</v>
      </c>
      <c r="C57" s="3236">
        <v>1</v>
      </c>
      <c r="D57" s="3237">
        <v>309</v>
      </c>
      <c r="E57" s="3239">
        <v>1</v>
      </c>
      <c r="F57" s="3239">
        <v>0</v>
      </c>
      <c r="G57" s="3239">
        <v>1</v>
      </c>
      <c r="H57" s="3257" t="s">
        <v>3304</v>
      </c>
      <c r="I57" s="3237" t="s">
        <v>3305</v>
      </c>
      <c r="J57" s="3240"/>
      <c r="K57" s="3236">
        <v>31.54</v>
      </c>
      <c r="L57" s="3239"/>
      <c r="M57" s="3239"/>
      <c r="N57" s="3506"/>
      <c r="O57" s="3506"/>
      <c r="P57" s="3506"/>
      <c r="Q57" s="3239"/>
      <c r="R57" s="3239"/>
    </row>
    <row r="58" spans="1:18">
      <c r="A58" s="3236">
        <v>55</v>
      </c>
      <c r="B58" s="3236">
        <v>1</v>
      </c>
      <c r="C58" s="3236">
        <v>1</v>
      </c>
      <c r="D58" s="3237">
        <v>310</v>
      </c>
      <c r="E58" s="3239">
        <v>1</v>
      </c>
      <c r="F58" s="3239">
        <v>0</v>
      </c>
      <c r="G58" s="3239">
        <v>1</v>
      </c>
      <c r="H58" s="3257" t="s">
        <v>3304</v>
      </c>
      <c r="I58" s="3237" t="s">
        <v>3305</v>
      </c>
      <c r="J58" s="3240"/>
      <c r="K58" s="3236">
        <v>31.54</v>
      </c>
      <c r="L58" s="3239"/>
      <c r="M58" s="3239"/>
      <c r="N58" s="3506"/>
      <c r="O58" s="3506"/>
      <c r="P58" s="3506"/>
      <c r="Q58" s="3239"/>
      <c r="R58" s="3239"/>
    </row>
    <row r="59" spans="1:18">
      <c r="A59" s="3236">
        <v>56</v>
      </c>
      <c r="B59" s="3236">
        <v>1</v>
      </c>
      <c r="C59" s="3236">
        <v>1</v>
      </c>
      <c r="D59" s="3237">
        <v>311</v>
      </c>
      <c r="E59" s="3239">
        <v>1</v>
      </c>
      <c r="F59" s="3239">
        <v>0</v>
      </c>
      <c r="G59" s="3239">
        <v>1</v>
      </c>
      <c r="H59" s="3257" t="s">
        <v>3304</v>
      </c>
      <c r="I59" s="3237" t="s">
        <v>3307</v>
      </c>
      <c r="J59" s="3240"/>
      <c r="K59" s="3236">
        <v>31.98</v>
      </c>
      <c r="L59" s="3239"/>
      <c r="M59" s="3239"/>
      <c r="N59" s="3506"/>
      <c r="O59" s="3506"/>
      <c r="P59" s="3506"/>
      <c r="Q59" s="3239"/>
      <c r="R59" s="3239"/>
    </row>
    <row r="60" spans="1:18">
      <c r="A60" s="3236">
        <v>57</v>
      </c>
      <c r="B60" s="3236">
        <v>1</v>
      </c>
      <c r="C60" s="3236">
        <v>1</v>
      </c>
      <c r="D60" s="3237">
        <v>312</v>
      </c>
      <c r="E60" s="3239">
        <v>1</v>
      </c>
      <c r="F60" s="3239">
        <v>1</v>
      </c>
      <c r="G60" s="3239">
        <v>1</v>
      </c>
      <c r="H60" s="3257" t="s">
        <v>3304</v>
      </c>
      <c r="I60" s="3237" t="s">
        <v>3308</v>
      </c>
      <c r="J60" s="3240"/>
      <c r="K60" s="3236">
        <v>39.869999999999997</v>
      </c>
      <c r="L60" s="3239"/>
      <c r="M60" s="3239"/>
      <c r="N60" s="3506"/>
      <c r="O60" s="3506"/>
      <c r="P60" s="3506"/>
      <c r="Q60" s="3239"/>
      <c r="R60" s="3239"/>
    </row>
    <row r="61" spans="1:18">
      <c r="A61" s="3236">
        <v>58</v>
      </c>
      <c r="B61" s="3236">
        <v>1</v>
      </c>
      <c r="C61" s="3236">
        <v>1</v>
      </c>
      <c r="D61" s="3237">
        <v>313</v>
      </c>
      <c r="E61" s="3239">
        <v>1</v>
      </c>
      <c r="F61" s="3239">
        <v>1</v>
      </c>
      <c r="G61" s="3239">
        <v>1</v>
      </c>
      <c r="H61" s="3257" t="s">
        <v>3304</v>
      </c>
      <c r="I61" s="3257" t="s">
        <v>3309</v>
      </c>
      <c r="J61" s="3240"/>
      <c r="K61" s="3258">
        <v>39.96</v>
      </c>
      <c r="L61" s="3239"/>
      <c r="M61" s="3239"/>
      <c r="N61" s="3506"/>
      <c r="O61" s="3506"/>
      <c r="P61" s="3506"/>
      <c r="Q61" s="3239"/>
      <c r="R61" s="3239"/>
    </row>
    <row r="62" spans="1:18">
      <c r="A62" s="3236">
        <v>59</v>
      </c>
      <c r="B62" s="3236">
        <v>1</v>
      </c>
      <c r="C62" s="3236">
        <v>1</v>
      </c>
      <c r="D62" s="3237">
        <v>314</v>
      </c>
      <c r="E62" s="3239">
        <v>1</v>
      </c>
      <c r="F62" s="3239">
        <v>1</v>
      </c>
      <c r="G62" s="3239">
        <v>1</v>
      </c>
      <c r="H62" s="3237" t="s">
        <v>3310</v>
      </c>
      <c r="I62" s="3237" t="s">
        <v>3311</v>
      </c>
      <c r="J62" s="3240"/>
      <c r="K62" s="3258">
        <v>38.54</v>
      </c>
      <c r="L62" s="3239"/>
      <c r="M62" s="3239"/>
      <c r="N62" s="3506"/>
      <c r="O62" s="3506"/>
      <c r="P62" s="3506"/>
      <c r="Q62" s="3239"/>
      <c r="R62" s="3239"/>
    </row>
    <row r="63" spans="1:18">
      <c r="A63" s="3236">
        <v>60</v>
      </c>
      <c r="B63" s="3236">
        <v>1</v>
      </c>
      <c r="C63" s="3236">
        <v>1</v>
      </c>
      <c r="D63" s="3237">
        <v>315</v>
      </c>
      <c r="E63" s="3239">
        <v>2</v>
      </c>
      <c r="F63" s="3239">
        <v>1</v>
      </c>
      <c r="G63" s="3239">
        <v>1</v>
      </c>
      <c r="H63" s="3257" t="s">
        <v>3312</v>
      </c>
      <c r="I63" s="3237" t="s">
        <v>3313</v>
      </c>
      <c r="J63" s="3240"/>
      <c r="K63" s="3258">
        <v>67.27</v>
      </c>
      <c r="L63" s="3239"/>
      <c r="M63" s="3239"/>
      <c r="N63" s="3506"/>
      <c r="O63" s="3506"/>
      <c r="P63" s="3506"/>
      <c r="Q63" s="3239"/>
      <c r="R63" s="3239"/>
    </row>
    <row r="64" spans="1:18">
      <c r="A64" s="3236">
        <v>61</v>
      </c>
      <c r="B64" s="3236">
        <v>1</v>
      </c>
      <c r="C64" s="3236">
        <v>1</v>
      </c>
      <c r="D64" s="3237">
        <v>316</v>
      </c>
      <c r="E64" s="3239">
        <v>1</v>
      </c>
      <c r="F64" s="3239">
        <v>1</v>
      </c>
      <c r="G64" s="3239">
        <v>1</v>
      </c>
      <c r="H64" s="3257" t="s">
        <v>3312</v>
      </c>
      <c r="I64" s="3237" t="s">
        <v>3314</v>
      </c>
      <c r="J64" s="3240"/>
      <c r="K64" s="3236">
        <v>39.97</v>
      </c>
      <c r="L64" s="3239"/>
      <c r="M64" s="3239"/>
      <c r="N64" s="3506"/>
      <c r="O64" s="3506"/>
      <c r="P64" s="3506"/>
      <c r="Q64" s="3239"/>
      <c r="R64" s="3239"/>
    </row>
    <row r="65" spans="1:18">
      <c r="A65" s="3236">
        <v>62</v>
      </c>
      <c r="B65" s="3236">
        <v>1</v>
      </c>
      <c r="C65" s="3236">
        <v>1</v>
      </c>
      <c r="D65" s="3237">
        <v>317</v>
      </c>
      <c r="E65" s="3239">
        <v>1</v>
      </c>
      <c r="F65" s="3239">
        <v>1</v>
      </c>
      <c r="G65" s="3239">
        <v>1</v>
      </c>
      <c r="H65" s="3257" t="s">
        <v>3312</v>
      </c>
      <c r="I65" s="3237">
        <v>50</v>
      </c>
      <c r="J65" s="3240"/>
      <c r="K65" s="3236">
        <v>40.32</v>
      </c>
      <c r="L65" s="3239"/>
      <c r="M65" s="3239"/>
      <c r="N65" s="3506"/>
      <c r="O65" s="3506"/>
      <c r="P65" s="3506"/>
      <c r="Q65" s="3239"/>
      <c r="R65" s="3239"/>
    </row>
    <row r="66" spans="1:18">
      <c r="A66" s="3236">
        <v>63</v>
      </c>
      <c r="B66" s="3236">
        <v>1</v>
      </c>
      <c r="C66" s="3236">
        <v>1</v>
      </c>
      <c r="D66" s="3237">
        <v>318</v>
      </c>
      <c r="E66" s="3239">
        <v>1</v>
      </c>
      <c r="F66" s="3239">
        <v>1</v>
      </c>
      <c r="G66" s="3239">
        <v>1</v>
      </c>
      <c r="H66" s="3257" t="s">
        <v>3312</v>
      </c>
      <c r="I66" s="3237">
        <v>50</v>
      </c>
      <c r="J66" s="3240"/>
      <c r="K66" s="3236">
        <v>40.32</v>
      </c>
      <c r="L66" s="3239"/>
      <c r="M66" s="3239"/>
      <c r="N66" s="3506"/>
      <c r="O66" s="3506"/>
      <c r="P66" s="3506"/>
      <c r="Q66" s="3239"/>
      <c r="R66" s="3239"/>
    </row>
    <row r="67" spans="1:18">
      <c r="A67" s="3236">
        <v>64</v>
      </c>
      <c r="B67" s="3236">
        <v>1</v>
      </c>
      <c r="C67" s="3236">
        <v>1</v>
      </c>
      <c r="D67" s="3237">
        <v>319</v>
      </c>
      <c r="E67" s="3239">
        <v>1</v>
      </c>
      <c r="F67" s="3239">
        <v>1</v>
      </c>
      <c r="G67" s="3239">
        <v>1</v>
      </c>
      <c r="H67" s="3257" t="s">
        <v>3312</v>
      </c>
      <c r="I67" s="3237" t="s">
        <v>3308</v>
      </c>
      <c r="J67" s="3240"/>
      <c r="K67" s="3236">
        <v>39.869999999999997</v>
      </c>
      <c r="L67" s="3239"/>
      <c r="M67" s="3239"/>
      <c r="N67" s="3506"/>
      <c r="O67" s="3506"/>
      <c r="P67" s="3506"/>
      <c r="Q67" s="3239"/>
      <c r="R67" s="3239"/>
    </row>
    <row r="68" spans="1:18">
      <c r="A68" s="3236">
        <v>65</v>
      </c>
      <c r="B68" s="3236">
        <v>1</v>
      </c>
      <c r="C68" s="3236">
        <v>1</v>
      </c>
      <c r="D68" s="3237">
        <v>320</v>
      </c>
      <c r="E68" s="3239">
        <v>1</v>
      </c>
      <c r="F68" s="3239">
        <v>1</v>
      </c>
      <c r="G68" s="3239">
        <v>1</v>
      </c>
      <c r="H68" s="3257" t="s">
        <v>3312</v>
      </c>
      <c r="I68" s="3257" t="s">
        <v>3315</v>
      </c>
      <c r="J68" s="3240"/>
      <c r="K68" s="3258">
        <v>41.22</v>
      </c>
      <c r="L68" s="3239"/>
      <c r="M68" s="3239"/>
      <c r="N68" s="3506"/>
      <c r="O68" s="3506"/>
      <c r="P68" s="3506"/>
      <c r="Q68" s="3239"/>
      <c r="R68" s="3239"/>
    </row>
    <row r="69" spans="1:18">
      <c r="A69" s="3236">
        <v>66</v>
      </c>
      <c r="B69" s="3236">
        <v>1</v>
      </c>
      <c r="C69" s="3236">
        <v>1</v>
      </c>
      <c r="D69" s="3237">
        <v>321</v>
      </c>
      <c r="E69" s="3239">
        <v>4</v>
      </c>
      <c r="F69" s="3239">
        <v>1</v>
      </c>
      <c r="G69" s="3239">
        <v>1</v>
      </c>
      <c r="H69" s="3237" t="s">
        <v>3316</v>
      </c>
      <c r="I69" s="3237" t="s">
        <v>3317</v>
      </c>
      <c r="J69" s="3240"/>
      <c r="K69" s="3258">
        <v>75.8</v>
      </c>
      <c r="L69" s="3239"/>
      <c r="M69" s="3239"/>
      <c r="N69" s="3506"/>
      <c r="O69" s="3506"/>
      <c r="P69" s="3506"/>
      <c r="Q69" s="3239"/>
      <c r="R69" s="3239"/>
    </row>
    <row r="70" spans="1:18">
      <c r="A70" s="3236">
        <v>67</v>
      </c>
      <c r="B70" s="3236">
        <v>1</v>
      </c>
      <c r="C70" s="3236">
        <v>1</v>
      </c>
      <c r="D70" s="3237">
        <v>322</v>
      </c>
      <c r="E70" s="3239">
        <v>4</v>
      </c>
      <c r="F70" s="3239">
        <v>1</v>
      </c>
      <c r="G70" s="3239">
        <v>1</v>
      </c>
      <c r="H70" s="3237" t="s">
        <v>3318</v>
      </c>
      <c r="I70" s="3237" t="s">
        <v>3319</v>
      </c>
      <c r="J70" s="3240"/>
      <c r="K70" s="3258">
        <v>75.8</v>
      </c>
      <c r="L70" s="3239"/>
      <c r="M70" s="3239"/>
      <c r="N70" s="3506"/>
      <c r="O70" s="3506"/>
      <c r="P70" s="3506"/>
      <c r="Q70" s="3239"/>
      <c r="R70" s="3239"/>
    </row>
    <row r="71" spans="1:18">
      <c r="A71" s="3236">
        <v>68</v>
      </c>
      <c r="B71" s="3236">
        <v>1</v>
      </c>
      <c r="C71" s="3236">
        <v>1</v>
      </c>
      <c r="D71" s="3237">
        <v>323</v>
      </c>
      <c r="E71" s="3239">
        <v>1</v>
      </c>
      <c r="F71" s="3239">
        <v>1</v>
      </c>
      <c r="G71" s="3239">
        <v>1</v>
      </c>
      <c r="H71" s="3237" t="s">
        <v>3300</v>
      </c>
      <c r="I71" s="3237" t="s">
        <v>3308</v>
      </c>
      <c r="J71" s="3240"/>
      <c r="K71" s="3236">
        <v>39.869999999999997</v>
      </c>
      <c r="L71" s="3239"/>
      <c r="M71" s="3239"/>
      <c r="N71" s="3506"/>
      <c r="O71" s="3506"/>
      <c r="P71" s="3506"/>
      <c r="Q71" s="3239"/>
      <c r="R71" s="3239"/>
    </row>
    <row r="72" spans="1:18">
      <c r="A72" s="3236">
        <v>69</v>
      </c>
      <c r="B72" s="3236">
        <v>1</v>
      </c>
      <c r="C72" s="3236">
        <v>1</v>
      </c>
      <c r="D72" s="3237">
        <v>324</v>
      </c>
      <c r="E72" s="3239">
        <v>1</v>
      </c>
      <c r="F72" s="3239">
        <v>1</v>
      </c>
      <c r="G72" s="3239">
        <v>1</v>
      </c>
      <c r="H72" s="3237" t="s">
        <v>3300</v>
      </c>
      <c r="I72" s="3237">
        <v>50</v>
      </c>
      <c r="J72" s="3240"/>
      <c r="K72" s="3236">
        <v>40.32</v>
      </c>
      <c r="L72" s="3239"/>
      <c r="M72" s="3239"/>
      <c r="N72" s="3506"/>
      <c r="O72" s="3506"/>
      <c r="P72" s="3506"/>
      <c r="Q72" s="3239"/>
      <c r="R72" s="3239"/>
    </row>
    <row r="73" spans="1:18">
      <c r="A73" s="3236">
        <v>70</v>
      </c>
      <c r="B73" s="3236">
        <v>1</v>
      </c>
      <c r="C73" s="3236">
        <v>1</v>
      </c>
      <c r="D73" s="3237">
        <v>325</v>
      </c>
      <c r="E73" s="3239">
        <v>1</v>
      </c>
      <c r="F73" s="3239">
        <v>1</v>
      </c>
      <c r="G73" s="3239">
        <v>1</v>
      </c>
      <c r="H73" s="3237" t="s">
        <v>3300</v>
      </c>
      <c r="I73" s="3237" t="s">
        <v>3320</v>
      </c>
      <c r="J73" s="3240"/>
      <c r="K73" s="3236">
        <v>40.42</v>
      </c>
      <c r="L73" s="3239"/>
      <c r="M73" s="3239"/>
      <c r="N73" s="3506"/>
      <c r="O73" s="3506"/>
      <c r="P73" s="3506"/>
      <c r="Q73" s="3239"/>
      <c r="R73" s="3239"/>
    </row>
    <row r="74" spans="1:18">
      <c r="A74" s="3236">
        <v>71</v>
      </c>
      <c r="B74" s="3236">
        <v>1</v>
      </c>
      <c r="C74" s="3236">
        <v>1</v>
      </c>
      <c r="D74" s="3237">
        <v>326</v>
      </c>
      <c r="E74" s="3239">
        <v>1</v>
      </c>
      <c r="F74" s="3239">
        <v>1</v>
      </c>
      <c r="G74" s="3239">
        <v>1</v>
      </c>
      <c r="H74" s="3237" t="s">
        <v>3295</v>
      </c>
      <c r="I74" s="3237" t="s">
        <v>3321</v>
      </c>
      <c r="J74" s="3240"/>
      <c r="K74" s="3236">
        <v>42.56</v>
      </c>
      <c r="L74" s="3239"/>
      <c r="M74" s="3239"/>
      <c r="N74" s="3506"/>
      <c r="O74" s="3506"/>
      <c r="P74" s="3506"/>
      <c r="Q74" s="3239"/>
      <c r="R74" s="3239"/>
    </row>
    <row r="75" spans="1:18">
      <c r="A75" s="3236">
        <v>72</v>
      </c>
      <c r="B75" s="3236">
        <v>1</v>
      </c>
      <c r="C75" s="3236">
        <v>1</v>
      </c>
      <c r="D75" s="3237">
        <v>327</v>
      </c>
      <c r="E75" s="3239">
        <v>1</v>
      </c>
      <c r="F75" s="3239">
        <v>1</v>
      </c>
      <c r="G75" s="3239">
        <v>1</v>
      </c>
      <c r="H75" s="3237" t="s">
        <v>3295</v>
      </c>
      <c r="I75" s="3237">
        <v>50</v>
      </c>
      <c r="J75" s="3240"/>
      <c r="K75" s="3236">
        <v>40.32</v>
      </c>
      <c r="L75" s="3239"/>
      <c r="M75" s="3239"/>
      <c r="N75" s="3506"/>
      <c r="O75" s="3506"/>
      <c r="P75" s="3506"/>
      <c r="Q75" s="3239"/>
      <c r="R75" s="3239"/>
    </row>
    <row r="76" spans="1:18">
      <c r="A76" s="3236">
        <v>73</v>
      </c>
      <c r="B76" s="3236">
        <v>1</v>
      </c>
      <c r="C76" s="3236">
        <v>1</v>
      </c>
      <c r="D76" s="3237">
        <v>328</v>
      </c>
      <c r="E76" s="3239">
        <v>1</v>
      </c>
      <c r="F76" s="3239">
        <v>1</v>
      </c>
      <c r="G76" s="3239">
        <v>1</v>
      </c>
      <c r="H76" s="3237" t="s">
        <v>3295</v>
      </c>
      <c r="I76" s="3237">
        <v>50</v>
      </c>
      <c r="J76" s="3240"/>
      <c r="K76" s="3236">
        <v>40.32</v>
      </c>
      <c r="L76" s="3239"/>
      <c r="M76" s="3239"/>
      <c r="N76" s="3506"/>
      <c r="O76" s="3506"/>
      <c r="P76" s="3506"/>
      <c r="Q76" s="3239"/>
      <c r="R76" s="3239"/>
    </row>
    <row r="77" spans="1:18">
      <c r="A77" s="3236">
        <v>74</v>
      </c>
      <c r="B77" s="3236">
        <v>1</v>
      </c>
      <c r="C77" s="3236">
        <v>1</v>
      </c>
      <c r="D77" s="3237">
        <v>329</v>
      </c>
      <c r="E77" s="3239">
        <v>1</v>
      </c>
      <c r="F77" s="3239">
        <v>1</v>
      </c>
      <c r="G77" s="3239">
        <v>1</v>
      </c>
      <c r="H77" s="3237" t="s">
        <v>3295</v>
      </c>
      <c r="I77" s="3237">
        <v>50</v>
      </c>
      <c r="J77" s="3240"/>
      <c r="K77" s="3236">
        <v>40.32</v>
      </c>
      <c r="L77" s="3239"/>
      <c r="M77" s="3239"/>
      <c r="N77" s="3506"/>
      <c r="O77" s="3506"/>
      <c r="P77" s="3506"/>
      <c r="Q77" s="3239"/>
      <c r="R77" s="3239"/>
    </row>
    <row r="78" spans="1:18">
      <c r="A78" s="3236">
        <v>75</v>
      </c>
      <c r="B78" s="3236">
        <v>1</v>
      </c>
      <c r="C78" s="3236">
        <v>1</v>
      </c>
      <c r="D78" s="3237">
        <v>330</v>
      </c>
      <c r="E78" s="3239">
        <v>1</v>
      </c>
      <c r="F78" s="3239">
        <v>1</v>
      </c>
      <c r="G78" s="3239">
        <v>1</v>
      </c>
      <c r="H78" s="3237" t="s">
        <v>3295</v>
      </c>
      <c r="I78" s="3237">
        <v>50</v>
      </c>
      <c r="J78" s="3240"/>
      <c r="K78" s="3236">
        <v>40.32</v>
      </c>
      <c r="L78" s="3239"/>
      <c r="M78" s="3239"/>
      <c r="N78" s="3506"/>
      <c r="O78" s="3506"/>
      <c r="P78" s="3506"/>
      <c r="Q78" s="3239"/>
      <c r="R78" s="3239"/>
    </row>
    <row r="79" spans="1:18">
      <c r="A79" s="3236">
        <v>76</v>
      </c>
      <c r="B79" s="3236">
        <v>1</v>
      </c>
      <c r="C79" s="3236">
        <v>1</v>
      </c>
      <c r="D79" s="3237">
        <v>331</v>
      </c>
      <c r="E79" s="3239">
        <v>1</v>
      </c>
      <c r="F79" s="3239">
        <v>1</v>
      </c>
      <c r="G79" s="3239">
        <v>1</v>
      </c>
      <c r="H79" s="3237" t="s">
        <v>3295</v>
      </c>
      <c r="I79" s="3237">
        <v>50</v>
      </c>
      <c r="J79" s="3240"/>
      <c r="K79" s="3236">
        <v>40.32</v>
      </c>
      <c r="L79" s="3239"/>
      <c r="M79" s="3239"/>
      <c r="N79" s="3506"/>
      <c r="O79" s="3506"/>
      <c r="P79" s="3506"/>
      <c r="Q79" s="3239"/>
      <c r="R79" s="3239"/>
    </row>
    <row r="80" spans="1:18">
      <c r="A80" s="3236">
        <v>77</v>
      </c>
      <c r="B80" s="3236">
        <v>1</v>
      </c>
      <c r="C80" s="3236">
        <v>1</v>
      </c>
      <c r="D80" s="3237">
        <v>332</v>
      </c>
      <c r="E80" s="3239">
        <v>1</v>
      </c>
      <c r="F80" s="3239">
        <v>1</v>
      </c>
      <c r="G80" s="3239">
        <v>1</v>
      </c>
      <c r="H80" s="3237" t="s">
        <v>3295</v>
      </c>
      <c r="I80" s="3237">
        <v>50</v>
      </c>
      <c r="J80" s="3240"/>
      <c r="K80" s="3236">
        <v>40.32</v>
      </c>
      <c r="L80" s="3239"/>
      <c r="M80" s="3239"/>
      <c r="N80" s="3506"/>
      <c r="O80" s="3506"/>
      <c r="P80" s="3506"/>
      <c r="Q80" s="3239"/>
      <c r="R80" s="3239"/>
    </row>
    <row r="81" spans="1:18">
      <c r="A81" s="3236">
        <v>78</v>
      </c>
      <c r="B81" s="3236">
        <v>1</v>
      </c>
      <c r="C81" s="3236">
        <v>1</v>
      </c>
      <c r="D81" s="3237">
        <v>333</v>
      </c>
      <c r="E81" s="3239">
        <v>1</v>
      </c>
      <c r="F81" s="3239">
        <v>1</v>
      </c>
      <c r="G81" s="3239">
        <v>1</v>
      </c>
      <c r="H81" s="3237" t="s">
        <v>3295</v>
      </c>
      <c r="I81" s="3237">
        <v>50</v>
      </c>
      <c r="J81" s="3240"/>
      <c r="K81" s="3236">
        <v>40.32</v>
      </c>
      <c r="L81" s="3239"/>
      <c r="M81" s="3239"/>
      <c r="N81" s="3506"/>
      <c r="O81" s="3506"/>
      <c r="P81" s="3506"/>
      <c r="Q81" s="3239"/>
      <c r="R81" s="3239"/>
    </row>
    <row r="82" spans="1:18">
      <c r="A82" s="3236">
        <v>79</v>
      </c>
      <c r="B82" s="3236">
        <v>1</v>
      </c>
      <c r="C82" s="3236">
        <v>1</v>
      </c>
      <c r="D82" s="3237">
        <v>334</v>
      </c>
      <c r="E82" s="3239">
        <v>1</v>
      </c>
      <c r="F82" s="3239">
        <v>1</v>
      </c>
      <c r="G82" s="3239">
        <v>1</v>
      </c>
      <c r="H82" s="3237" t="s">
        <v>3295</v>
      </c>
      <c r="I82" s="3237">
        <v>50</v>
      </c>
      <c r="J82" s="3240"/>
      <c r="K82" s="3236">
        <v>40.32</v>
      </c>
      <c r="L82" s="3239"/>
      <c r="M82" s="3239"/>
      <c r="N82" s="3506"/>
      <c r="O82" s="3506"/>
      <c r="P82" s="3506"/>
      <c r="Q82" s="3239"/>
      <c r="R82" s="3239"/>
    </row>
    <row r="83" spans="1:18">
      <c r="A83" s="3236">
        <v>80</v>
      </c>
      <c r="B83" s="3236">
        <v>1</v>
      </c>
      <c r="C83" s="3236">
        <v>1</v>
      </c>
      <c r="D83" s="3237">
        <v>335</v>
      </c>
      <c r="E83" s="3239">
        <v>1</v>
      </c>
      <c r="F83" s="3239">
        <v>1</v>
      </c>
      <c r="G83" s="3239">
        <v>1</v>
      </c>
      <c r="H83" s="3237" t="s">
        <v>3295</v>
      </c>
      <c r="I83" s="3237">
        <v>50</v>
      </c>
      <c r="J83" s="3240"/>
      <c r="K83" s="3236">
        <v>40.32</v>
      </c>
      <c r="L83" s="3239"/>
      <c r="M83" s="3239"/>
      <c r="N83" s="3506"/>
      <c r="O83" s="3506"/>
      <c r="P83" s="3506"/>
      <c r="Q83" s="3239"/>
      <c r="R83" s="3239"/>
    </row>
    <row r="84" spans="1:18">
      <c r="A84" s="3236">
        <v>81</v>
      </c>
      <c r="B84" s="3236">
        <v>1</v>
      </c>
      <c r="C84" s="3236">
        <v>1</v>
      </c>
      <c r="D84" s="3237">
        <v>336</v>
      </c>
      <c r="E84" s="3239">
        <v>1</v>
      </c>
      <c r="F84" s="3239">
        <v>1</v>
      </c>
      <c r="G84" s="3239">
        <v>1</v>
      </c>
      <c r="H84" s="3237" t="s">
        <v>3295</v>
      </c>
      <c r="I84" s="3237">
        <v>50</v>
      </c>
      <c r="J84" s="3240"/>
      <c r="K84" s="3236">
        <v>40.32</v>
      </c>
      <c r="L84" s="3239"/>
      <c r="M84" s="3239"/>
      <c r="N84" s="3506"/>
      <c r="O84" s="3506"/>
      <c r="P84" s="3506"/>
      <c r="Q84" s="3239"/>
      <c r="R84" s="3239"/>
    </row>
    <row r="85" spans="1:18">
      <c r="A85" s="3236">
        <v>82</v>
      </c>
      <c r="B85" s="3236">
        <v>1</v>
      </c>
      <c r="C85" s="3236">
        <v>1</v>
      </c>
      <c r="D85" s="3237">
        <v>337</v>
      </c>
      <c r="E85" s="3239">
        <v>1</v>
      </c>
      <c r="F85" s="3239">
        <v>0</v>
      </c>
      <c r="G85" s="3239">
        <v>1</v>
      </c>
      <c r="H85" s="3237" t="s">
        <v>3295</v>
      </c>
      <c r="I85" s="3257" t="s">
        <v>3322</v>
      </c>
      <c r="J85" s="3240"/>
      <c r="K85" s="3236">
        <v>34.5</v>
      </c>
      <c r="L85" s="3239"/>
      <c r="M85" s="3239"/>
      <c r="N85" s="3506"/>
      <c r="O85" s="3506"/>
      <c r="P85" s="3506"/>
      <c r="Q85" s="3239"/>
      <c r="R85" s="3239"/>
    </row>
    <row r="86" spans="1:18">
      <c r="A86" s="3236">
        <v>83</v>
      </c>
      <c r="B86" s="3236">
        <v>1</v>
      </c>
      <c r="C86" s="3236">
        <v>1</v>
      </c>
      <c r="D86" s="3237">
        <v>338</v>
      </c>
      <c r="E86" s="3239">
        <v>1</v>
      </c>
      <c r="F86" s="3239">
        <v>0</v>
      </c>
      <c r="G86" s="3239">
        <v>1</v>
      </c>
      <c r="H86" s="3237" t="s">
        <v>3295</v>
      </c>
      <c r="I86" s="3237">
        <v>40</v>
      </c>
      <c r="J86" s="3240"/>
      <c r="K86" s="3236">
        <v>35.26</v>
      </c>
      <c r="L86" s="3239"/>
      <c r="M86" s="3239"/>
      <c r="N86" s="3506"/>
      <c r="O86" s="3506"/>
      <c r="P86" s="3506"/>
      <c r="Q86" s="3239"/>
      <c r="R86" s="3239"/>
    </row>
    <row r="87" spans="1:18" ht="14.25" thickBot="1">
      <c r="A87" s="3236">
        <v>84</v>
      </c>
      <c r="B87" s="3236">
        <v>1</v>
      </c>
      <c r="C87" s="3236">
        <v>1</v>
      </c>
      <c r="D87" s="3248">
        <v>339</v>
      </c>
      <c r="E87" s="3250">
        <v>1</v>
      </c>
      <c r="F87" s="3250">
        <v>0</v>
      </c>
      <c r="G87" s="3250">
        <v>1</v>
      </c>
      <c r="H87" s="3248" t="s">
        <v>3300</v>
      </c>
      <c r="I87" s="3248" t="s">
        <v>3323</v>
      </c>
      <c r="J87" s="3249"/>
      <c r="K87" s="3265">
        <v>32.42</v>
      </c>
      <c r="L87" s="3250"/>
      <c r="M87" s="3250"/>
      <c r="N87" s="3507"/>
      <c r="O87" s="3507"/>
      <c r="P87" s="3507"/>
      <c r="Q87" s="3246"/>
      <c r="R87" s="3246"/>
    </row>
    <row r="88" spans="1:18" ht="14.25" thickTop="1">
      <c r="A88" s="3236">
        <v>85</v>
      </c>
      <c r="B88" s="3236">
        <v>1</v>
      </c>
      <c r="C88" s="3236">
        <v>1</v>
      </c>
      <c r="D88" s="3251">
        <v>401</v>
      </c>
      <c r="E88" s="3252">
        <v>1</v>
      </c>
      <c r="F88" s="3252">
        <v>1</v>
      </c>
      <c r="G88" s="3252">
        <v>1</v>
      </c>
      <c r="H88" s="3251" t="s">
        <v>3302</v>
      </c>
      <c r="I88" s="3251" t="s">
        <v>3303</v>
      </c>
      <c r="J88" s="3253"/>
      <c r="K88" s="3254">
        <v>40.520000000000003</v>
      </c>
      <c r="L88" s="3252"/>
      <c r="M88" s="3252"/>
      <c r="N88" s="3513">
        <v>2.9</v>
      </c>
      <c r="O88" s="3509" t="s">
        <v>3297</v>
      </c>
      <c r="P88" s="3509" t="s">
        <v>3298</v>
      </c>
      <c r="Q88" s="3252"/>
      <c r="R88" s="3252"/>
    </row>
    <row r="89" spans="1:18">
      <c r="A89" s="3236">
        <v>86</v>
      </c>
      <c r="B89" s="3236">
        <v>1</v>
      </c>
      <c r="C89" s="3236">
        <v>1</v>
      </c>
      <c r="D89" s="3256">
        <v>402</v>
      </c>
      <c r="E89" s="3239">
        <v>1</v>
      </c>
      <c r="F89" s="3239">
        <v>0</v>
      </c>
      <c r="G89" s="3239">
        <v>1</v>
      </c>
      <c r="H89" s="3257" t="s">
        <v>3304</v>
      </c>
      <c r="I89" s="3237" t="s">
        <v>3305</v>
      </c>
      <c r="J89" s="3240"/>
      <c r="K89" s="3236">
        <v>31.54</v>
      </c>
      <c r="L89" s="3239"/>
      <c r="M89" s="3239"/>
      <c r="N89" s="3506"/>
      <c r="O89" s="3506"/>
      <c r="P89" s="3506"/>
      <c r="Q89" s="3239"/>
      <c r="R89" s="3239"/>
    </row>
    <row r="90" spans="1:18">
      <c r="A90" s="3236">
        <v>87</v>
      </c>
      <c r="B90" s="3236">
        <v>1</v>
      </c>
      <c r="C90" s="3236">
        <v>1</v>
      </c>
      <c r="D90" s="3237">
        <v>403</v>
      </c>
      <c r="E90" s="3239">
        <v>1</v>
      </c>
      <c r="F90" s="3239">
        <v>0</v>
      </c>
      <c r="G90" s="3239">
        <v>1</v>
      </c>
      <c r="H90" s="3257" t="s">
        <v>3304</v>
      </c>
      <c r="I90" s="3237" t="s">
        <v>3305</v>
      </c>
      <c r="J90" s="3240"/>
      <c r="K90" s="3236">
        <v>31.54</v>
      </c>
      <c r="L90" s="3239"/>
      <c r="M90" s="3239"/>
      <c r="N90" s="3506"/>
      <c r="O90" s="3506"/>
      <c r="P90" s="3506"/>
      <c r="Q90" s="3239"/>
      <c r="R90" s="3239"/>
    </row>
    <row r="91" spans="1:18">
      <c r="A91" s="3236">
        <v>88</v>
      </c>
      <c r="B91" s="3236">
        <v>1</v>
      </c>
      <c r="C91" s="3236">
        <v>1</v>
      </c>
      <c r="D91" s="3237">
        <v>404</v>
      </c>
      <c r="E91" s="3239">
        <v>1</v>
      </c>
      <c r="F91" s="3239">
        <v>0</v>
      </c>
      <c r="G91" s="3239">
        <v>1</v>
      </c>
      <c r="H91" s="3257" t="s">
        <v>3304</v>
      </c>
      <c r="I91" s="3237" t="s">
        <v>3306</v>
      </c>
      <c r="J91" s="3240"/>
      <c r="K91" s="3236">
        <v>32.26</v>
      </c>
      <c r="L91" s="3239"/>
      <c r="M91" s="3239"/>
      <c r="N91" s="3506"/>
      <c r="O91" s="3506"/>
      <c r="P91" s="3506"/>
      <c r="Q91" s="3239"/>
      <c r="R91" s="3239"/>
    </row>
    <row r="92" spans="1:18">
      <c r="A92" s="3236">
        <v>89</v>
      </c>
      <c r="B92" s="3236">
        <v>1</v>
      </c>
      <c r="C92" s="3236">
        <v>1</v>
      </c>
      <c r="D92" s="3237">
        <v>405</v>
      </c>
      <c r="E92" s="3239">
        <v>1</v>
      </c>
      <c r="F92" s="3239">
        <v>0</v>
      </c>
      <c r="G92" s="3239">
        <v>1</v>
      </c>
      <c r="H92" s="3257" t="s">
        <v>3304</v>
      </c>
      <c r="I92" s="3237" t="s">
        <v>3306</v>
      </c>
      <c r="J92" s="3240"/>
      <c r="K92" s="3236">
        <v>32.26</v>
      </c>
      <c r="L92" s="3239"/>
      <c r="M92" s="3239"/>
      <c r="N92" s="3506"/>
      <c r="O92" s="3506"/>
      <c r="P92" s="3506"/>
      <c r="Q92" s="3239"/>
      <c r="R92" s="3239"/>
    </row>
    <row r="93" spans="1:18">
      <c r="A93" s="3236">
        <v>90</v>
      </c>
      <c r="B93" s="3236">
        <v>1</v>
      </c>
      <c r="C93" s="3236">
        <v>1</v>
      </c>
      <c r="D93" s="3237">
        <v>406</v>
      </c>
      <c r="E93" s="3239">
        <v>1</v>
      </c>
      <c r="F93" s="3239">
        <v>0</v>
      </c>
      <c r="G93" s="3239">
        <v>1</v>
      </c>
      <c r="H93" s="3257" t="s">
        <v>3304</v>
      </c>
      <c r="I93" s="3237" t="s">
        <v>3305</v>
      </c>
      <c r="J93" s="3240"/>
      <c r="K93" s="3236">
        <v>31.54</v>
      </c>
      <c r="L93" s="3239"/>
      <c r="M93" s="3239"/>
      <c r="N93" s="3506"/>
      <c r="O93" s="3506"/>
      <c r="P93" s="3506"/>
      <c r="Q93" s="3239"/>
      <c r="R93" s="3239"/>
    </row>
    <row r="94" spans="1:18">
      <c r="A94" s="3236">
        <v>91</v>
      </c>
      <c r="B94" s="3236">
        <v>1</v>
      </c>
      <c r="C94" s="3236">
        <v>1</v>
      </c>
      <c r="D94" s="3237">
        <v>407</v>
      </c>
      <c r="E94" s="3239">
        <v>1</v>
      </c>
      <c r="F94" s="3239">
        <v>0</v>
      </c>
      <c r="G94" s="3239">
        <v>1</v>
      </c>
      <c r="H94" s="3257" t="s">
        <v>3304</v>
      </c>
      <c r="I94" s="3237" t="s">
        <v>3305</v>
      </c>
      <c r="J94" s="3240"/>
      <c r="K94" s="3236">
        <v>31.54</v>
      </c>
      <c r="L94" s="3239"/>
      <c r="M94" s="3239"/>
      <c r="N94" s="3506"/>
      <c r="O94" s="3506"/>
      <c r="P94" s="3506"/>
      <c r="Q94" s="3239"/>
      <c r="R94" s="3239"/>
    </row>
    <row r="95" spans="1:18">
      <c r="A95" s="3236">
        <v>92</v>
      </c>
      <c r="B95" s="3236">
        <v>1</v>
      </c>
      <c r="C95" s="3236">
        <v>1</v>
      </c>
      <c r="D95" s="3237">
        <v>408</v>
      </c>
      <c r="E95" s="3239">
        <v>1</v>
      </c>
      <c r="F95" s="3239">
        <v>0</v>
      </c>
      <c r="G95" s="3239">
        <v>1</v>
      </c>
      <c r="H95" s="3257" t="s">
        <v>3304</v>
      </c>
      <c r="I95" s="3237" t="s">
        <v>3305</v>
      </c>
      <c r="J95" s="3240"/>
      <c r="K95" s="3236">
        <v>31.54</v>
      </c>
      <c r="L95" s="3239"/>
      <c r="M95" s="3239"/>
      <c r="N95" s="3506"/>
      <c r="O95" s="3506"/>
      <c r="P95" s="3506"/>
      <c r="Q95" s="3239"/>
      <c r="R95" s="3239"/>
    </row>
    <row r="96" spans="1:18">
      <c r="A96" s="3236">
        <v>93</v>
      </c>
      <c r="B96" s="3236">
        <v>1</v>
      </c>
      <c r="C96" s="3236">
        <v>1</v>
      </c>
      <c r="D96" s="3237">
        <v>409</v>
      </c>
      <c r="E96" s="3239">
        <v>1</v>
      </c>
      <c r="F96" s="3239">
        <v>0</v>
      </c>
      <c r="G96" s="3239">
        <v>1</v>
      </c>
      <c r="H96" s="3257" t="s">
        <v>3304</v>
      </c>
      <c r="I96" s="3237" t="s">
        <v>3305</v>
      </c>
      <c r="J96" s="3240"/>
      <c r="K96" s="3236">
        <v>31.54</v>
      </c>
      <c r="L96" s="3239"/>
      <c r="M96" s="3239"/>
      <c r="N96" s="3506"/>
      <c r="O96" s="3506"/>
      <c r="P96" s="3506"/>
      <c r="Q96" s="3239"/>
      <c r="R96" s="3239"/>
    </row>
    <row r="97" spans="1:18">
      <c r="A97" s="3236">
        <v>94</v>
      </c>
      <c r="B97" s="3236">
        <v>1</v>
      </c>
      <c r="C97" s="3236">
        <v>1</v>
      </c>
      <c r="D97" s="3237">
        <v>410</v>
      </c>
      <c r="E97" s="3239">
        <v>1</v>
      </c>
      <c r="F97" s="3239">
        <v>0</v>
      </c>
      <c r="G97" s="3239">
        <v>1</v>
      </c>
      <c r="H97" s="3257" t="s">
        <v>3304</v>
      </c>
      <c r="I97" s="3237" t="s">
        <v>3305</v>
      </c>
      <c r="J97" s="3240"/>
      <c r="K97" s="3236">
        <v>31.54</v>
      </c>
      <c r="L97" s="3239"/>
      <c r="M97" s="3239"/>
      <c r="N97" s="3506"/>
      <c r="O97" s="3506"/>
      <c r="P97" s="3506"/>
      <c r="Q97" s="3239"/>
      <c r="R97" s="3239"/>
    </row>
    <row r="98" spans="1:18">
      <c r="A98" s="3236">
        <v>95</v>
      </c>
      <c r="B98" s="3236">
        <v>1</v>
      </c>
      <c r="C98" s="3236">
        <v>1</v>
      </c>
      <c r="D98" s="3237">
        <v>411</v>
      </c>
      <c r="E98" s="3239">
        <v>1</v>
      </c>
      <c r="F98" s="3239">
        <v>0</v>
      </c>
      <c r="G98" s="3239">
        <v>1</v>
      </c>
      <c r="H98" s="3257" t="s">
        <v>3304</v>
      </c>
      <c r="I98" s="3237" t="s">
        <v>3307</v>
      </c>
      <c r="J98" s="3240"/>
      <c r="K98" s="3236">
        <v>31.98</v>
      </c>
      <c r="L98" s="3239"/>
      <c r="M98" s="3239"/>
      <c r="N98" s="3506"/>
      <c r="O98" s="3506"/>
      <c r="P98" s="3506"/>
      <c r="Q98" s="3239"/>
      <c r="R98" s="3239"/>
    </row>
    <row r="99" spans="1:18">
      <c r="A99" s="3236">
        <v>96</v>
      </c>
      <c r="B99" s="3236">
        <v>1</v>
      </c>
      <c r="C99" s="3236">
        <v>1</v>
      </c>
      <c r="D99" s="3237">
        <v>412</v>
      </c>
      <c r="E99" s="3239">
        <v>1</v>
      </c>
      <c r="F99" s="3239">
        <v>1</v>
      </c>
      <c r="G99" s="3239">
        <v>1</v>
      </c>
      <c r="H99" s="3257" t="s">
        <v>3304</v>
      </c>
      <c r="I99" s="3237" t="s">
        <v>3308</v>
      </c>
      <c r="J99" s="3240"/>
      <c r="K99" s="3236">
        <v>39.869999999999997</v>
      </c>
      <c r="L99" s="3239"/>
      <c r="M99" s="3239"/>
      <c r="N99" s="3506"/>
      <c r="O99" s="3506"/>
      <c r="P99" s="3506"/>
      <c r="Q99" s="3239"/>
      <c r="R99" s="3239"/>
    </row>
    <row r="100" spans="1:18">
      <c r="A100" s="3236">
        <v>97</v>
      </c>
      <c r="B100" s="3236">
        <v>1</v>
      </c>
      <c r="C100" s="3236">
        <v>1</v>
      </c>
      <c r="D100" s="3237">
        <v>413</v>
      </c>
      <c r="E100" s="3239">
        <v>1</v>
      </c>
      <c r="F100" s="3239">
        <v>1</v>
      </c>
      <c r="G100" s="3239">
        <v>1</v>
      </c>
      <c r="H100" s="3257" t="s">
        <v>3304</v>
      </c>
      <c r="I100" s="3257" t="s">
        <v>3309</v>
      </c>
      <c r="J100" s="3240"/>
      <c r="K100" s="3258">
        <v>39.96</v>
      </c>
      <c r="L100" s="3239"/>
      <c r="M100" s="3239"/>
      <c r="N100" s="3506"/>
      <c r="O100" s="3506"/>
      <c r="P100" s="3506"/>
      <c r="Q100" s="3239"/>
      <c r="R100" s="3239"/>
    </row>
    <row r="101" spans="1:18">
      <c r="A101" s="3236">
        <v>98</v>
      </c>
      <c r="B101" s="3236">
        <v>1</v>
      </c>
      <c r="C101" s="3236">
        <v>1</v>
      </c>
      <c r="D101" s="3237">
        <v>414</v>
      </c>
      <c r="E101" s="3239">
        <v>1</v>
      </c>
      <c r="F101" s="3239">
        <v>1</v>
      </c>
      <c r="G101" s="3239">
        <v>1</v>
      </c>
      <c r="H101" s="3237" t="s">
        <v>3310</v>
      </c>
      <c r="I101" s="3237" t="s">
        <v>3311</v>
      </c>
      <c r="J101" s="3240"/>
      <c r="K101" s="3258">
        <v>38.54</v>
      </c>
      <c r="L101" s="3239"/>
      <c r="M101" s="3239"/>
      <c r="N101" s="3506"/>
      <c r="O101" s="3506"/>
      <c r="P101" s="3506"/>
      <c r="Q101" s="3239"/>
      <c r="R101" s="3239"/>
    </row>
    <row r="102" spans="1:18">
      <c r="A102" s="3236">
        <v>99</v>
      </c>
      <c r="B102" s="3236">
        <v>1</v>
      </c>
      <c r="C102" s="3236">
        <v>1</v>
      </c>
      <c r="D102" s="3237">
        <v>415</v>
      </c>
      <c r="E102" s="3239">
        <v>2</v>
      </c>
      <c r="F102" s="3239">
        <v>1</v>
      </c>
      <c r="G102" s="3239">
        <v>1</v>
      </c>
      <c r="H102" s="3257" t="s">
        <v>3312</v>
      </c>
      <c r="I102" s="3237" t="s">
        <v>3313</v>
      </c>
      <c r="J102" s="3240"/>
      <c r="K102" s="3258">
        <v>67.27</v>
      </c>
      <c r="L102" s="3239"/>
      <c r="M102" s="3239"/>
      <c r="N102" s="3506"/>
      <c r="O102" s="3506"/>
      <c r="P102" s="3506"/>
      <c r="Q102" s="3239"/>
      <c r="R102" s="3239"/>
    </row>
    <row r="103" spans="1:18">
      <c r="A103" s="3236">
        <v>100</v>
      </c>
      <c r="B103" s="3236">
        <v>1</v>
      </c>
      <c r="C103" s="3236">
        <v>1</v>
      </c>
      <c r="D103" s="3237">
        <v>416</v>
      </c>
      <c r="E103" s="3239">
        <v>1</v>
      </c>
      <c r="F103" s="3239">
        <v>1</v>
      </c>
      <c r="G103" s="3239">
        <v>1</v>
      </c>
      <c r="H103" s="3257" t="s">
        <v>3312</v>
      </c>
      <c r="I103" s="3237" t="s">
        <v>3314</v>
      </c>
      <c r="J103" s="3240"/>
      <c r="K103" s="3236">
        <v>39.97</v>
      </c>
      <c r="L103" s="3239"/>
      <c r="M103" s="3239"/>
      <c r="N103" s="3506"/>
      <c r="O103" s="3506"/>
      <c r="P103" s="3506"/>
      <c r="Q103" s="3239"/>
      <c r="R103" s="3239"/>
    </row>
    <row r="104" spans="1:18">
      <c r="A104" s="3236">
        <v>101</v>
      </c>
      <c r="B104" s="3236">
        <v>1</v>
      </c>
      <c r="C104" s="3236">
        <v>1</v>
      </c>
      <c r="D104" s="3237">
        <v>417</v>
      </c>
      <c r="E104" s="3239">
        <v>1</v>
      </c>
      <c r="F104" s="3239">
        <v>1</v>
      </c>
      <c r="G104" s="3239">
        <v>1</v>
      </c>
      <c r="H104" s="3257" t="s">
        <v>3312</v>
      </c>
      <c r="I104" s="3237">
        <v>50</v>
      </c>
      <c r="J104" s="3240"/>
      <c r="K104" s="3236">
        <v>40.32</v>
      </c>
      <c r="L104" s="3239"/>
      <c r="M104" s="3239"/>
      <c r="N104" s="3506"/>
      <c r="O104" s="3506"/>
      <c r="P104" s="3506"/>
      <c r="Q104" s="3239"/>
      <c r="R104" s="3239"/>
    </row>
    <row r="105" spans="1:18">
      <c r="A105" s="3236">
        <v>102</v>
      </c>
      <c r="B105" s="3236">
        <v>1</v>
      </c>
      <c r="C105" s="3236">
        <v>1</v>
      </c>
      <c r="D105" s="3237">
        <v>418</v>
      </c>
      <c r="E105" s="3239">
        <v>1</v>
      </c>
      <c r="F105" s="3239">
        <v>1</v>
      </c>
      <c r="G105" s="3239">
        <v>1</v>
      </c>
      <c r="H105" s="3257" t="s">
        <v>3312</v>
      </c>
      <c r="I105" s="3237">
        <v>50</v>
      </c>
      <c r="J105" s="3240"/>
      <c r="K105" s="3236">
        <v>40.32</v>
      </c>
      <c r="L105" s="3239"/>
      <c r="M105" s="3239"/>
      <c r="N105" s="3506"/>
      <c r="O105" s="3506"/>
      <c r="P105" s="3506"/>
      <c r="Q105" s="3239"/>
      <c r="R105" s="3239"/>
    </row>
    <row r="106" spans="1:18">
      <c r="A106" s="3236">
        <v>103</v>
      </c>
      <c r="B106" s="3236">
        <v>1</v>
      </c>
      <c r="C106" s="3236">
        <v>1</v>
      </c>
      <c r="D106" s="3237">
        <v>419</v>
      </c>
      <c r="E106" s="3239">
        <v>1</v>
      </c>
      <c r="F106" s="3239">
        <v>1</v>
      </c>
      <c r="G106" s="3239">
        <v>1</v>
      </c>
      <c r="H106" s="3257" t="s">
        <v>3312</v>
      </c>
      <c r="I106" s="3237" t="s">
        <v>3308</v>
      </c>
      <c r="J106" s="3240"/>
      <c r="K106" s="3236">
        <v>39.869999999999997</v>
      </c>
      <c r="L106" s="3239"/>
      <c r="M106" s="3239"/>
      <c r="N106" s="3506"/>
      <c r="O106" s="3506"/>
      <c r="P106" s="3506"/>
      <c r="Q106" s="3239"/>
      <c r="R106" s="3239"/>
    </row>
    <row r="107" spans="1:18">
      <c r="A107" s="3236">
        <v>104</v>
      </c>
      <c r="B107" s="3236">
        <v>1</v>
      </c>
      <c r="C107" s="3236">
        <v>1</v>
      </c>
      <c r="D107" s="3237">
        <v>420</v>
      </c>
      <c r="E107" s="3239">
        <v>1</v>
      </c>
      <c r="F107" s="3239">
        <v>1</v>
      </c>
      <c r="G107" s="3239">
        <v>1</v>
      </c>
      <c r="H107" s="3257" t="s">
        <v>3312</v>
      </c>
      <c r="I107" s="3257" t="s">
        <v>3315</v>
      </c>
      <c r="J107" s="3240"/>
      <c r="K107" s="3258">
        <v>41.22</v>
      </c>
      <c r="L107" s="3239"/>
      <c r="M107" s="3239"/>
      <c r="N107" s="3506"/>
      <c r="O107" s="3506"/>
      <c r="P107" s="3506"/>
      <c r="Q107" s="3239"/>
      <c r="R107" s="3239"/>
    </row>
    <row r="108" spans="1:18">
      <c r="A108" s="3236">
        <v>105</v>
      </c>
      <c r="B108" s="3236">
        <v>1</v>
      </c>
      <c r="C108" s="3236">
        <v>1</v>
      </c>
      <c r="D108" s="3237">
        <v>421</v>
      </c>
      <c r="E108" s="3239">
        <v>4</v>
      </c>
      <c r="F108" s="3239">
        <v>1</v>
      </c>
      <c r="G108" s="3239">
        <v>1</v>
      </c>
      <c r="H108" s="3237" t="s">
        <v>3316</v>
      </c>
      <c r="I108" s="3237" t="s">
        <v>3317</v>
      </c>
      <c r="J108" s="3240"/>
      <c r="K108" s="3258">
        <v>75.8</v>
      </c>
      <c r="L108" s="3239"/>
      <c r="M108" s="3239"/>
      <c r="N108" s="3506"/>
      <c r="O108" s="3506"/>
      <c r="P108" s="3506"/>
      <c r="Q108" s="3239"/>
      <c r="R108" s="3239"/>
    </row>
    <row r="109" spans="1:18">
      <c r="A109" s="3236">
        <v>106</v>
      </c>
      <c r="B109" s="3236">
        <v>1</v>
      </c>
      <c r="C109" s="3236">
        <v>1</v>
      </c>
      <c r="D109" s="3237">
        <v>422</v>
      </c>
      <c r="E109" s="3239">
        <v>4</v>
      </c>
      <c r="F109" s="3239">
        <v>1</v>
      </c>
      <c r="G109" s="3239">
        <v>1</v>
      </c>
      <c r="H109" s="3237" t="s">
        <v>3318</v>
      </c>
      <c r="I109" s="3237" t="s">
        <v>3319</v>
      </c>
      <c r="J109" s="3240"/>
      <c r="K109" s="3258">
        <v>75.8</v>
      </c>
      <c r="L109" s="3239"/>
      <c r="M109" s="3239"/>
      <c r="N109" s="3506"/>
      <c r="O109" s="3506"/>
      <c r="P109" s="3506"/>
      <c r="Q109" s="3239"/>
      <c r="R109" s="3239"/>
    </row>
    <row r="110" spans="1:18">
      <c r="A110" s="3236">
        <v>107</v>
      </c>
      <c r="B110" s="3236">
        <v>1</v>
      </c>
      <c r="C110" s="3236">
        <v>1</v>
      </c>
      <c r="D110" s="3237">
        <v>423</v>
      </c>
      <c r="E110" s="3239">
        <v>1</v>
      </c>
      <c r="F110" s="3239">
        <v>1</v>
      </c>
      <c r="G110" s="3239">
        <v>1</v>
      </c>
      <c r="H110" s="3237" t="s">
        <v>3300</v>
      </c>
      <c r="I110" s="3237" t="s">
        <v>3308</v>
      </c>
      <c r="J110" s="3240"/>
      <c r="K110" s="3236">
        <v>39.869999999999997</v>
      </c>
      <c r="L110" s="3239"/>
      <c r="M110" s="3239"/>
      <c r="N110" s="3506"/>
      <c r="O110" s="3506"/>
      <c r="P110" s="3506"/>
      <c r="Q110" s="3239"/>
      <c r="R110" s="3239"/>
    </row>
    <row r="111" spans="1:18">
      <c r="A111" s="3236">
        <v>108</v>
      </c>
      <c r="B111" s="3236">
        <v>1</v>
      </c>
      <c r="C111" s="3236">
        <v>1</v>
      </c>
      <c r="D111" s="3237">
        <v>424</v>
      </c>
      <c r="E111" s="3239">
        <v>1</v>
      </c>
      <c r="F111" s="3239">
        <v>1</v>
      </c>
      <c r="G111" s="3239">
        <v>1</v>
      </c>
      <c r="H111" s="3237" t="s">
        <v>3300</v>
      </c>
      <c r="I111" s="3237">
        <v>50</v>
      </c>
      <c r="J111" s="3240"/>
      <c r="K111" s="3236">
        <v>40.32</v>
      </c>
      <c r="L111" s="3239"/>
      <c r="M111" s="3239"/>
      <c r="N111" s="3506"/>
      <c r="O111" s="3506"/>
      <c r="P111" s="3506"/>
      <c r="Q111" s="3239"/>
      <c r="R111" s="3239"/>
    </row>
    <row r="112" spans="1:18">
      <c r="A112" s="3236">
        <v>109</v>
      </c>
      <c r="B112" s="3236">
        <v>1</v>
      </c>
      <c r="C112" s="3236">
        <v>1</v>
      </c>
      <c r="D112" s="3237">
        <v>425</v>
      </c>
      <c r="E112" s="3239">
        <v>1</v>
      </c>
      <c r="F112" s="3239">
        <v>1</v>
      </c>
      <c r="G112" s="3239">
        <v>1</v>
      </c>
      <c r="H112" s="3237" t="s">
        <v>3300</v>
      </c>
      <c r="I112" s="3237" t="s">
        <v>3320</v>
      </c>
      <c r="J112" s="3240"/>
      <c r="K112" s="3236">
        <v>40.42</v>
      </c>
      <c r="L112" s="3239"/>
      <c r="M112" s="3239"/>
      <c r="N112" s="3506"/>
      <c r="O112" s="3506"/>
      <c r="P112" s="3506"/>
      <c r="Q112" s="3239"/>
      <c r="R112" s="3239"/>
    </row>
    <row r="113" spans="1:18">
      <c r="A113" s="3236">
        <v>110</v>
      </c>
      <c r="B113" s="3236">
        <v>1</v>
      </c>
      <c r="C113" s="3236">
        <v>1</v>
      </c>
      <c r="D113" s="3237">
        <v>426</v>
      </c>
      <c r="E113" s="3239">
        <v>1</v>
      </c>
      <c r="F113" s="3239">
        <v>1</v>
      </c>
      <c r="G113" s="3239">
        <v>1</v>
      </c>
      <c r="H113" s="3237" t="s">
        <v>3295</v>
      </c>
      <c r="I113" s="3237" t="s">
        <v>3321</v>
      </c>
      <c r="J113" s="3240"/>
      <c r="K113" s="3236">
        <v>42.56</v>
      </c>
      <c r="L113" s="3239"/>
      <c r="M113" s="3239"/>
      <c r="N113" s="3506"/>
      <c r="O113" s="3506"/>
      <c r="P113" s="3506"/>
      <c r="Q113" s="3239"/>
      <c r="R113" s="3239"/>
    </row>
    <row r="114" spans="1:18">
      <c r="A114" s="3236">
        <v>111</v>
      </c>
      <c r="B114" s="3236">
        <v>1</v>
      </c>
      <c r="C114" s="3236">
        <v>1</v>
      </c>
      <c r="D114" s="3237">
        <v>427</v>
      </c>
      <c r="E114" s="3239">
        <v>1</v>
      </c>
      <c r="F114" s="3239">
        <v>1</v>
      </c>
      <c r="G114" s="3239">
        <v>1</v>
      </c>
      <c r="H114" s="3237" t="s">
        <v>3295</v>
      </c>
      <c r="I114" s="3237">
        <v>50</v>
      </c>
      <c r="J114" s="3240"/>
      <c r="K114" s="3236">
        <v>40.32</v>
      </c>
      <c r="L114" s="3239"/>
      <c r="M114" s="3239"/>
      <c r="N114" s="3506"/>
      <c r="O114" s="3506"/>
      <c r="P114" s="3506"/>
      <c r="Q114" s="3239"/>
      <c r="R114" s="3239"/>
    </row>
    <row r="115" spans="1:18">
      <c r="A115" s="3236">
        <v>112</v>
      </c>
      <c r="B115" s="3236">
        <v>1</v>
      </c>
      <c r="C115" s="3236">
        <v>1</v>
      </c>
      <c r="D115" s="3237">
        <v>428</v>
      </c>
      <c r="E115" s="3239">
        <v>1</v>
      </c>
      <c r="F115" s="3239">
        <v>1</v>
      </c>
      <c r="G115" s="3239">
        <v>1</v>
      </c>
      <c r="H115" s="3237" t="s">
        <v>3295</v>
      </c>
      <c r="I115" s="3237">
        <v>50</v>
      </c>
      <c r="J115" s="3240"/>
      <c r="K115" s="3236">
        <v>40.32</v>
      </c>
      <c r="L115" s="3239"/>
      <c r="M115" s="3239"/>
      <c r="N115" s="3506"/>
      <c r="O115" s="3506"/>
      <c r="P115" s="3506"/>
      <c r="Q115" s="3239"/>
      <c r="R115" s="3239"/>
    </row>
    <row r="116" spans="1:18">
      <c r="A116" s="3236">
        <v>113</v>
      </c>
      <c r="B116" s="3236">
        <v>1</v>
      </c>
      <c r="C116" s="3236">
        <v>1</v>
      </c>
      <c r="D116" s="3237">
        <v>429</v>
      </c>
      <c r="E116" s="3239">
        <v>1</v>
      </c>
      <c r="F116" s="3239">
        <v>1</v>
      </c>
      <c r="G116" s="3239">
        <v>1</v>
      </c>
      <c r="H116" s="3237" t="s">
        <v>3295</v>
      </c>
      <c r="I116" s="3237">
        <v>50</v>
      </c>
      <c r="J116" s="3240"/>
      <c r="K116" s="3236">
        <v>40.32</v>
      </c>
      <c r="L116" s="3239"/>
      <c r="M116" s="3239"/>
      <c r="N116" s="3506"/>
      <c r="O116" s="3506"/>
      <c r="P116" s="3506"/>
      <c r="Q116" s="3239"/>
      <c r="R116" s="3239"/>
    </row>
    <row r="117" spans="1:18">
      <c r="A117" s="3236">
        <v>114</v>
      </c>
      <c r="B117" s="3236">
        <v>1</v>
      </c>
      <c r="C117" s="3236">
        <v>1</v>
      </c>
      <c r="D117" s="3237">
        <v>430</v>
      </c>
      <c r="E117" s="3239">
        <v>1</v>
      </c>
      <c r="F117" s="3239">
        <v>1</v>
      </c>
      <c r="G117" s="3239">
        <v>1</v>
      </c>
      <c r="H117" s="3237" t="s">
        <v>3295</v>
      </c>
      <c r="I117" s="3237">
        <v>50</v>
      </c>
      <c r="J117" s="3240"/>
      <c r="K117" s="3236">
        <v>40.32</v>
      </c>
      <c r="L117" s="3239"/>
      <c r="M117" s="3239"/>
      <c r="N117" s="3506"/>
      <c r="O117" s="3506"/>
      <c r="P117" s="3506"/>
      <c r="Q117" s="3239"/>
      <c r="R117" s="3239"/>
    </row>
    <row r="118" spans="1:18">
      <c r="A118" s="3236">
        <v>115</v>
      </c>
      <c r="B118" s="3236">
        <v>1</v>
      </c>
      <c r="C118" s="3236">
        <v>1</v>
      </c>
      <c r="D118" s="3237">
        <v>431</v>
      </c>
      <c r="E118" s="3239">
        <v>1</v>
      </c>
      <c r="F118" s="3239">
        <v>1</v>
      </c>
      <c r="G118" s="3239">
        <v>1</v>
      </c>
      <c r="H118" s="3237" t="s">
        <v>3295</v>
      </c>
      <c r="I118" s="3237">
        <v>50</v>
      </c>
      <c r="J118" s="3240"/>
      <c r="K118" s="3236">
        <v>40.32</v>
      </c>
      <c r="L118" s="3239"/>
      <c r="M118" s="3239"/>
      <c r="N118" s="3506"/>
      <c r="O118" s="3506"/>
      <c r="P118" s="3506"/>
      <c r="Q118" s="3239"/>
      <c r="R118" s="3239"/>
    </row>
    <row r="119" spans="1:18">
      <c r="A119" s="3236">
        <v>116</v>
      </c>
      <c r="B119" s="3236">
        <v>1</v>
      </c>
      <c r="C119" s="3236">
        <v>1</v>
      </c>
      <c r="D119" s="3237">
        <v>432</v>
      </c>
      <c r="E119" s="3239">
        <v>1</v>
      </c>
      <c r="F119" s="3239">
        <v>1</v>
      </c>
      <c r="G119" s="3239">
        <v>1</v>
      </c>
      <c r="H119" s="3237" t="s">
        <v>3295</v>
      </c>
      <c r="I119" s="3237">
        <v>50</v>
      </c>
      <c r="J119" s="3240"/>
      <c r="K119" s="3236">
        <v>40.32</v>
      </c>
      <c r="L119" s="3239"/>
      <c r="M119" s="3239"/>
      <c r="N119" s="3506"/>
      <c r="O119" s="3506"/>
      <c r="P119" s="3506"/>
      <c r="Q119" s="3239"/>
      <c r="R119" s="3239"/>
    </row>
    <row r="120" spans="1:18">
      <c r="A120" s="3236">
        <v>117</v>
      </c>
      <c r="B120" s="3236">
        <v>1</v>
      </c>
      <c r="C120" s="3236">
        <v>1</v>
      </c>
      <c r="D120" s="3237">
        <v>433</v>
      </c>
      <c r="E120" s="3239">
        <v>1</v>
      </c>
      <c r="F120" s="3239">
        <v>1</v>
      </c>
      <c r="G120" s="3239">
        <v>1</v>
      </c>
      <c r="H120" s="3237" t="s">
        <v>3295</v>
      </c>
      <c r="I120" s="3237">
        <v>50</v>
      </c>
      <c r="J120" s="3240"/>
      <c r="K120" s="3236">
        <v>40.32</v>
      </c>
      <c r="L120" s="3239"/>
      <c r="M120" s="3239"/>
      <c r="N120" s="3506"/>
      <c r="O120" s="3506"/>
      <c r="P120" s="3506"/>
      <c r="Q120" s="3239"/>
      <c r="R120" s="3239"/>
    </row>
    <row r="121" spans="1:18">
      <c r="A121" s="3236">
        <v>118</v>
      </c>
      <c r="B121" s="3236">
        <v>1</v>
      </c>
      <c r="C121" s="3236">
        <v>1</v>
      </c>
      <c r="D121" s="3237">
        <v>434</v>
      </c>
      <c r="E121" s="3239">
        <v>1</v>
      </c>
      <c r="F121" s="3239">
        <v>1</v>
      </c>
      <c r="G121" s="3239">
        <v>1</v>
      </c>
      <c r="H121" s="3237" t="s">
        <v>3295</v>
      </c>
      <c r="I121" s="3237">
        <v>50</v>
      </c>
      <c r="J121" s="3240"/>
      <c r="K121" s="3236">
        <v>40.32</v>
      </c>
      <c r="L121" s="3239"/>
      <c r="M121" s="3239"/>
      <c r="N121" s="3506"/>
      <c r="O121" s="3506"/>
      <c r="P121" s="3506"/>
      <c r="Q121" s="3239"/>
      <c r="R121" s="3239"/>
    </row>
    <row r="122" spans="1:18">
      <c r="A122" s="3236">
        <v>119</v>
      </c>
      <c r="B122" s="3236">
        <v>1</v>
      </c>
      <c r="C122" s="3236">
        <v>1</v>
      </c>
      <c r="D122" s="3237">
        <v>435</v>
      </c>
      <c r="E122" s="3239">
        <v>1</v>
      </c>
      <c r="F122" s="3239">
        <v>1</v>
      </c>
      <c r="G122" s="3239">
        <v>1</v>
      </c>
      <c r="H122" s="3237" t="s">
        <v>3295</v>
      </c>
      <c r="I122" s="3237">
        <v>50</v>
      </c>
      <c r="J122" s="3240"/>
      <c r="K122" s="3236">
        <v>40.32</v>
      </c>
      <c r="L122" s="3239"/>
      <c r="M122" s="3239"/>
      <c r="N122" s="3506"/>
      <c r="O122" s="3506"/>
      <c r="P122" s="3506"/>
      <c r="Q122" s="3239"/>
      <c r="R122" s="3239"/>
    </row>
    <row r="123" spans="1:18">
      <c r="A123" s="3236">
        <v>120</v>
      </c>
      <c r="B123" s="3236">
        <v>1</v>
      </c>
      <c r="C123" s="3236">
        <v>1</v>
      </c>
      <c r="D123" s="3237">
        <v>436</v>
      </c>
      <c r="E123" s="3239">
        <v>1</v>
      </c>
      <c r="F123" s="3239">
        <v>1</v>
      </c>
      <c r="G123" s="3239">
        <v>1</v>
      </c>
      <c r="H123" s="3237" t="s">
        <v>3295</v>
      </c>
      <c r="I123" s="3237">
        <v>50</v>
      </c>
      <c r="J123" s="3240"/>
      <c r="K123" s="3236">
        <v>40.32</v>
      </c>
      <c r="L123" s="3239"/>
      <c r="M123" s="3239"/>
      <c r="N123" s="3506"/>
      <c r="O123" s="3506"/>
      <c r="P123" s="3506"/>
      <c r="Q123" s="3239"/>
      <c r="R123" s="3239"/>
    </row>
    <row r="124" spans="1:18">
      <c r="A124" s="3236">
        <v>121</v>
      </c>
      <c r="B124" s="3236">
        <v>1</v>
      </c>
      <c r="C124" s="3236">
        <v>1</v>
      </c>
      <c r="D124" s="3237">
        <v>437</v>
      </c>
      <c r="E124" s="3239">
        <v>1</v>
      </c>
      <c r="F124" s="3239">
        <v>0</v>
      </c>
      <c r="G124" s="3239">
        <v>1</v>
      </c>
      <c r="H124" s="3237" t="s">
        <v>3295</v>
      </c>
      <c r="I124" s="3257" t="s">
        <v>3322</v>
      </c>
      <c r="J124" s="3240"/>
      <c r="K124" s="3236">
        <v>34.5</v>
      </c>
      <c r="L124" s="3239"/>
      <c r="M124" s="3239"/>
      <c r="N124" s="3506"/>
      <c r="O124" s="3506"/>
      <c r="P124" s="3506"/>
      <c r="Q124" s="3239"/>
      <c r="R124" s="3239"/>
    </row>
    <row r="125" spans="1:18">
      <c r="A125" s="3236">
        <v>122</v>
      </c>
      <c r="B125" s="3236">
        <v>1</v>
      </c>
      <c r="C125" s="3236">
        <v>1</v>
      </c>
      <c r="D125" s="3237">
        <v>438</v>
      </c>
      <c r="E125" s="3239">
        <v>1</v>
      </c>
      <c r="F125" s="3239">
        <v>0</v>
      </c>
      <c r="G125" s="3239">
        <v>1</v>
      </c>
      <c r="H125" s="3237" t="s">
        <v>3295</v>
      </c>
      <c r="I125" s="3237">
        <v>40</v>
      </c>
      <c r="J125" s="3240"/>
      <c r="K125" s="3236">
        <v>35.26</v>
      </c>
      <c r="L125" s="3239"/>
      <c r="M125" s="3239"/>
      <c r="N125" s="3506"/>
      <c r="O125" s="3506"/>
      <c r="P125" s="3506"/>
      <c r="Q125" s="3239"/>
      <c r="R125" s="3239"/>
    </row>
    <row r="126" spans="1:18" ht="14.25" thickBot="1">
      <c r="A126" s="3236">
        <v>123</v>
      </c>
      <c r="B126" s="3236">
        <v>1</v>
      </c>
      <c r="C126" s="3236">
        <v>1</v>
      </c>
      <c r="D126" s="3248">
        <v>439</v>
      </c>
      <c r="E126" s="3250">
        <v>1</v>
      </c>
      <c r="F126" s="3250">
        <v>0</v>
      </c>
      <c r="G126" s="3250">
        <v>1</v>
      </c>
      <c r="H126" s="3248" t="s">
        <v>3300</v>
      </c>
      <c r="I126" s="3248" t="s">
        <v>3323</v>
      </c>
      <c r="J126" s="3249"/>
      <c r="K126" s="3265">
        <v>32.42</v>
      </c>
      <c r="L126" s="3250"/>
      <c r="M126" s="3250"/>
      <c r="N126" s="3512"/>
      <c r="O126" s="3512"/>
      <c r="P126" s="3512"/>
      <c r="Q126" s="3250"/>
      <c r="R126" s="3250"/>
    </row>
    <row r="127" spans="1:18" ht="14.25" thickTop="1">
      <c r="A127" s="3236">
        <v>124</v>
      </c>
      <c r="B127" s="3236">
        <v>1</v>
      </c>
      <c r="C127" s="3236">
        <v>1</v>
      </c>
      <c r="D127" s="3251">
        <v>501</v>
      </c>
      <c r="E127" s="3252">
        <v>1</v>
      </c>
      <c r="F127" s="3252">
        <v>1</v>
      </c>
      <c r="G127" s="3252">
        <v>1</v>
      </c>
      <c r="H127" s="3251" t="s">
        <v>3302</v>
      </c>
      <c r="I127" s="3251" t="s">
        <v>3303</v>
      </c>
      <c r="J127" s="3253"/>
      <c r="K127" s="3254">
        <v>40.520000000000003</v>
      </c>
      <c r="L127" s="3252"/>
      <c r="M127" s="3252"/>
      <c r="N127" s="3505">
        <v>2.9</v>
      </c>
      <c r="O127" s="3508" t="s">
        <v>3297</v>
      </c>
      <c r="P127" s="3508" t="s">
        <v>3298</v>
      </c>
      <c r="Q127" s="3261"/>
      <c r="R127" s="3261"/>
    </row>
    <row r="128" spans="1:18">
      <c r="A128" s="3236">
        <v>125</v>
      </c>
      <c r="B128" s="3236">
        <v>1</v>
      </c>
      <c r="C128" s="3236">
        <v>1</v>
      </c>
      <c r="D128" s="3237">
        <v>502</v>
      </c>
      <c r="E128" s="3239">
        <v>1</v>
      </c>
      <c r="F128" s="3239">
        <v>0</v>
      </c>
      <c r="G128" s="3239">
        <v>1</v>
      </c>
      <c r="H128" s="3257" t="s">
        <v>3304</v>
      </c>
      <c r="I128" s="3237" t="s">
        <v>3305</v>
      </c>
      <c r="J128" s="3240"/>
      <c r="K128" s="3236">
        <v>31.54</v>
      </c>
      <c r="L128" s="3239"/>
      <c r="M128" s="3239"/>
      <c r="N128" s="3506"/>
      <c r="O128" s="3506"/>
      <c r="P128" s="3506"/>
      <c r="Q128" s="3239"/>
      <c r="R128" s="3239"/>
    </row>
    <row r="129" spans="1:18">
      <c r="A129" s="3236">
        <v>126</v>
      </c>
      <c r="B129" s="3236">
        <v>1</v>
      </c>
      <c r="C129" s="3236">
        <v>1</v>
      </c>
      <c r="D129" s="3237">
        <v>503</v>
      </c>
      <c r="E129" s="3239">
        <v>1</v>
      </c>
      <c r="F129" s="3239">
        <v>0</v>
      </c>
      <c r="G129" s="3239">
        <v>1</v>
      </c>
      <c r="H129" s="3257" t="s">
        <v>3304</v>
      </c>
      <c r="I129" s="3237" t="s">
        <v>3305</v>
      </c>
      <c r="J129" s="3240"/>
      <c r="K129" s="3236">
        <v>31.54</v>
      </c>
      <c r="L129" s="3239"/>
      <c r="M129" s="3239"/>
      <c r="N129" s="3506"/>
      <c r="O129" s="3506"/>
      <c r="P129" s="3506"/>
      <c r="Q129" s="3239"/>
      <c r="R129" s="3239"/>
    </row>
    <row r="130" spans="1:18">
      <c r="A130" s="3236">
        <v>127</v>
      </c>
      <c r="B130" s="3236">
        <v>1</v>
      </c>
      <c r="C130" s="3236">
        <v>1</v>
      </c>
      <c r="D130" s="3237">
        <v>504</v>
      </c>
      <c r="E130" s="3239">
        <v>1</v>
      </c>
      <c r="F130" s="3239">
        <v>0</v>
      </c>
      <c r="G130" s="3239">
        <v>1</v>
      </c>
      <c r="H130" s="3257" t="s">
        <v>3304</v>
      </c>
      <c r="I130" s="3237" t="s">
        <v>3306</v>
      </c>
      <c r="J130" s="3240"/>
      <c r="K130" s="3236">
        <v>32.26</v>
      </c>
      <c r="L130" s="3239"/>
      <c r="M130" s="3239"/>
      <c r="N130" s="3506"/>
      <c r="O130" s="3506"/>
      <c r="P130" s="3506"/>
      <c r="Q130" s="3239"/>
      <c r="R130" s="3239"/>
    </row>
    <row r="131" spans="1:18">
      <c r="A131" s="3236">
        <v>128</v>
      </c>
      <c r="B131" s="3236">
        <v>1</v>
      </c>
      <c r="C131" s="3236">
        <v>1</v>
      </c>
      <c r="D131" s="3237">
        <v>505</v>
      </c>
      <c r="E131" s="3239">
        <v>1</v>
      </c>
      <c r="F131" s="3239">
        <v>0</v>
      </c>
      <c r="G131" s="3239">
        <v>1</v>
      </c>
      <c r="H131" s="3257" t="s">
        <v>3304</v>
      </c>
      <c r="I131" s="3237" t="s">
        <v>3306</v>
      </c>
      <c r="J131" s="3240"/>
      <c r="K131" s="3236">
        <v>32.26</v>
      </c>
      <c r="L131" s="3239"/>
      <c r="M131" s="3239"/>
      <c r="N131" s="3506"/>
      <c r="O131" s="3506"/>
      <c r="P131" s="3506"/>
      <c r="Q131" s="3239"/>
      <c r="R131" s="3239"/>
    </row>
    <row r="132" spans="1:18">
      <c r="A132" s="3236">
        <v>129</v>
      </c>
      <c r="B132" s="3236">
        <v>1</v>
      </c>
      <c r="C132" s="3236">
        <v>1</v>
      </c>
      <c r="D132" s="3237">
        <v>506</v>
      </c>
      <c r="E132" s="3239">
        <v>1</v>
      </c>
      <c r="F132" s="3239">
        <v>0</v>
      </c>
      <c r="G132" s="3239">
        <v>1</v>
      </c>
      <c r="H132" s="3257" t="s">
        <v>3304</v>
      </c>
      <c r="I132" s="3237" t="s">
        <v>3305</v>
      </c>
      <c r="J132" s="3240"/>
      <c r="K132" s="3236">
        <v>31.54</v>
      </c>
      <c r="L132" s="3239"/>
      <c r="M132" s="3239"/>
      <c r="N132" s="3506"/>
      <c r="O132" s="3506"/>
      <c r="P132" s="3506"/>
      <c r="Q132" s="3239"/>
      <c r="R132" s="3239"/>
    </row>
    <row r="133" spans="1:18">
      <c r="A133" s="3236">
        <v>130</v>
      </c>
      <c r="B133" s="3236">
        <v>1</v>
      </c>
      <c r="C133" s="3236">
        <v>1</v>
      </c>
      <c r="D133" s="3237">
        <v>507</v>
      </c>
      <c r="E133" s="3239">
        <v>1</v>
      </c>
      <c r="F133" s="3239">
        <v>0</v>
      </c>
      <c r="G133" s="3239">
        <v>1</v>
      </c>
      <c r="H133" s="3257" t="s">
        <v>3304</v>
      </c>
      <c r="I133" s="3237" t="s">
        <v>3305</v>
      </c>
      <c r="J133" s="3240"/>
      <c r="K133" s="3236">
        <v>31.54</v>
      </c>
      <c r="L133" s="3239"/>
      <c r="M133" s="3239"/>
      <c r="N133" s="3506"/>
      <c r="O133" s="3506"/>
      <c r="P133" s="3506"/>
      <c r="Q133" s="3239"/>
      <c r="R133" s="3239"/>
    </row>
    <row r="134" spans="1:18">
      <c r="A134" s="3236">
        <v>131</v>
      </c>
      <c r="B134" s="3236">
        <v>1</v>
      </c>
      <c r="C134" s="3236">
        <v>1</v>
      </c>
      <c r="D134" s="3237">
        <v>508</v>
      </c>
      <c r="E134" s="3239">
        <v>1</v>
      </c>
      <c r="F134" s="3239">
        <v>0</v>
      </c>
      <c r="G134" s="3239">
        <v>1</v>
      </c>
      <c r="H134" s="3257" t="s">
        <v>3304</v>
      </c>
      <c r="I134" s="3237" t="s">
        <v>3305</v>
      </c>
      <c r="J134" s="3240"/>
      <c r="K134" s="3236">
        <v>31.54</v>
      </c>
      <c r="L134" s="3239"/>
      <c r="M134" s="3239"/>
      <c r="N134" s="3506"/>
      <c r="O134" s="3506"/>
      <c r="P134" s="3506"/>
      <c r="Q134" s="3239"/>
      <c r="R134" s="3239"/>
    </row>
    <row r="135" spans="1:18">
      <c r="A135" s="3236">
        <v>132</v>
      </c>
      <c r="B135" s="3236">
        <v>1</v>
      </c>
      <c r="C135" s="3236">
        <v>1</v>
      </c>
      <c r="D135" s="3237">
        <v>509</v>
      </c>
      <c r="E135" s="3239">
        <v>1</v>
      </c>
      <c r="F135" s="3239">
        <v>0</v>
      </c>
      <c r="G135" s="3239">
        <v>1</v>
      </c>
      <c r="H135" s="3257" t="s">
        <v>3304</v>
      </c>
      <c r="I135" s="3237" t="s">
        <v>3305</v>
      </c>
      <c r="J135" s="3240"/>
      <c r="K135" s="3236">
        <v>31.54</v>
      </c>
      <c r="L135" s="3239"/>
      <c r="M135" s="3239"/>
      <c r="N135" s="3506"/>
      <c r="O135" s="3506"/>
      <c r="P135" s="3506"/>
      <c r="Q135" s="3239"/>
      <c r="R135" s="3239"/>
    </row>
    <row r="136" spans="1:18">
      <c r="A136" s="3236">
        <v>133</v>
      </c>
      <c r="B136" s="3236">
        <v>1</v>
      </c>
      <c r="C136" s="3236">
        <v>1</v>
      </c>
      <c r="D136" s="3237">
        <v>510</v>
      </c>
      <c r="E136" s="3239">
        <v>1</v>
      </c>
      <c r="F136" s="3239">
        <v>0</v>
      </c>
      <c r="G136" s="3239">
        <v>1</v>
      </c>
      <c r="H136" s="3257" t="s">
        <v>3304</v>
      </c>
      <c r="I136" s="3237" t="s">
        <v>3305</v>
      </c>
      <c r="J136" s="3240"/>
      <c r="K136" s="3236">
        <v>31.54</v>
      </c>
      <c r="L136" s="3239"/>
      <c r="M136" s="3239"/>
      <c r="N136" s="3506"/>
      <c r="O136" s="3506"/>
      <c r="P136" s="3506"/>
      <c r="Q136" s="3239"/>
      <c r="R136" s="3239"/>
    </row>
    <row r="137" spans="1:18">
      <c r="A137" s="3236">
        <v>134</v>
      </c>
      <c r="B137" s="3236">
        <v>1</v>
      </c>
      <c r="C137" s="3236">
        <v>1</v>
      </c>
      <c r="D137" s="3237">
        <v>511</v>
      </c>
      <c r="E137" s="3239">
        <v>1</v>
      </c>
      <c r="F137" s="3239">
        <v>0</v>
      </c>
      <c r="G137" s="3239">
        <v>1</v>
      </c>
      <c r="H137" s="3257" t="s">
        <v>3304</v>
      </c>
      <c r="I137" s="3237" t="s">
        <v>3307</v>
      </c>
      <c r="J137" s="3240"/>
      <c r="K137" s="3236">
        <v>31.98</v>
      </c>
      <c r="L137" s="3239"/>
      <c r="M137" s="3239"/>
      <c r="N137" s="3506"/>
      <c r="O137" s="3506"/>
      <c r="P137" s="3506"/>
      <c r="Q137" s="3239"/>
      <c r="R137" s="3239"/>
    </row>
    <row r="138" spans="1:18">
      <c r="A138" s="3236">
        <v>135</v>
      </c>
      <c r="B138" s="3236">
        <v>1</v>
      </c>
      <c r="C138" s="3236">
        <v>1</v>
      </c>
      <c r="D138" s="3237">
        <v>512</v>
      </c>
      <c r="E138" s="3239">
        <v>1</v>
      </c>
      <c r="F138" s="3239">
        <v>1</v>
      </c>
      <c r="G138" s="3239">
        <v>1</v>
      </c>
      <c r="H138" s="3257" t="s">
        <v>3304</v>
      </c>
      <c r="I138" s="3237" t="s">
        <v>3308</v>
      </c>
      <c r="J138" s="3240"/>
      <c r="K138" s="3236">
        <v>39.869999999999997</v>
      </c>
      <c r="L138" s="3239"/>
      <c r="M138" s="3239"/>
      <c r="N138" s="3506"/>
      <c r="O138" s="3506"/>
      <c r="P138" s="3506"/>
      <c r="Q138" s="3239"/>
      <c r="R138" s="3239"/>
    </row>
    <row r="139" spans="1:18">
      <c r="A139" s="3236">
        <v>136</v>
      </c>
      <c r="B139" s="3236">
        <v>1</v>
      </c>
      <c r="C139" s="3236">
        <v>1</v>
      </c>
      <c r="D139" s="3237">
        <v>513</v>
      </c>
      <c r="E139" s="3239">
        <v>1</v>
      </c>
      <c r="F139" s="3239">
        <v>1</v>
      </c>
      <c r="G139" s="3239">
        <v>1</v>
      </c>
      <c r="H139" s="3257" t="s">
        <v>3304</v>
      </c>
      <c r="I139" s="3257" t="s">
        <v>3309</v>
      </c>
      <c r="J139" s="3240"/>
      <c r="K139" s="3258">
        <v>39.96</v>
      </c>
      <c r="L139" s="3239"/>
      <c r="M139" s="3239"/>
      <c r="N139" s="3506"/>
      <c r="O139" s="3506"/>
      <c r="P139" s="3506"/>
      <c r="Q139" s="3239"/>
      <c r="R139" s="3239"/>
    </row>
    <row r="140" spans="1:18">
      <c r="A140" s="3236">
        <v>137</v>
      </c>
      <c r="B140" s="3236">
        <v>1</v>
      </c>
      <c r="C140" s="3236">
        <v>1</v>
      </c>
      <c r="D140" s="3237">
        <v>514</v>
      </c>
      <c r="E140" s="3239">
        <v>1</v>
      </c>
      <c r="F140" s="3239">
        <v>1</v>
      </c>
      <c r="G140" s="3239">
        <v>1</v>
      </c>
      <c r="H140" s="3237" t="s">
        <v>3310</v>
      </c>
      <c r="I140" s="3237" t="s">
        <v>3311</v>
      </c>
      <c r="J140" s="3240"/>
      <c r="K140" s="3258">
        <v>38.54</v>
      </c>
      <c r="L140" s="3239"/>
      <c r="M140" s="3239"/>
      <c r="N140" s="3506"/>
      <c r="O140" s="3506"/>
      <c r="P140" s="3506"/>
      <c r="Q140" s="3239"/>
      <c r="R140" s="3239"/>
    </row>
    <row r="141" spans="1:18">
      <c r="A141" s="3236">
        <v>138</v>
      </c>
      <c r="B141" s="3236">
        <v>1</v>
      </c>
      <c r="C141" s="3236">
        <v>1</v>
      </c>
      <c r="D141" s="3237">
        <v>515</v>
      </c>
      <c r="E141" s="3239">
        <v>2</v>
      </c>
      <c r="F141" s="3239">
        <v>1</v>
      </c>
      <c r="G141" s="3239">
        <v>1</v>
      </c>
      <c r="H141" s="3257" t="s">
        <v>3312</v>
      </c>
      <c r="I141" s="3237" t="s">
        <v>3313</v>
      </c>
      <c r="J141" s="3240"/>
      <c r="K141" s="3258">
        <v>67.27</v>
      </c>
      <c r="L141" s="3239"/>
      <c r="M141" s="3239"/>
      <c r="N141" s="3506"/>
      <c r="O141" s="3506"/>
      <c r="P141" s="3506"/>
      <c r="Q141" s="3239"/>
      <c r="R141" s="3239"/>
    </row>
    <row r="142" spans="1:18">
      <c r="A142" s="3236">
        <v>139</v>
      </c>
      <c r="B142" s="3236">
        <v>1</v>
      </c>
      <c r="C142" s="3236">
        <v>1</v>
      </c>
      <c r="D142" s="3237">
        <v>516</v>
      </c>
      <c r="E142" s="3239">
        <v>1</v>
      </c>
      <c r="F142" s="3239">
        <v>1</v>
      </c>
      <c r="G142" s="3239">
        <v>1</v>
      </c>
      <c r="H142" s="3257" t="s">
        <v>3312</v>
      </c>
      <c r="I142" s="3237" t="s">
        <v>3314</v>
      </c>
      <c r="J142" s="3240"/>
      <c r="K142" s="3236">
        <v>39.97</v>
      </c>
      <c r="L142" s="3239"/>
      <c r="M142" s="3239"/>
      <c r="N142" s="3506"/>
      <c r="O142" s="3506"/>
      <c r="P142" s="3506"/>
      <c r="Q142" s="3239"/>
      <c r="R142" s="3239"/>
    </row>
    <row r="143" spans="1:18">
      <c r="A143" s="3236">
        <v>140</v>
      </c>
      <c r="B143" s="3236">
        <v>1</v>
      </c>
      <c r="C143" s="3236">
        <v>1</v>
      </c>
      <c r="D143" s="3237">
        <v>517</v>
      </c>
      <c r="E143" s="3239">
        <v>1</v>
      </c>
      <c r="F143" s="3239">
        <v>1</v>
      </c>
      <c r="G143" s="3239">
        <v>1</v>
      </c>
      <c r="H143" s="3257" t="s">
        <v>3312</v>
      </c>
      <c r="I143" s="3237">
        <v>50</v>
      </c>
      <c r="J143" s="3240"/>
      <c r="K143" s="3236">
        <v>40.32</v>
      </c>
      <c r="L143" s="3239"/>
      <c r="M143" s="3239"/>
      <c r="N143" s="3506"/>
      <c r="O143" s="3506"/>
      <c r="P143" s="3506"/>
      <c r="Q143" s="3239"/>
      <c r="R143" s="3239"/>
    </row>
    <row r="144" spans="1:18">
      <c r="A144" s="3236">
        <v>141</v>
      </c>
      <c r="B144" s="3236">
        <v>1</v>
      </c>
      <c r="C144" s="3236">
        <v>1</v>
      </c>
      <c r="D144" s="3237">
        <v>518</v>
      </c>
      <c r="E144" s="3239">
        <v>1</v>
      </c>
      <c r="F144" s="3239">
        <v>1</v>
      </c>
      <c r="G144" s="3239">
        <v>1</v>
      </c>
      <c r="H144" s="3257" t="s">
        <v>3312</v>
      </c>
      <c r="I144" s="3237">
        <v>50</v>
      </c>
      <c r="J144" s="3240"/>
      <c r="K144" s="3236">
        <v>40.32</v>
      </c>
      <c r="L144" s="3239"/>
      <c r="M144" s="3239"/>
      <c r="N144" s="3506"/>
      <c r="O144" s="3506"/>
      <c r="P144" s="3506"/>
      <c r="Q144" s="3239"/>
      <c r="R144" s="3239"/>
    </row>
    <row r="145" spans="1:18">
      <c r="A145" s="3236">
        <v>142</v>
      </c>
      <c r="B145" s="3236">
        <v>1</v>
      </c>
      <c r="C145" s="3236">
        <v>1</v>
      </c>
      <c r="D145" s="3237">
        <v>519</v>
      </c>
      <c r="E145" s="3239">
        <v>1</v>
      </c>
      <c r="F145" s="3239">
        <v>1</v>
      </c>
      <c r="G145" s="3239">
        <v>1</v>
      </c>
      <c r="H145" s="3257" t="s">
        <v>3312</v>
      </c>
      <c r="I145" s="3237" t="s">
        <v>3308</v>
      </c>
      <c r="J145" s="3240"/>
      <c r="K145" s="3236">
        <v>39.869999999999997</v>
      </c>
      <c r="L145" s="3239"/>
      <c r="M145" s="3239"/>
      <c r="N145" s="3506"/>
      <c r="O145" s="3506"/>
      <c r="P145" s="3506"/>
      <c r="Q145" s="3239"/>
      <c r="R145" s="3239"/>
    </row>
    <row r="146" spans="1:18">
      <c r="A146" s="3236">
        <v>143</v>
      </c>
      <c r="B146" s="3236">
        <v>1</v>
      </c>
      <c r="C146" s="3236">
        <v>1</v>
      </c>
      <c r="D146" s="3237">
        <v>520</v>
      </c>
      <c r="E146" s="3239">
        <v>1</v>
      </c>
      <c r="F146" s="3239">
        <v>1</v>
      </c>
      <c r="G146" s="3239">
        <v>1</v>
      </c>
      <c r="H146" s="3257" t="s">
        <v>3312</v>
      </c>
      <c r="I146" s="3257" t="s">
        <v>3315</v>
      </c>
      <c r="J146" s="3240"/>
      <c r="K146" s="3258">
        <v>41.22</v>
      </c>
      <c r="L146" s="3239"/>
      <c r="M146" s="3239"/>
      <c r="N146" s="3506"/>
      <c r="O146" s="3506"/>
      <c r="P146" s="3506"/>
      <c r="Q146" s="3239"/>
      <c r="R146" s="3239"/>
    </row>
    <row r="147" spans="1:18">
      <c r="A147" s="3236">
        <v>144</v>
      </c>
      <c r="B147" s="3236">
        <v>1</v>
      </c>
      <c r="C147" s="3236">
        <v>1</v>
      </c>
      <c r="D147" s="3237">
        <v>521</v>
      </c>
      <c r="E147" s="3239">
        <v>4</v>
      </c>
      <c r="F147" s="3239">
        <v>1</v>
      </c>
      <c r="G147" s="3239">
        <v>1</v>
      </c>
      <c r="H147" s="3237" t="s">
        <v>3316</v>
      </c>
      <c r="I147" s="3237" t="s">
        <v>3317</v>
      </c>
      <c r="J147" s="3240"/>
      <c r="K147" s="3258">
        <v>75.8</v>
      </c>
      <c r="L147" s="3239"/>
      <c r="M147" s="3239"/>
      <c r="N147" s="3506"/>
      <c r="O147" s="3506"/>
      <c r="P147" s="3506"/>
      <c r="Q147" s="3239"/>
      <c r="R147" s="3239"/>
    </row>
    <row r="148" spans="1:18">
      <c r="A148" s="3236">
        <v>145</v>
      </c>
      <c r="B148" s="3236">
        <v>1</v>
      </c>
      <c r="C148" s="3236">
        <v>1</v>
      </c>
      <c r="D148" s="3237">
        <v>522</v>
      </c>
      <c r="E148" s="3239">
        <v>4</v>
      </c>
      <c r="F148" s="3239">
        <v>1</v>
      </c>
      <c r="G148" s="3239">
        <v>1</v>
      </c>
      <c r="H148" s="3237" t="s">
        <v>3318</v>
      </c>
      <c r="I148" s="3237" t="s">
        <v>3319</v>
      </c>
      <c r="J148" s="3240"/>
      <c r="K148" s="3258">
        <v>75.8</v>
      </c>
      <c r="L148" s="3239"/>
      <c r="M148" s="3239"/>
      <c r="N148" s="3506"/>
      <c r="O148" s="3506"/>
      <c r="P148" s="3506"/>
      <c r="Q148" s="3239"/>
      <c r="R148" s="3239"/>
    </row>
    <row r="149" spans="1:18">
      <c r="A149" s="3236">
        <v>146</v>
      </c>
      <c r="B149" s="3236">
        <v>1</v>
      </c>
      <c r="C149" s="3236">
        <v>1</v>
      </c>
      <c r="D149" s="3237">
        <v>523</v>
      </c>
      <c r="E149" s="3239">
        <v>1</v>
      </c>
      <c r="F149" s="3239">
        <v>1</v>
      </c>
      <c r="G149" s="3239">
        <v>1</v>
      </c>
      <c r="H149" s="3237" t="s">
        <v>3300</v>
      </c>
      <c r="I149" s="3237" t="s">
        <v>3308</v>
      </c>
      <c r="J149" s="3240"/>
      <c r="K149" s="3236">
        <v>39.869999999999997</v>
      </c>
      <c r="L149" s="3239"/>
      <c r="M149" s="3239"/>
      <c r="N149" s="3506"/>
      <c r="O149" s="3506"/>
      <c r="P149" s="3506"/>
      <c r="Q149" s="3239"/>
      <c r="R149" s="3239"/>
    </row>
    <row r="150" spans="1:18">
      <c r="A150" s="3236">
        <v>147</v>
      </c>
      <c r="B150" s="3236">
        <v>1</v>
      </c>
      <c r="C150" s="3236">
        <v>1</v>
      </c>
      <c r="D150" s="3237">
        <v>524</v>
      </c>
      <c r="E150" s="3239">
        <v>1</v>
      </c>
      <c r="F150" s="3239">
        <v>1</v>
      </c>
      <c r="G150" s="3239">
        <v>1</v>
      </c>
      <c r="H150" s="3237" t="s">
        <v>3300</v>
      </c>
      <c r="I150" s="3237">
        <v>50</v>
      </c>
      <c r="J150" s="3240"/>
      <c r="K150" s="3236">
        <v>40.32</v>
      </c>
      <c r="L150" s="3239"/>
      <c r="M150" s="3239"/>
      <c r="N150" s="3506"/>
      <c r="O150" s="3506"/>
      <c r="P150" s="3506"/>
      <c r="Q150" s="3239"/>
      <c r="R150" s="3239"/>
    </row>
    <row r="151" spans="1:18">
      <c r="A151" s="3236">
        <v>148</v>
      </c>
      <c r="B151" s="3236">
        <v>1</v>
      </c>
      <c r="C151" s="3236">
        <v>1</v>
      </c>
      <c r="D151" s="3237">
        <v>525</v>
      </c>
      <c r="E151" s="3239">
        <v>1</v>
      </c>
      <c r="F151" s="3239">
        <v>1</v>
      </c>
      <c r="G151" s="3239">
        <v>1</v>
      </c>
      <c r="H151" s="3237" t="s">
        <v>3300</v>
      </c>
      <c r="I151" s="3237" t="s">
        <v>3320</v>
      </c>
      <c r="J151" s="3240"/>
      <c r="K151" s="3236">
        <v>40.42</v>
      </c>
      <c r="L151" s="3239"/>
      <c r="M151" s="3239"/>
      <c r="N151" s="3506"/>
      <c r="O151" s="3506"/>
      <c r="P151" s="3506"/>
      <c r="Q151" s="3239"/>
      <c r="R151" s="3239"/>
    </row>
    <row r="152" spans="1:18">
      <c r="A152" s="3236">
        <v>149</v>
      </c>
      <c r="B152" s="3236">
        <v>1</v>
      </c>
      <c r="C152" s="3236">
        <v>1</v>
      </c>
      <c r="D152" s="3237">
        <v>526</v>
      </c>
      <c r="E152" s="3239">
        <v>1</v>
      </c>
      <c r="F152" s="3239">
        <v>1</v>
      </c>
      <c r="G152" s="3239">
        <v>1</v>
      </c>
      <c r="H152" s="3237" t="s">
        <v>3295</v>
      </c>
      <c r="I152" s="3237" t="s">
        <v>3321</v>
      </c>
      <c r="J152" s="3240"/>
      <c r="K152" s="3236">
        <v>42.56</v>
      </c>
      <c r="L152" s="3239"/>
      <c r="M152" s="3239"/>
      <c r="N152" s="3506"/>
      <c r="O152" s="3506"/>
      <c r="P152" s="3506"/>
      <c r="Q152" s="3239"/>
      <c r="R152" s="3239"/>
    </row>
    <row r="153" spans="1:18">
      <c r="A153" s="3236">
        <v>150</v>
      </c>
      <c r="B153" s="3236">
        <v>1</v>
      </c>
      <c r="C153" s="3236">
        <v>1</v>
      </c>
      <c r="D153" s="3237">
        <v>527</v>
      </c>
      <c r="E153" s="3239">
        <v>1</v>
      </c>
      <c r="F153" s="3239">
        <v>1</v>
      </c>
      <c r="G153" s="3239">
        <v>1</v>
      </c>
      <c r="H153" s="3237" t="s">
        <v>3295</v>
      </c>
      <c r="I153" s="3237">
        <v>50</v>
      </c>
      <c r="J153" s="3240"/>
      <c r="K153" s="3236">
        <v>40.32</v>
      </c>
      <c r="L153" s="3239"/>
      <c r="M153" s="3239"/>
      <c r="N153" s="3506"/>
      <c r="O153" s="3506"/>
      <c r="P153" s="3506"/>
      <c r="Q153" s="3239"/>
      <c r="R153" s="3239"/>
    </row>
    <row r="154" spans="1:18">
      <c r="A154" s="3236">
        <v>151</v>
      </c>
      <c r="B154" s="3236">
        <v>1</v>
      </c>
      <c r="C154" s="3236">
        <v>1</v>
      </c>
      <c r="D154" s="3237">
        <v>528</v>
      </c>
      <c r="E154" s="3239">
        <v>1</v>
      </c>
      <c r="F154" s="3239">
        <v>1</v>
      </c>
      <c r="G154" s="3239">
        <v>1</v>
      </c>
      <c r="H154" s="3237" t="s">
        <v>3295</v>
      </c>
      <c r="I154" s="3237">
        <v>50</v>
      </c>
      <c r="J154" s="3240"/>
      <c r="K154" s="3236">
        <v>40.32</v>
      </c>
      <c r="L154" s="3239"/>
      <c r="M154" s="3239"/>
      <c r="N154" s="3506"/>
      <c r="O154" s="3506"/>
      <c r="P154" s="3506"/>
      <c r="Q154" s="3239"/>
      <c r="R154" s="3239"/>
    </row>
    <row r="155" spans="1:18">
      <c r="A155" s="3236">
        <v>152</v>
      </c>
      <c r="B155" s="3236">
        <v>1</v>
      </c>
      <c r="C155" s="3236">
        <v>1</v>
      </c>
      <c r="D155" s="3237">
        <v>529</v>
      </c>
      <c r="E155" s="3239">
        <v>1</v>
      </c>
      <c r="F155" s="3239">
        <v>1</v>
      </c>
      <c r="G155" s="3239">
        <v>1</v>
      </c>
      <c r="H155" s="3237" t="s">
        <v>3295</v>
      </c>
      <c r="I155" s="3237">
        <v>50</v>
      </c>
      <c r="J155" s="3240"/>
      <c r="K155" s="3236">
        <v>40.32</v>
      </c>
      <c r="L155" s="3239"/>
      <c r="M155" s="3239"/>
      <c r="N155" s="3506"/>
      <c r="O155" s="3506"/>
      <c r="P155" s="3506"/>
      <c r="Q155" s="3239"/>
      <c r="R155" s="3239"/>
    </row>
    <row r="156" spans="1:18">
      <c r="A156" s="3236">
        <v>153</v>
      </c>
      <c r="B156" s="3236">
        <v>1</v>
      </c>
      <c r="C156" s="3236">
        <v>1</v>
      </c>
      <c r="D156" s="3237">
        <v>530</v>
      </c>
      <c r="E156" s="3239">
        <v>1</v>
      </c>
      <c r="F156" s="3239">
        <v>1</v>
      </c>
      <c r="G156" s="3239">
        <v>1</v>
      </c>
      <c r="H156" s="3237" t="s">
        <v>3295</v>
      </c>
      <c r="I156" s="3237">
        <v>50</v>
      </c>
      <c r="J156" s="3240"/>
      <c r="K156" s="3236">
        <v>40.32</v>
      </c>
      <c r="L156" s="3239"/>
      <c r="M156" s="3239"/>
      <c r="N156" s="3506"/>
      <c r="O156" s="3506"/>
      <c r="P156" s="3506"/>
      <c r="Q156" s="3239"/>
      <c r="R156" s="3239"/>
    </row>
    <row r="157" spans="1:18">
      <c r="A157" s="3236">
        <v>154</v>
      </c>
      <c r="B157" s="3236">
        <v>1</v>
      </c>
      <c r="C157" s="3236">
        <v>1</v>
      </c>
      <c r="D157" s="3237">
        <v>531</v>
      </c>
      <c r="E157" s="3239">
        <v>1</v>
      </c>
      <c r="F157" s="3239">
        <v>1</v>
      </c>
      <c r="G157" s="3239">
        <v>1</v>
      </c>
      <c r="H157" s="3237" t="s">
        <v>3295</v>
      </c>
      <c r="I157" s="3237">
        <v>50</v>
      </c>
      <c r="J157" s="3240"/>
      <c r="K157" s="3236">
        <v>40.32</v>
      </c>
      <c r="L157" s="3239"/>
      <c r="M157" s="3239"/>
      <c r="N157" s="3506"/>
      <c r="O157" s="3506"/>
      <c r="P157" s="3506"/>
      <c r="Q157" s="3239"/>
      <c r="R157" s="3239"/>
    </row>
    <row r="158" spans="1:18">
      <c r="A158" s="3236">
        <v>155</v>
      </c>
      <c r="B158" s="3236">
        <v>1</v>
      </c>
      <c r="C158" s="3236">
        <v>1</v>
      </c>
      <c r="D158" s="3237">
        <v>532</v>
      </c>
      <c r="E158" s="3239">
        <v>1</v>
      </c>
      <c r="F158" s="3239">
        <v>1</v>
      </c>
      <c r="G158" s="3239">
        <v>1</v>
      </c>
      <c r="H158" s="3237" t="s">
        <v>3295</v>
      </c>
      <c r="I158" s="3237">
        <v>50</v>
      </c>
      <c r="J158" s="3240"/>
      <c r="K158" s="3236">
        <v>40.32</v>
      </c>
      <c r="L158" s="3239"/>
      <c r="M158" s="3239"/>
      <c r="N158" s="3506"/>
      <c r="O158" s="3506"/>
      <c r="P158" s="3506"/>
      <c r="Q158" s="3239"/>
      <c r="R158" s="3239"/>
    </row>
    <row r="159" spans="1:18">
      <c r="A159" s="3236">
        <v>156</v>
      </c>
      <c r="B159" s="3236">
        <v>1</v>
      </c>
      <c r="C159" s="3236">
        <v>1</v>
      </c>
      <c r="D159" s="3237">
        <v>533</v>
      </c>
      <c r="E159" s="3239">
        <v>1</v>
      </c>
      <c r="F159" s="3239">
        <v>1</v>
      </c>
      <c r="G159" s="3239">
        <v>1</v>
      </c>
      <c r="H159" s="3237" t="s">
        <v>3295</v>
      </c>
      <c r="I159" s="3237">
        <v>50</v>
      </c>
      <c r="J159" s="3240"/>
      <c r="K159" s="3236">
        <v>40.32</v>
      </c>
      <c r="L159" s="3239"/>
      <c r="M159" s="3239"/>
      <c r="N159" s="3506"/>
      <c r="O159" s="3506"/>
      <c r="P159" s="3506"/>
      <c r="Q159" s="3239"/>
      <c r="R159" s="3239"/>
    </row>
    <row r="160" spans="1:18">
      <c r="A160" s="3236">
        <v>157</v>
      </c>
      <c r="B160" s="3236">
        <v>1</v>
      </c>
      <c r="C160" s="3236">
        <v>1</v>
      </c>
      <c r="D160" s="3237">
        <v>534</v>
      </c>
      <c r="E160" s="3239">
        <v>1</v>
      </c>
      <c r="F160" s="3239">
        <v>1</v>
      </c>
      <c r="G160" s="3239">
        <v>1</v>
      </c>
      <c r="H160" s="3237" t="s">
        <v>3295</v>
      </c>
      <c r="I160" s="3237">
        <v>50</v>
      </c>
      <c r="J160" s="3240"/>
      <c r="K160" s="3236">
        <v>40.32</v>
      </c>
      <c r="L160" s="3239"/>
      <c r="M160" s="3239"/>
      <c r="N160" s="3506"/>
      <c r="O160" s="3506"/>
      <c r="P160" s="3506"/>
      <c r="Q160" s="3239"/>
      <c r="R160" s="3239"/>
    </row>
    <row r="161" spans="1:18">
      <c r="A161" s="3236">
        <v>158</v>
      </c>
      <c r="B161" s="3236">
        <v>1</v>
      </c>
      <c r="C161" s="3236">
        <v>1</v>
      </c>
      <c r="D161" s="3237">
        <v>535</v>
      </c>
      <c r="E161" s="3239">
        <v>1</v>
      </c>
      <c r="F161" s="3239">
        <v>1</v>
      </c>
      <c r="G161" s="3239">
        <v>1</v>
      </c>
      <c r="H161" s="3237" t="s">
        <v>3295</v>
      </c>
      <c r="I161" s="3237">
        <v>50</v>
      </c>
      <c r="J161" s="3240"/>
      <c r="K161" s="3236">
        <v>40.32</v>
      </c>
      <c r="L161" s="3239"/>
      <c r="M161" s="3239"/>
      <c r="N161" s="3506"/>
      <c r="O161" s="3506"/>
      <c r="P161" s="3506"/>
      <c r="Q161" s="3239"/>
      <c r="R161" s="3239"/>
    </row>
    <row r="162" spans="1:18">
      <c r="A162" s="3236">
        <v>159</v>
      </c>
      <c r="B162" s="3236">
        <v>1</v>
      </c>
      <c r="C162" s="3236">
        <v>1</v>
      </c>
      <c r="D162" s="3237">
        <v>536</v>
      </c>
      <c r="E162" s="3239">
        <v>1</v>
      </c>
      <c r="F162" s="3239">
        <v>1</v>
      </c>
      <c r="G162" s="3239">
        <v>1</v>
      </c>
      <c r="H162" s="3237" t="s">
        <v>3295</v>
      </c>
      <c r="I162" s="3237">
        <v>50</v>
      </c>
      <c r="J162" s="3240"/>
      <c r="K162" s="3236">
        <v>40.32</v>
      </c>
      <c r="L162" s="3239"/>
      <c r="M162" s="3239"/>
      <c r="N162" s="3506"/>
      <c r="O162" s="3506"/>
      <c r="P162" s="3506"/>
      <c r="Q162" s="3239"/>
      <c r="R162" s="3239"/>
    </row>
    <row r="163" spans="1:18">
      <c r="A163" s="3236">
        <v>160</v>
      </c>
      <c r="B163" s="3236">
        <v>1</v>
      </c>
      <c r="C163" s="3236">
        <v>1</v>
      </c>
      <c r="D163" s="3237">
        <v>537</v>
      </c>
      <c r="E163" s="3239">
        <v>1</v>
      </c>
      <c r="F163" s="3239">
        <v>0</v>
      </c>
      <c r="G163" s="3239">
        <v>1</v>
      </c>
      <c r="H163" s="3237" t="s">
        <v>3295</v>
      </c>
      <c r="I163" s="3257" t="s">
        <v>3322</v>
      </c>
      <c r="J163" s="3240"/>
      <c r="K163" s="3236">
        <v>34.5</v>
      </c>
      <c r="L163" s="3239"/>
      <c r="M163" s="3239"/>
      <c r="N163" s="3506"/>
      <c r="O163" s="3506"/>
      <c r="P163" s="3506"/>
      <c r="Q163" s="3239"/>
      <c r="R163" s="3239"/>
    </row>
    <row r="164" spans="1:18">
      <c r="A164" s="3236">
        <v>161</v>
      </c>
      <c r="B164" s="3236">
        <v>1</v>
      </c>
      <c r="C164" s="3236">
        <v>1</v>
      </c>
      <c r="D164" s="3237">
        <v>538</v>
      </c>
      <c r="E164" s="3239">
        <v>1</v>
      </c>
      <c r="F164" s="3239">
        <v>0</v>
      </c>
      <c r="G164" s="3239">
        <v>1</v>
      </c>
      <c r="H164" s="3237" t="s">
        <v>3295</v>
      </c>
      <c r="I164" s="3237">
        <v>40</v>
      </c>
      <c r="J164" s="3240"/>
      <c r="K164" s="3236">
        <v>35.26</v>
      </c>
      <c r="L164" s="3239"/>
      <c r="M164" s="3239"/>
      <c r="N164" s="3506"/>
      <c r="O164" s="3506"/>
      <c r="P164" s="3506"/>
      <c r="Q164" s="3239"/>
      <c r="R164" s="3239"/>
    </row>
    <row r="165" spans="1:18" ht="14.25" thickBot="1">
      <c r="A165" s="3236">
        <v>162</v>
      </c>
      <c r="B165" s="3236">
        <v>1</v>
      </c>
      <c r="C165" s="3236">
        <v>1</v>
      </c>
      <c r="D165" s="3244">
        <v>539</v>
      </c>
      <c r="E165" s="3246">
        <v>1</v>
      </c>
      <c r="F165" s="3246">
        <v>0</v>
      </c>
      <c r="G165" s="3246">
        <v>1</v>
      </c>
      <c r="H165" s="3244" t="s">
        <v>3300</v>
      </c>
      <c r="I165" s="3244" t="s">
        <v>3323</v>
      </c>
      <c r="J165" s="3259"/>
      <c r="K165" s="3260">
        <v>32.42</v>
      </c>
      <c r="L165" s="3246"/>
      <c r="M165" s="3246"/>
      <c r="N165" s="3507"/>
      <c r="O165" s="3507"/>
      <c r="P165" s="3507"/>
      <c r="Q165" s="3246"/>
      <c r="R165" s="3246"/>
    </row>
    <row r="166" spans="1:18" ht="14.25" thickTop="1">
      <c r="A166" s="3236">
        <v>163</v>
      </c>
      <c r="B166" s="3236">
        <v>1</v>
      </c>
      <c r="C166" s="3236">
        <v>1</v>
      </c>
      <c r="D166" s="3251">
        <v>601</v>
      </c>
      <c r="E166" s="3252">
        <v>1</v>
      </c>
      <c r="F166" s="3252">
        <v>1</v>
      </c>
      <c r="G166" s="3252">
        <v>1</v>
      </c>
      <c r="H166" s="3251" t="s">
        <v>3302</v>
      </c>
      <c r="I166" s="3251" t="s">
        <v>3303</v>
      </c>
      <c r="J166" s="3253"/>
      <c r="K166" s="3254">
        <v>40.520000000000003</v>
      </c>
      <c r="L166" s="3252"/>
      <c r="M166" s="3252"/>
      <c r="N166" s="3513">
        <v>2.9</v>
      </c>
      <c r="O166" s="3509" t="s">
        <v>3297</v>
      </c>
      <c r="P166" s="3509" t="s">
        <v>3298</v>
      </c>
      <c r="Q166" s="3252"/>
      <c r="R166" s="3252"/>
    </row>
    <row r="167" spans="1:18">
      <c r="A167" s="3236">
        <v>164</v>
      </c>
      <c r="B167" s="3236">
        <v>1</v>
      </c>
      <c r="C167" s="3236">
        <v>1</v>
      </c>
      <c r="D167" s="3237">
        <v>602</v>
      </c>
      <c r="E167" s="3239">
        <v>1</v>
      </c>
      <c r="F167" s="3239">
        <v>0</v>
      </c>
      <c r="G167" s="3239">
        <v>1</v>
      </c>
      <c r="H167" s="3257" t="s">
        <v>3304</v>
      </c>
      <c r="I167" s="3237" t="s">
        <v>3305</v>
      </c>
      <c r="J167" s="3240"/>
      <c r="K167" s="3236">
        <v>31.54</v>
      </c>
      <c r="L167" s="3239"/>
      <c r="M167" s="3239"/>
      <c r="N167" s="3506"/>
      <c r="O167" s="3506"/>
      <c r="P167" s="3506"/>
      <c r="Q167" s="3239"/>
      <c r="R167" s="3239"/>
    </row>
    <row r="168" spans="1:18">
      <c r="A168" s="3236">
        <v>165</v>
      </c>
      <c r="B168" s="3236">
        <v>1</v>
      </c>
      <c r="C168" s="3236">
        <v>1</v>
      </c>
      <c r="D168" s="3237">
        <v>603</v>
      </c>
      <c r="E168" s="3239">
        <v>1</v>
      </c>
      <c r="F168" s="3239">
        <v>0</v>
      </c>
      <c r="G168" s="3239">
        <v>1</v>
      </c>
      <c r="H168" s="3257" t="s">
        <v>3304</v>
      </c>
      <c r="I168" s="3237" t="s">
        <v>3305</v>
      </c>
      <c r="J168" s="3240"/>
      <c r="K168" s="3236">
        <v>31.54</v>
      </c>
      <c r="L168" s="3239"/>
      <c r="M168" s="3239"/>
      <c r="N168" s="3506"/>
      <c r="O168" s="3506"/>
      <c r="P168" s="3506"/>
      <c r="Q168" s="3239"/>
      <c r="R168" s="3239"/>
    </row>
    <row r="169" spans="1:18">
      <c r="A169" s="3236">
        <v>166</v>
      </c>
      <c r="B169" s="3236">
        <v>1</v>
      </c>
      <c r="C169" s="3236">
        <v>1</v>
      </c>
      <c r="D169" s="3237">
        <v>604</v>
      </c>
      <c r="E169" s="3239">
        <v>1</v>
      </c>
      <c r="F169" s="3239">
        <v>0</v>
      </c>
      <c r="G169" s="3239">
        <v>1</v>
      </c>
      <c r="H169" s="3257" t="s">
        <v>3304</v>
      </c>
      <c r="I169" s="3237" t="s">
        <v>3306</v>
      </c>
      <c r="J169" s="3240"/>
      <c r="K169" s="3236">
        <v>32.26</v>
      </c>
      <c r="L169" s="3239"/>
      <c r="M169" s="3239"/>
      <c r="N169" s="3506"/>
      <c r="O169" s="3506"/>
      <c r="P169" s="3506"/>
      <c r="Q169" s="3239"/>
      <c r="R169" s="3239"/>
    </row>
    <row r="170" spans="1:18">
      <c r="A170" s="3236">
        <v>167</v>
      </c>
      <c r="B170" s="3236">
        <v>1</v>
      </c>
      <c r="C170" s="3236">
        <v>1</v>
      </c>
      <c r="D170" s="3237">
        <v>605</v>
      </c>
      <c r="E170" s="3239">
        <v>1</v>
      </c>
      <c r="F170" s="3239">
        <v>0</v>
      </c>
      <c r="G170" s="3239">
        <v>1</v>
      </c>
      <c r="H170" s="3257" t="s">
        <v>3304</v>
      </c>
      <c r="I170" s="3237" t="s">
        <v>3306</v>
      </c>
      <c r="J170" s="3240"/>
      <c r="K170" s="3236">
        <v>32.26</v>
      </c>
      <c r="L170" s="3239"/>
      <c r="M170" s="3239"/>
      <c r="N170" s="3506"/>
      <c r="O170" s="3506"/>
      <c r="P170" s="3506"/>
      <c r="Q170" s="3239"/>
      <c r="R170" s="3239"/>
    </row>
    <row r="171" spans="1:18">
      <c r="A171" s="3236">
        <v>168</v>
      </c>
      <c r="B171" s="3236">
        <v>1</v>
      </c>
      <c r="C171" s="3236">
        <v>1</v>
      </c>
      <c r="D171" s="3237">
        <v>606</v>
      </c>
      <c r="E171" s="3239">
        <v>1</v>
      </c>
      <c r="F171" s="3239">
        <v>0</v>
      </c>
      <c r="G171" s="3239">
        <v>1</v>
      </c>
      <c r="H171" s="3257" t="s">
        <v>3304</v>
      </c>
      <c r="I171" s="3237" t="s">
        <v>3305</v>
      </c>
      <c r="J171" s="3240"/>
      <c r="K171" s="3236">
        <v>31.54</v>
      </c>
      <c r="L171" s="3239"/>
      <c r="M171" s="3239"/>
      <c r="N171" s="3506"/>
      <c r="O171" s="3506"/>
      <c r="P171" s="3506"/>
      <c r="Q171" s="3239"/>
      <c r="R171" s="3239"/>
    </row>
    <row r="172" spans="1:18">
      <c r="A172" s="3236">
        <v>169</v>
      </c>
      <c r="B172" s="3236">
        <v>1</v>
      </c>
      <c r="C172" s="3236">
        <v>1</v>
      </c>
      <c r="D172" s="3237">
        <v>607</v>
      </c>
      <c r="E172" s="3239">
        <v>1</v>
      </c>
      <c r="F172" s="3239">
        <v>0</v>
      </c>
      <c r="G172" s="3239">
        <v>1</v>
      </c>
      <c r="H172" s="3257" t="s">
        <v>3304</v>
      </c>
      <c r="I172" s="3237" t="s">
        <v>3305</v>
      </c>
      <c r="J172" s="3240"/>
      <c r="K172" s="3236">
        <v>31.54</v>
      </c>
      <c r="L172" s="3239"/>
      <c r="M172" s="3239"/>
      <c r="N172" s="3506"/>
      <c r="O172" s="3506"/>
      <c r="P172" s="3506"/>
      <c r="Q172" s="3239"/>
      <c r="R172" s="3239"/>
    </row>
    <row r="173" spans="1:18">
      <c r="A173" s="3236">
        <v>170</v>
      </c>
      <c r="B173" s="3236">
        <v>1</v>
      </c>
      <c r="C173" s="3236">
        <v>1</v>
      </c>
      <c r="D173" s="3237">
        <v>608</v>
      </c>
      <c r="E173" s="3239">
        <v>1</v>
      </c>
      <c r="F173" s="3239">
        <v>0</v>
      </c>
      <c r="G173" s="3239">
        <v>1</v>
      </c>
      <c r="H173" s="3257" t="s">
        <v>3304</v>
      </c>
      <c r="I173" s="3237" t="s">
        <v>3305</v>
      </c>
      <c r="J173" s="3240"/>
      <c r="K173" s="3236">
        <v>31.54</v>
      </c>
      <c r="L173" s="3239"/>
      <c r="M173" s="3239"/>
      <c r="N173" s="3506"/>
      <c r="O173" s="3506"/>
      <c r="P173" s="3506"/>
      <c r="Q173" s="3239"/>
      <c r="R173" s="3239"/>
    </row>
    <row r="174" spans="1:18">
      <c r="A174" s="3236">
        <v>171</v>
      </c>
      <c r="B174" s="3236">
        <v>1</v>
      </c>
      <c r="C174" s="3236">
        <v>1</v>
      </c>
      <c r="D174" s="3237">
        <v>609</v>
      </c>
      <c r="E174" s="3239">
        <v>1</v>
      </c>
      <c r="F174" s="3239">
        <v>0</v>
      </c>
      <c r="G174" s="3239">
        <v>1</v>
      </c>
      <c r="H174" s="3257" t="s">
        <v>3304</v>
      </c>
      <c r="I174" s="3237" t="s">
        <v>3305</v>
      </c>
      <c r="J174" s="3240"/>
      <c r="K174" s="3236">
        <v>31.54</v>
      </c>
      <c r="L174" s="3239"/>
      <c r="M174" s="3239"/>
      <c r="N174" s="3506"/>
      <c r="O174" s="3506"/>
      <c r="P174" s="3506"/>
      <c r="Q174" s="3239"/>
      <c r="R174" s="3239"/>
    </row>
    <row r="175" spans="1:18">
      <c r="A175" s="3236">
        <v>172</v>
      </c>
      <c r="B175" s="3236">
        <v>1</v>
      </c>
      <c r="C175" s="3236">
        <v>1</v>
      </c>
      <c r="D175" s="3237">
        <v>610</v>
      </c>
      <c r="E175" s="3239">
        <v>1</v>
      </c>
      <c r="F175" s="3239">
        <v>0</v>
      </c>
      <c r="G175" s="3239">
        <v>1</v>
      </c>
      <c r="H175" s="3257" t="s">
        <v>3304</v>
      </c>
      <c r="I175" s="3237" t="s">
        <v>3305</v>
      </c>
      <c r="J175" s="3240"/>
      <c r="K175" s="3236">
        <v>31.54</v>
      </c>
      <c r="L175" s="3239"/>
      <c r="M175" s="3239"/>
      <c r="N175" s="3506"/>
      <c r="O175" s="3506"/>
      <c r="P175" s="3506"/>
      <c r="Q175" s="3239"/>
      <c r="R175" s="3239"/>
    </row>
    <row r="176" spans="1:18">
      <c r="A176" s="3236">
        <v>173</v>
      </c>
      <c r="B176" s="3236">
        <v>1</v>
      </c>
      <c r="C176" s="3236">
        <v>1</v>
      </c>
      <c r="D176" s="3237">
        <v>611</v>
      </c>
      <c r="E176" s="3239">
        <v>1</v>
      </c>
      <c r="F176" s="3239">
        <v>0</v>
      </c>
      <c r="G176" s="3239">
        <v>1</v>
      </c>
      <c r="H176" s="3257" t="s">
        <v>3304</v>
      </c>
      <c r="I176" s="3237" t="s">
        <v>3307</v>
      </c>
      <c r="J176" s="3240"/>
      <c r="K176" s="3236">
        <v>31.98</v>
      </c>
      <c r="L176" s="3239"/>
      <c r="M176" s="3239"/>
      <c r="N176" s="3506"/>
      <c r="O176" s="3506"/>
      <c r="P176" s="3506"/>
      <c r="Q176" s="3239"/>
      <c r="R176" s="3239"/>
    </row>
    <row r="177" spans="1:18">
      <c r="A177" s="3236">
        <v>174</v>
      </c>
      <c r="B177" s="3236">
        <v>1</v>
      </c>
      <c r="C177" s="3236">
        <v>1</v>
      </c>
      <c r="D177" s="3237">
        <v>612</v>
      </c>
      <c r="E177" s="3239">
        <v>1</v>
      </c>
      <c r="F177" s="3239">
        <v>1</v>
      </c>
      <c r="G177" s="3239">
        <v>1</v>
      </c>
      <c r="H177" s="3257" t="s">
        <v>3304</v>
      </c>
      <c r="I177" s="3237" t="s">
        <v>3308</v>
      </c>
      <c r="J177" s="3240"/>
      <c r="K177" s="3236">
        <v>39.869999999999997</v>
      </c>
      <c r="L177" s="3239"/>
      <c r="M177" s="3239"/>
      <c r="N177" s="3506"/>
      <c r="O177" s="3506"/>
      <c r="P177" s="3506"/>
      <c r="Q177" s="3239"/>
      <c r="R177" s="3239"/>
    </row>
    <row r="178" spans="1:18">
      <c r="A178" s="3236">
        <v>175</v>
      </c>
      <c r="B178" s="3236">
        <v>1</v>
      </c>
      <c r="C178" s="3236">
        <v>1</v>
      </c>
      <c r="D178" s="3237">
        <v>613</v>
      </c>
      <c r="E178" s="3239">
        <v>1</v>
      </c>
      <c r="F178" s="3239">
        <v>1</v>
      </c>
      <c r="G178" s="3239">
        <v>1</v>
      </c>
      <c r="H178" s="3257" t="s">
        <v>3304</v>
      </c>
      <c r="I178" s="3257" t="s">
        <v>3309</v>
      </c>
      <c r="J178" s="3240"/>
      <c r="K178" s="3258">
        <v>39.96</v>
      </c>
      <c r="L178" s="3239"/>
      <c r="M178" s="3239"/>
      <c r="N178" s="3506"/>
      <c r="O178" s="3506"/>
      <c r="P178" s="3506"/>
      <c r="Q178" s="3239"/>
      <c r="R178" s="3239"/>
    </row>
    <row r="179" spans="1:18">
      <c r="A179" s="3236">
        <v>176</v>
      </c>
      <c r="B179" s="3236">
        <v>1</v>
      </c>
      <c r="C179" s="3236">
        <v>1</v>
      </c>
      <c r="D179" s="3237">
        <v>614</v>
      </c>
      <c r="E179" s="3239">
        <v>1</v>
      </c>
      <c r="F179" s="3239">
        <v>1</v>
      </c>
      <c r="G179" s="3239">
        <v>1</v>
      </c>
      <c r="H179" s="3237" t="s">
        <v>3310</v>
      </c>
      <c r="I179" s="3237" t="s">
        <v>3311</v>
      </c>
      <c r="J179" s="3240"/>
      <c r="K179" s="3258">
        <v>38.54</v>
      </c>
      <c r="L179" s="3239"/>
      <c r="M179" s="3239"/>
      <c r="N179" s="3506"/>
      <c r="O179" s="3506"/>
      <c r="P179" s="3506"/>
      <c r="Q179" s="3239"/>
      <c r="R179" s="3239"/>
    </row>
    <row r="180" spans="1:18">
      <c r="A180" s="3236">
        <v>177</v>
      </c>
      <c r="B180" s="3236">
        <v>1</v>
      </c>
      <c r="C180" s="3236">
        <v>1</v>
      </c>
      <c r="D180" s="3237">
        <v>615</v>
      </c>
      <c r="E180" s="3239">
        <v>2</v>
      </c>
      <c r="F180" s="3239">
        <v>1</v>
      </c>
      <c r="G180" s="3239">
        <v>1</v>
      </c>
      <c r="H180" s="3257" t="s">
        <v>3312</v>
      </c>
      <c r="I180" s="3237" t="s">
        <v>3313</v>
      </c>
      <c r="J180" s="3240"/>
      <c r="K180" s="3258">
        <v>67.27</v>
      </c>
      <c r="L180" s="3239"/>
      <c r="M180" s="3239"/>
      <c r="N180" s="3506"/>
      <c r="O180" s="3506"/>
      <c r="P180" s="3506"/>
      <c r="Q180" s="3239"/>
      <c r="R180" s="3239"/>
    </row>
    <row r="181" spans="1:18">
      <c r="A181" s="3236">
        <v>178</v>
      </c>
      <c r="B181" s="3236">
        <v>1</v>
      </c>
      <c r="C181" s="3236">
        <v>1</v>
      </c>
      <c r="D181" s="3237">
        <v>616</v>
      </c>
      <c r="E181" s="3239">
        <v>1</v>
      </c>
      <c r="F181" s="3239">
        <v>1</v>
      </c>
      <c r="G181" s="3239">
        <v>1</v>
      </c>
      <c r="H181" s="3257" t="s">
        <v>3312</v>
      </c>
      <c r="I181" s="3237" t="s">
        <v>3314</v>
      </c>
      <c r="J181" s="3240"/>
      <c r="K181" s="3236">
        <v>39.97</v>
      </c>
      <c r="L181" s="3239"/>
      <c r="M181" s="3239"/>
      <c r="N181" s="3506"/>
      <c r="O181" s="3506"/>
      <c r="P181" s="3506"/>
      <c r="Q181" s="3239"/>
      <c r="R181" s="3239"/>
    </row>
    <row r="182" spans="1:18">
      <c r="A182" s="3236">
        <v>179</v>
      </c>
      <c r="B182" s="3236">
        <v>1</v>
      </c>
      <c r="C182" s="3236">
        <v>1</v>
      </c>
      <c r="D182" s="3237">
        <v>617</v>
      </c>
      <c r="E182" s="3239">
        <v>1</v>
      </c>
      <c r="F182" s="3239">
        <v>1</v>
      </c>
      <c r="G182" s="3239">
        <v>1</v>
      </c>
      <c r="H182" s="3257" t="s">
        <v>3312</v>
      </c>
      <c r="I182" s="3237">
        <v>50</v>
      </c>
      <c r="J182" s="3240"/>
      <c r="K182" s="3236">
        <v>40.32</v>
      </c>
      <c r="L182" s="3239"/>
      <c r="M182" s="3239"/>
      <c r="N182" s="3506"/>
      <c r="O182" s="3506"/>
      <c r="P182" s="3506"/>
      <c r="Q182" s="3239"/>
      <c r="R182" s="3239"/>
    </row>
    <row r="183" spans="1:18">
      <c r="A183" s="3236">
        <v>180</v>
      </c>
      <c r="B183" s="3236">
        <v>1</v>
      </c>
      <c r="C183" s="3236">
        <v>1</v>
      </c>
      <c r="D183" s="3237">
        <v>618</v>
      </c>
      <c r="E183" s="3239">
        <v>1</v>
      </c>
      <c r="F183" s="3239">
        <v>1</v>
      </c>
      <c r="G183" s="3239">
        <v>1</v>
      </c>
      <c r="H183" s="3257" t="s">
        <v>3312</v>
      </c>
      <c r="I183" s="3237">
        <v>50</v>
      </c>
      <c r="J183" s="3240"/>
      <c r="K183" s="3236">
        <v>40.32</v>
      </c>
      <c r="L183" s="3239"/>
      <c r="M183" s="3239"/>
      <c r="N183" s="3506"/>
      <c r="O183" s="3506"/>
      <c r="P183" s="3506"/>
      <c r="Q183" s="3239"/>
      <c r="R183" s="3239"/>
    </row>
    <row r="184" spans="1:18">
      <c r="A184" s="3236">
        <v>181</v>
      </c>
      <c r="B184" s="3236">
        <v>1</v>
      </c>
      <c r="C184" s="3236">
        <v>1</v>
      </c>
      <c r="D184" s="3237">
        <v>619</v>
      </c>
      <c r="E184" s="3239">
        <v>1</v>
      </c>
      <c r="F184" s="3239">
        <v>1</v>
      </c>
      <c r="G184" s="3239">
        <v>1</v>
      </c>
      <c r="H184" s="3257" t="s">
        <v>3312</v>
      </c>
      <c r="I184" s="3237" t="s">
        <v>3308</v>
      </c>
      <c r="J184" s="3240"/>
      <c r="K184" s="3236">
        <v>39.869999999999997</v>
      </c>
      <c r="L184" s="3239"/>
      <c r="M184" s="3239"/>
      <c r="N184" s="3506"/>
      <c r="O184" s="3506"/>
      <c r="P184" s="3506"/>
      <c r="Q184" s="3239"/>
      <c r="R184" s="3239"/>
    </row>
    <row r="185" spans="1:18">
      <c r="A185" s="3236">
        <v>182</v>
      </c>
      <c r="B185" s="3236">
        <v>1</v>
      </c>
      <c r="C185" s="3236">
        <v>1</v>
      </c>
      <c r="D185" s="3237">
        <v>620</v>
      </c>
      <c r="E185" s="3239">
        <v>1</v>
      </c>
      <c r="F185" s="3239">
        <v>1</v>
      </c>
      <c r="G185" s="3239">
        <v>1</v>
      </c>
      <c r="H185" s="3257" t="s">
        <v>3312</v>
      </c>
      <c r="I185" s="3257" t="s">
        <v>3315</v>
      </c>
      <c r="J185" s="3240"/>
      <c r="K185" s="3258">
        <v>41.22</v>
      </c>
      <c r="L185" s="3239"/>
      <c r="M185" s="3239"/>
      <c r="N185" s="3506"/>
      <c r="O185" s="3506"/>
      <c r="P185" s="3506"/>
      <c r="Q185" s="3239"/>
      <c r="R185" s="3239"/>
    </row>
    <row r="186" spans="1:18">
      <c r="A186" s="3236">
        <v>183</v>
      </c>
      <c r="B186" s="3236">
        <v>1</v>
      </c>
      <c r="C186" s="3236">
        <v>1</v>
      </c>
      <c r="D186" s="3237">
        <v>621</v>
      </c>
      <c r="E186" s="3239">
        <v>4</v>
      </c>
      <c r="F186" s="3239">
        <v>1</v>
      </c>
      <c r="G186" s="3239">
        <v>1</v>
      </c>
      <c r="H186" s="3237" t="s">
        <v>3316</v>
      </c>
      <c r="I186" s="3237" t="s">
        <v>3317</v>
      </c>
      <c r="J186" s="3240"/>
      <c r="K186" s="3258">
        <v>75.8</v>
      </c>
      <c r="L186" s="3239"/>
      <c r="M186" s="3239"/>
      <c r="N186" s="3506"/>
      <c r="O186" s="3506"/>
      <c r="P186" s="3506"/>
      <c r="Q186" s="3239"/>
      <c r="R186" s="3239"/>
    </row>
    <row r="187" spans="1:18">
      <c r="A187" s="3236">
        <v>184</v>
      </c>
      <c r="B187" s="3236">
        <v>1</v>
      </c>
      <c r="C187" s="3236">
        <v>1</v>
      </c>
      <c r="D187" s="3237">
        <v>622</v>
      </c>
      <c r="E187" s="3239">
        <v>4</v>
      </c>
      <c r="F187" s="3239">
        <v>1</v>
      </c>
      <c r="G187" s="3239">
        <v>1</v>
      </c>
      <c r="H187" s="3237" t="s">
        <v>3318</v>
      </c>
      <c r="I187" s="3237" t="s">
        <v>3319</v>
      </c>
      <c r="J187" s="3240"/>
      <c r="K187" s="3258">
        <v>75.8</v>
      </c>
      <c r="L187" s="3239"/>
      <c r="M187" s="3239"/>
      <c r="N187" s="3506"/>
      <c r="O187" s="3506"/>
      <c r="P187" s="3506"/>
      <c r="Q187" s="3239"/>
      <c r="R187" s="3239"/>
    </row>
    <row r="188" spans="1:18">
      <c r="A188" s="3236">
        <v>185</v>
      </c>
      <c r="B188" s="3236">
        <v>1</v>
      </c>
      <c r="C188" s="3236">
        <v>1</v>
      </c>
      <c r="D188" s="3237">
        <v>623</v>
      </c>
      <c r="E188" s="3239">
        <v>1</v>
      </c>
      <c r="F188" s="3239">
        <v>1</v>
      </c>
      <c r="G188" s="3239">
        <v>1</v>
      </c>
      <c r="H188" s="3237" t="s">
        <v>3300</v>
      </c>
      <c r="I188" s="3237" t="s">
        <v>3308</v>
      </c>
      <c r="J188" s="3240"/>
      <c r="K188" s="3236">
        <v>39.869999999999997</v>
      </c>
      <c r="L188" s="3239"/>
      <c r="M188" s="3239"/>
      <c r="N188" s="3506"/>
      <c r="O188" s="3506"/>
      <c r="P188" s="3506"/>
      <c r="Q188" s="3239"/>
      <c r="R188" s="3239"/>
    </row>
    <row r="189" spans="1:18">
      <c r="A189" s="3236">
        <v>186</v>
      </c>
      <c r="B189" s="3236">
        <v>1</v>
      </c>
      <c r="C189" s="3236">
        <v>1</v>
      </c>
      <c r="D189" s="3237">
        <v>624</v>
      </c>
      <c r="E189" s="3239">
        <v>1</v>
      </c>
      <c r="F189" s="3239">
        <v>1</v>
      </c>
      <c r="G189" s="3239">
        <v>1</v>
      </c>
      <c r="H189" s="3237" t="s">
        <v>3300</v>
      </c>
      <c r="I189" s="3237">
        <v>50</v>
      </c>
      <c r="J189" s="3240"/>
      <c r="K189" s="3236">
        <v>40.32</v>
      </c>
      <c r="L189" s="3239"/>
      <c r="M189" s="3239"/>
      <c r="N189" s="3506"/>
      <c r="O189" s="3506"/>
      <c r="P189" s="3506"/>
      <c r="Q189" s="3239"/>
      <c r="R189" s="3239"/>
    </row>
    <row r="190" spans="1:18">
      <c r="A190" s="3236">
        <v>187</v>
      </c>
      <c r="B190" s="3236">
        <v>1</v>
      </c>
      <c r="C190" s="3236">
        <v>1</v>
      </c>
      <c r="D190" s="3237">
        <v>625</v>
      </c>
      <c r="E190" s="3239">
        <v>1</v>
      </c>
      <c r="F190" s="3239">
        <v>1</v>
      </c>
      <c r="G190" s="3239">
        <v>1</v>
      </c>
      <c r="H190" s="3237" t="s">
        <v>3300</v>
      </c>
      <c r="I190" s="3237" t="s">
        <v>3320</v>
      </c>
      <c r="J190" s="3240"/>
      <c r="K190" s="3236">
        <v>40.42</v>
      </c>
      <c r="L190" s="3239"/>
      <c r="M190" s="3239"/>
      <c r="N190" s="3506"/>
      <c r="O190" s="3506"/>
      <c r="P190" s="3506"/>
      <c r="Q190" s="3239"/>
      <c r="R190" s="3239"/>
    </row>
    <row r="191" spans="1:18">
      <c r="A191" s="3236">
        <v>188</v>
      </c>
      <c r="B191" s="3236">
        <v>1</v>
      </c>
      <c r="C191" s="3236">
        <v>1</v>
      </c>
      <c r="D191" s="3237">
        <v>626</v>
      </c>
      <c r="E191" s="3239">
        <v>1</v>
      </c>
      <c r="F191" s="3239">
        <v>1</v>
      </c>
      <c r="G191" s="3239">
        <v>1</v>
      </c>
      <c r="H191" s="3237" t="s">
        <v>3295</v>
      </c>
      <c r="I191" s="3237" t="s">
        <v>3321</v>
      </c>
      <c r="J191" s="3240"/>
      <c r="K191" s="3236">
        <v>42.56</v>
      </c>
      <c r="L191" s="3239"/>
      <c r="M191" s="3239"/>
      <c r="N191" s="3506"/>
      <c r="O191" s="3506"/>
      <c r="P191" s="3506"/>
      <c r="Q191" s="3239"/>
      <c r="R191" s="3239"/>
    </row>
    <row r="192" spans="1:18">
      <c r="A192" s="3236">
        <v>189</v>
      </c>
      <c r="B192" s="3236">
        <v>1</v>
      </c>
      <c r="C192" s="3236">
        <v>1</v>
      </c>
      <c r="D192" s="3237">
        <v>627</v>
      </c>
      <c r="E192" s="3239">
        <v>1</v>
      </c>
      <c r="F192" s="3239">
        <v>1</v>
      </c>
      <c r="G192" s="3239">
        <v>1</v>
      </c>
      <c r="H192" s="3237" t="s">
        <v>3295</v>
      </c>
      <c r="I192" s="3237">
        <v>50</v>
      </c>
      <c r="J192" s="3240"/>
      <c r="K192" s="3236">
        <v>40.32</v>
      </c>
      <c r="L192" s="3239"/>
      <c r="M192" s="3239"/>
      <c r="N192" s="3506"/>
      <c r="O192" s="3506"/>
      <c r="P192" s="3506"/>
      <c r="Q192" s="3239"/>
      <c r="R192" s="3239"/>
    </row>
    <row r="193" spans="1:18">
      <c r="A193" s="3236">
        <v>190</v>
      </c>
      <c r="B193" s="3236">
        <v>1</v>
      </c>
      <c r="C193" s="3236">
        <v>1</v>
      </c>
      <c r="D193" s="3237">
        <v>628</v>
      </c>
      <c r="E193" s="3239">
        <v>1</v>
      </c>
      <c r="F193" s="3239">
        <v>1</v>
      </c>
      <c r="G193" s="3239">
        <v>1</v>
      </c>
      <c r="H193" s="3237" t="s">
        <v>3295</v>
      </c>
      <c r="I193" s="3237">
        <v>50</v>
      </c>
      <c r="J193" s="3240"/>
      <c r="K193" s="3236">
        <v>40.32</v>
      </c>
      <c r="L193" s="3239"/>
      <c r="M193" s="3239"/>
      <c r="N193" s="3506"/>
      <c r="O193" s="3506"/>
      <c r="P193" s="3506"/>
      <c r="Q193" s="3239"/>
      <c r="R193" s="3239"/>
    </row>
    <row r="194" spans="1:18">
      <c r="A194" s="3236">
        <v>191</v>
      </c>
      <c r="B194" s="3236">
        <v>1</v>
      </c>
      <c r="C194" s="3236">
        <v>1</v>
      </c>
      <c r="D194" s="3237">
        <v>629</v>
      </c>
      <c r="E194" s="3239">
        <v>1</v>
      </c>
      <c r="F194" s="3239">
        <v>1</v>
      </c>
      <c r="G194" s="3239">
        <v>1</v>
      </c>
      <c r="H194" s="3237" t="s">
        <v>3295</v>
      </c>
      <c r="I194" s="3237">
        <v>50</v>
      </c>
      <c r="J194" s="3240"/>
      <c r="K194" s="3236">
        <v>40.32</v>
      </c>
      <c r="L194" s="3239"/>
      <c r="M194" s="3239"/>
      <c r="N194" s="3506"/>
      <c r="O194" s="3506"/>
      <c r="P194" s="3506"/>
      <c r="Q194" s="3239"/>
      <c r="R194" s="3239"/>
    </row>
    <row r="195" spans="1:18">
      <c r="A195" s="3236">
        <v>192</v>
      </c>
      <c r="B195" s="3236">
        <v>1</v>
      </c>
      <c r="C195" s="3236">
        <v>1</v>
      </c>
      <c r="D195" s="3237">
        <v>630</v>
      </c>
      <c r="E195" s="3239">
        <v>1</v>
      </c>
      <c r="F195" s="3239">
        <v>1</v>
      </c>
      <c r="G195" s="3239">
        <v>1</v>
      </c>
      <c r="H195" s="3237" t="s">
        <v>3295</v>
      </c>
      <c r="I195" s="3237">
        <v>50</v>
      </c>
      <c r="J195" s="3240"/>
      <c r="K195" s="3236">
        <v>40.32</v>
      </c>
      <c r="L195" s="3239"/>
      <c r="M195" s="3239"/>
      <c r="N195" s="3506"/>
      <c r="O195" s="3506"/>
      <c r="P195" s="3506"/>
      <c r="Q195" s="3239"/>
      <c r="R195" s="3239"/>
    </row>
    <row r="196" spans="1:18">
      <c r="A196" s="3236">
        <v>193</v>
      </c>
      <c r="B196" s="3236">
        <v>1</v>
      </c>
      <c r="C196" s="3236">
        <v>1</v>
      </c>
      <c r="D196" s="3237">
        <v>631</v>
      </c>
      <c r="E196" s="3239">
        <v>1</v>
      </c>
      <c r="F196" s="3239">
        <v>1</v>
      </c>
      <c r="G196" s="3239">
        <v>1</v>
      </c>
      <c r="H196" s="3237" t="s">
        <v>3295</v>
      </c>
      <c r="I196" s="3237">
        <v>50</v>
      </c>
      <c r="J196" s="3240"/>
      <c r="K196" s="3236">
        <v>40.32</v>
      </c>
      <c r="L196" s="3239"/>
      <c r="M196" s="3239"/>
      <c r="N196" s="3506"/>
      <c r="O196" s="3506"/>
      <c r="P196" s="3506"/>
      <c r="Q196" s="3239"/>
      <c r="R196" s="3239"/>
    </row>
    <row r="197" spans="1:18">
      <c r="A197" s="3236">
        <v>194</v>
      </c>
      <c r="B197" s="3236">
        <v>1</v>
      </c>
      <c r="C197" s="3236">
        <v>1</v>
      </c>
      <c r="D197" s="3237">
        <v>632</v>
      </c>
      <c r="E197" s="3239">
        <v>1</v>
      </c>
      <c r="F197" s="3239">
        <v>1</v>
      </c>
      <c r="G197" s="3239">
        <v>1</v>
      </c>
      <c r="H197" s="3237" t="s">
        <v>3295</v>
      </c>
      <c r="I197" s="3237">
        <v>50</v>
      </c>
      <c r="J197" s="3240"/>
      <c r="K197" s="3236">
        <v>40.32</v>
      </c>
      <c r="L197" s="3239"/>
      <c r="M197" s="3239"/>
      <c r="N197" s="3506"/>
      <c r="O197" s="3506"/>
      <c r="P197" s="3506"/>
      <c r="Q197" s="3239"/>
      <c r="R197" s="3239"/>
    </row>
    <row r="198" spans="1:18">
      <c r="A198" s="3236">
        <v>195</v>
      </c>
      <c r="B198" s="3236">
        <v>1</v>
      </c>
      <c r="C198" s="3236">
        <v>1</v>
      </c>
      <c r="D198" s="3237">
        <v>633</v>
      </c>
      <c r="E198" s="3239">
        <v>1</v>
      </c>
      <c r="F198" s="3239">
        <v>1</v>
      </c>
      <c r="G198" s="3239">
        <v>1</v>
      </c>
      <c r="H198" s="3237" t="s">
        <v>3295</v>
      </c>
      <c r="I198" s="3237">
        <v>50</v>
      </c>
      <c r="J198" s="3240"/>
      <c r="K198" s="3236">
        <v>40.32</v>
      </c>
      <c r="L198" s="3239"/>
      <c r="M198" s="3239"/>
      <c r="N198" s="3506"/>
      <c r="O198" s="3506"/>
      <c r="P198" s="3506"/>
      <c r="Q198" s="3239"/>
      <c r="R198" s="3239"/>
    </row>
    <row r="199" spans="1:18">
      <c r="A199" s="3236">
        <v>196</v>
      </c>
      <c r="B199" s="3236">
        <v>1</v>
      </c>
      <c r="C199" s="3236">
        <v>1</v>
      </c>
      <c r="D199" s="3237">
        <v>634</v>
      </c>
      <c r="E199" s="3239">
        <v>1</v>
      </c>
      <c r="F199" s="3239">
        <v>1</v>
      </c>
      <c r="G199" s="3239">
        <v>1</v>
      </c>
      <c r="H199" s="3237" t="s">
        <v>3295</v>
      </c>
      <c r="I199" s="3237">
        <v>50</v>
      </c>
      <c r="J199" s="3240"/>
      <c r="K199" s="3236">
        <v>40.32</v>
      </c>
      <c r="L199" s="3239"/>
      <c r="M199" s="3239"/>
      <c r="N199" s="3506"/>
      <c r="O199" s="3506"/>
      <c r="P199" s="3506"/>
      <c r="Q199" s="3239"/>
      <c r="R199" s="3239"/>
    </row>
    <row r="200" spans="1:18">
      <c r="A200" s="3236">
        <v>197</v>
      </c>
      <c r="B200" s="3236">
        <v>1</v>
      </c>
      <c r="C200" s="3236">
        <v>1</v>
      </c>
      <c r="D200" s="3237">
        <v>635</v>
      </c>
      <c r="E200" s="3239">
        <v>1</v>
      </c>
      <c r="F200" s="3239">
        <v>1</v>
      </c>
      <c r="G200" s="3239">
        <v>1</v>
      </c>
      <c r="H200" s="3237" t="s">
        <v>3295</v>
      </c>
      <c r="I200" s="3237">
        <v>50</v>
      </c>
      <c r="J200" s="3240"/>
      <c r="K200" s="3236">
        <v>40.32</v>
      </c>
      <c r="L200" s="3239"/>
      <c r="M200" s="3239"/>
      <c r="N200" s="3506"/>
      <c r="O200" s="3506"/>
      <c r="P200" s="3506"/>
      <c r="Q200" s="3239"/>
      <c r="R200" s="3239"/>
    </row>
    <row r="201" spans="1:18">
      <c r="A201" s="3236">
        <v>198</v>
      </c>
      <c r="B201" s="3236">
        <v>1</v>
      </c>
      <c r="C201" s="3236">
        <v>1</v>
      </c>
      <c r="D201" s="3237">
        <v>636</v>
      </c>
      <c r="E201" s="3239">
        <v>1</v>
      </c>
      <c r="F201" s="3239">
        <v>1</v>
      </c>
      <c r="G201" s="3239">
        <v>1</v>
      </c>
      <c r="H201" s="3237" t="s">
        <v>3295</v>
      </c>
      <c r="I201" s="3237">
        <v>50</v>
      </c>
      <c r="J201" s="3240"/>
      <c r="K201" s="3236">
        <v>40.32</v>
      </c>
      <c r="L201" s="3239"/>
      <c r="M201" s="3239"/>
      <c r="N201" s="3506"/>
      <c r="O201" s="3506"/>
      <c r="P201" s="3506"/>
      <c r="Q201" s="3239"/>
      <c r="R201" s="3239"/>
    </row>
    <row r="202" spans="1:18">
      <c r="A202" s="3236">
        <v>199</v>
      </c>
      <c r="B202" s="3236">
        <v>1</v>
      </c>
      <c r="C202" s="3236">
        <v>1</v>
      </c>
      <c r="D202" s="3237">
        <v>637</v>
      </c>
      <c r="E202" s="3239">
        <v>1</v>
      </c>
      <c r="F202" s="3239">
        <v>0</v>
      </c>
      <c r="G202" s="3239">
        <v>1</v>
      </c>
      <c r="H202" s="3237" t="s">
        <v>3295</v>
      </c>
      <c r="I202" s="3257" t="s">
        <v>3322</v>
      </c>
      <c r="J202" s="3240"/>
      <c r="K202" s="3236">
        <v>34.5</v>
      </c>
      <c r="L202" s="3239"/>
      <c r="M202" s="3239"/>
      <c r="N202" s="3506"/>
      <c r="O202" s="3506"/>
      <c r="P202" s="3506"/>
      <c r="Q202" s="3239"/>
      <c r="R202" s="3239"/>
    </row>
    <row r="203" spans="1:18">
      <c r="A203" s="3236">
        <v>200</v>
      </c>
      <c r="B203" s="3236">
        <v>1</v>
      </c>
      <c r="C203" s="3236">
        <v>1</v>
      </c>
      <c r="D203" s="3237">
        <v>638</v>
      </c>
      <c r="E203" s="3239">
        <v>1</v>
      </c>
      <c r="F203" s="3239">
        <v>0</v>
      </c>
      <c r="G203" s="3239">
        <v>1</v>
      </c>
      <c r="H203" s="3237" t="s">
        <v>3295</v>
      </c>
      <c r="I203" s="3237">
        <v>40</v>
      </c>
      <c r="J203" s="3240"/>
      <c r="K203" s="3236">
        <v>35.26</v>
      </c>
      <c r="L203" s="3239"/>
      <c r="M203" s="3239"/>
      <c r="N203" s="3506"/>
      <c r="O203" s="3506"/>
      <c r="P203" s="3506"/>
      <c r="Q203" s="3239"/>
      <c r="R203" s="3239"/>
    </row>
    <row r="204" spans="1:18" ht="14.25" thickBot="1">
      <c r="A204" s="3236">
        <v>201</v>
      </c>
      <c r="B204" s="3236">
        <v>1</v>
      </c>
      <c r="C204" s="3236">
        <v>1</v>
      </c>
      <c r="D204" s="3244">
        <v>639</v>
      </c>
      <c r="E204" s="3246">
        <v>1</v>
      </c>
      <c r="F204" s="3246">
        <v>0</v>
      </c>
      <c r="G204" s="3246">
        <v>1</v>
      </c>
      <c r="H204" s="3244" t="s">
        <v>3300</v>
      </c>
      <c r="I204" s="3244" t="s">
        <v>3323</v>
      </c>
      <c r="J204" s="3259"/>
      <c r="K204" s="3260">
        <v>32.42</v>
      </c>
      <c r="L204" s="3246"/>
      <c r="M204" s="3246"/>
      <c r="N204" s="3512"/>
      <c r="O204" s="3512"/>
      <c r="P204" s="3512"/>
      <c r="Q204" s="3250"/>
      <c r="R204" s="3250"/>
    </row>
    <row r="205" spans="1:18" ht="14.25" thickTop="1">
      <c r="A205" s="3236">
        <v>202</v>
      </c>
      <c r="B205" s="3236">
        <v>1</v>
      </c>
      <c r="C205" s="3236">
        <v>1</v>
      </c>
      <c r="D205" s="3251">
        <v>701</v>
      </c>
      <c r="E205" s="3252">
        <v>1</v>
      </c>
      <c r="F205" s="3252">
        <v>1</v>
      </c>
      <c r="G205" s="3252">
        <v>1</v>
      </c>
      <c r="H205" s="3251" t="s">
        <v>3302</v>
      </c>
      <c r="I205" s="3251" t="s">
        <v>3303</v>
      </c>
      <c r="J205" s="3253"/>
      <c r="K205" s="3254">
        <v>40.520000000000003</v>
      </c>
      <c r="L205" s="3252"/>
      <c r="M205" s="3252"/>
      <c r="N205" s="3505">
        <v>2.9</v>
      </c>
      <c r="O205" s="3508" t="s">
        <v>3297</v>
      </c>
      <c r="P205" s="3508" t="s">
        <v>3298</v>
      </c>
      <c r="Q205" s="3261"/>
      <c r="R205" s="3261"/>
    </row>
    <row r="206" spans="1:18">
      <c r="A206" s="3236">
        <v>203</v>
      </c>
      <c r="B206" s="3236">
        <v>1</v>
      </c>
      <c r="C206" s="3236">
        <v>1</v>
      </c>
      <c r="D206" s="3237">
        <v>702</v>
      </c>
      <c r="E206" s="3239">
        <v>1</v>
      </c>
      <c r="F206" s="3239">
        <v>0</v>
      </c>
      <c r="G206" s="3239">
        <v>1</v>
      </c>
      <c r="H206" s="3257" t="s">
        <v>3304</v>
      </c>
      <c r="I206" s="3237" t="s">
        <v>3305</v>
      </c>
      <c r="J206" s="3240"/>
      <c r="K206" s="3236">
        <v>31.54</v>
      </c>
      <c r="L206" s="3239"/>
      <c r="M206" s="3239"/>
      <c r="N206" s="3506"/>
      <c r="O206" s="3506"/>
      <c r="P206" s="3506"/>
      <c r="Q206" s="3239"/>
      <c r="R206" s="3239"/>
    </row>
    <row r="207" spans="1:18">
      <c r="A207" s="3236">
        <v>204</v>
      </c>
      <c r="B207" s="3236">
        <v>1</v>
      </c>
      <c r="C207" s="3236">
        <v>1</v>
      </c>
      <c r="D207" s="3237">
        <v>703</v>
      </c>
      <c r="E207" s="3239">
        <v>1</v>
      </c>
      <c r="F207" s="3239">
        <v>0</v>
      </c>
      <c r="G207" s="3239">
        <v>1</v>
      </c>
      <c r="H207" s="3257" t="s">
        <v>3304</v>
      </c>
      <c r="I207" s="3237" t="s">
        <v>3305</v>
      </c>
      <c r="J207" s="3240"/>
      <c r="K207" s="3236">
        <v>31.54</v>
      </c>
      <c r="L207" s="3239"/>
      <c r="M207" s="3239"/>
      <c r="N207" s="3506"/>
      <c r="O207" s="3506"/>
      <c r="P207" s="3506"/>
      <c r="Q207" s="3239"/>
      <c r="R207" s="3239"/>
    </row>
    <row r="208" spans="1:18">
      <c r="A208" s="3236">
        <v>205</v>
      </c>
      <c r="B208" s="3236">
        <v>1</v>
      </c>
      <c r="C208" s="3236">
        <v>1</v>
      </c>
      <c r="D208" s="3237">
        <v>704</v>
      </c>
      <c r="E208" s="3239">
        <v>1</v>
      </c>
      <c r="F208" s="3239">
        <v>0</v>
      </c>
      <c r="G208" s="3239">
        <v>1</v>
      </c>
      <c r="H208" s="3257" t="s">
        <v>3304</v>
      </c>
      <c r="I208" s="3237" t="s">
        <v>3306</v>
      </c>
      <c r="J208" s="3240"/>
      <c r="K208" s="3236">
        <v>32.26</v>
      </c>
      <c r="L208" s="3239"/>
      <c r="M208" s="3239"/>
      <c r="N208" s="3506"/>
      <c r="O208" s="3506"/>
      <c r="P208" s="3506"/>
      <c r="Q208" s="3239"/>
      <c r="R208" s="3239"/>
    </row>
    <row r="209" spans="1:18">
      <c r="A209" s="3236">
        <v>206</v>
      </c>
      <c r="B209" s="3236">
        <v>1</v>
      </c>
      <c r="C209" s="3236">
        <v>1</v>
      </c>
      <c r="D209" s="3237">
        <v>705</v>
      </c>
      <c r="E209" s="3239">
        <v>1</v>
      </c>
      <c r="F209" s="3239">
        <v>0</v>
      </c>
      <c r="G209" s="3239">
        <v>1</v>
      </c>
      <c r="H209" s="3257" t="s">
        <v>3304</v>
      </c>
      <c r="I209" s="3237" t="s">
        <v>3306</v>
      </c>
      <c r="J209" s="3240"/>
      <c r="K209" s="3236">
        <v>32.26</v>
      </c>
      <c r="L209" s="3239"/>
      <c r="M209" s="3239"/>
      <c r="N209" s="3506"/>
      <c r="O209" s="3506"/>
      <c r="P209" s="3506"/>
      <c r="Q209" s="3239"/>
      <c r="R209" s="3239"/>
    </row>
    <row r="210" spans="1:18">
      <c r="A210" s="3236">
        <v>207</v>
      </c>
      <c r="B210" s="3236">
        <v>1</v>
      </c>
      <c r="C210" s="3236">
        <v>1</v>
      </c>
      <c r="D210" s="3237">
        <v>706</v>
      </c>
      <c r="E210" s="3239">
        <v>1</v>
      </c>
      <c r="F210" s="3239">
        <v>0</v>
      </c>
      <c r="G210" s="3239">
        <v>1</v>
      </c>
      <c r="H210" s="3257" t="s">
        <v>3304</v>
      </c>
      <c r="I210" s="3237" t="s">
        <v>3305</v>
      </c>
      <c r="J210" s="3240"/>
      <c r="K210" s="3236">
        <v>31.54</v>
      </c>
      <c r="L210" s="3239"/>
      <c r="M210" s="3239"/>
      <c r="N210" s="3506"/>
      <c r="O210" s="3506"/>
      <c r="P210" s="3506"/>
      <c r="Q210" s="3239"/>
      <c r="R210" s="3239"/>
    </row>
    <row r="211" spans="1:18">
      <c r="A211" s="3236">
        <v>208</v>
      </c>
      <c r="B211" s="3236">
        <v>1</v>
      </c>
      <c r="C211" s="3236">
        <v>1</v>
      </c>
      <c r="D211" s="3237">
        <v>707</v>
      </c>
      <c r="E211" s="3239">
        <v>1</v>
      </c>
      <c r="F211" s="3239">
        <v>0</v>
      </c>
      <c r="G211" s="3239">
        <v>1</v>
      </c>
      <c r="H211" s="3257" t="s">
        <v>3304</v>
      </c>
      <c r="I211" s="3237" t="s">
        <v>3305</v>
      </c>
      <c r="J211" s="3240"/>
      <c r="K211" s="3236">
        <v>31.54</v>
      </c>
      <c r="L211" s="3239"/>
      <c r="M211" s="3239"/>
      <c r="N211" s="3506"/>
      <c r="O211" s="3506"/>
      <c r="P211" s="3506"/>
      <c r="Q211" s="3239"/>
      <c r="R211" s="3239"/>
    </row>
    <row r="212" spans="1:18">
      <c r="A212" s="3236">
        <v>209</v>
      </c>
      <c r="B212" s="3236">
        <v>1</v>
      </c>
      <c r="C212" s="3236">
        <v>1</v>
      </c>
      <c r="D212" s="3237">
        <v>708</v>
      </c>
      <c r="E212" s="3239">
        <v>1</v>
      </c>
      <c r="F212" s="3239">
        <v>0</v>
      </c>
      <c r="G212" s="3239">
        <v>1</v>
      </c>
      <c r="H212" s="3257" t="s">
        <v>3304</v>
      </c>
      <c r="I212" s="3237" t="s">
        <v>3305</v>
      </c>
      <c r="J212" s="3240"/>
      <c r="K212" s="3236">
        <v>31.54</v>
      </c>
      <c r="L212" s="3239"/>
      <c r="M212" s="3239"/>
      <c r="N212" s="3506"/>
      <c r="O212" s="3506"/>
      <c r="P212" s="3506"/>
      <c r="Q212" s="3239"/>
      <c r="R212" s="3239"/>
    </row>
    <row r="213" spans="1:18">
      <c r="A213" s="3236">
        <v>210</v>
      </c>
      <c r="B213" s="3236">
        <v>1</v>
      </c>
      <c r="C213" s="3236">
        <v>1</v>
      </c>
      <c r="D213" s="3237">
        <v>709</v>
      </c>
      <c r="E213" s="3239">
        <v>1</v>
      </c>
      <c r="F213" s="3239">
        <v>0</v>
      </c>
      <c r="G213" s="3239">
        <v>1</v>
      </c>
      <c r="H213" s="3257" t="s">
        <v>3304</v>
      </c>
      <c r="I213" s="3237" t="s">
        <v>3305</v>
      </c>
      <c r="J213" s="3240"/>
      <c r="K213" s="3236">
        <v>31.54</v>
      </c>
      <c r="L213" s="3239"/>
      <c r="M213" s="3239"/>
      <c r="N213" s="3506"/>
      <c r="O213" s="3506"/>
      <c r="P213" s="3506"/>
      <c r="Q213" s="3239"/>
      <c r="R213" s="3239"/>
    </row>
    <row r="214" spans="1:18">
      <c r="A214" s="3236">
        <v>211</v>
      </c>
      <c r="B214" s="3236">
        <v>1</v>
      </c>
      <c r="C214" s="3236">
        <v>1</v>
      </c>
      <c r="D214" s="3237">
        <v>710</v>
      </c>
      <c r="E214" s="3239">
        <v>1</v>
      </c>
      <c r="F214" s="3239">
        <v>0</v>
      </c>
      <c r="G214" s="3239">
        <v>1</v>
      </c>
      <c r="H214" s="3257" t="s">
        <v>3304</v>
      </c>
      <c r="I214" s="3237" t="s">
        <v>3305</v>
      </c>
      <c r="J214" s="3240"/>
      <c r="K214" s="3236">
        <v>31.54</v>
      </c>
      <c r="L214" s="3239"/>
      <c r="M214" s="3239"/>
      <c r="N214" s="3506"/>
      <c r="O214" s="3506"/>
      <c r="P214" s="3506"/>
      <c r="Q214" s="3239"/>
      <c r="R214" s="3239"/>
    </row>
    <row r="215" spans="1:18">
      <c r="A215" s="3236">
        <v>212</v>
      </c>
      <c r="B215" s="3236">
        <v>1</v>
      </c>
      <c r="C215" s="3236">
        <v>1</v>
      </c>
      <c r="D215" s="3237">
        <v>711</v>
      </c>
      <c r="E215" s="3239">
        <v>1</v>
      </c>
      <c r="F215" s="3239">
        <v>0</v>
      </c>
      <c r="G215" s="3239">
        <v>1</v>
      </c>
      <c r="H215" s="3257" t="s">
        <v>3304</v>
      </c>
      <c r="I215" s="3237" t="s">
        <v>3307</v>
      </c>
      <c r="J215" s="3240"/>
      <c r="K215" s="3236">
        <v>31.98</v>
      </c>
      <c r="L215" s="3239"/>
      <c r="M215" s="3239"/>
      <c r="N215" s="3506"/>
      <c r="O215" s="3506"/>
      <c r="P215" s="3506"/>
      <c r="Q215" s="3239"/>
      <c r="R215" s="3239"/>
    </row>
    <row r="216" spans="1:18">
      <c r="A216" s="3236">
        <v>213</v>
      </c>
      <c r="B216" s="3236">
        <v>1</v>
      </c>
      <c r="C216" s="3236">
        <v>1</v>
      </c>
      <c r="D216" s="3237">
        <v>712</v>
      </c>
      <c r="E216" s="3239">
        <v>1</v>
      </c>
      <c r="F216" s="3239">
        <v>1</v>
      </c>
      <c r="G216" s="3239">
        <v>1</v>
      </c>
      <c r="H216" s="3257" t="s">
        <v>3304</v>
      </c>
      <c r="I216" s="3237" t="s">
        <v>3308</v>
      </c>
      <c r="J216" s="3240"/>
      <c r="K216" s="3236">
        <v>39.869999999999997</v>
      </c>
      <c r="L216" s="3239"/>
      <c r="M216" s="3239"/>
      <c r="N216" s="3506"/>
      <c r="O216" s="3506"/>
      <c r="P216" s="3506"/>
      <c r="Q216" s="3239"/>
      <c r="R216" s="3239"/>
    </row>
    <row r="217" spans="1:18">
      <c r="A217" s="3236">
        <v>214</v>
      </c>
      <c r="B217" s="3236">
        <v>1</v>
      </c>
      <c r="C217" s="3236">
        <v>1</v>
      </c>
      <c r="D217" s="3237">
        <v>713</v>
      </c>
      <c r="E217" s="3239">
        <v>1</v>
      </c>
      <c r="F217" s="3239">
        <v>1</v>
      </c>
      <c r="G217" s="3239">
        <v>1</v>
      </c>
      <c r="H217" s="3257" t="s">
        <v>3304</v>
      </c>
      <c r="I217" s="3257" t="s">
        <v>3309</v>
      </c>
      <c r="J217" s="3240"/>
      <c r="K217" s="3258">
        <v>39.96</v>
      </c>
      <c r="L217" s="3239"/>
      <c r="M217" s="3239"/>
      <c r="N217" s="3506"/>
      <c r="O217" s="3506"/>
      <c r="P217" s="3506"/>
      <c r="Q217" s="3239"/>
      <c r="R217" s="3239"/>
    </row>
    <row r="218" spans="1:18">
      <c r="A218" s="3236">
        <v>215</v>
      </c>
      <c r="B218" s="3236">
        <v>1</v>
      </c>
      <c r="C218" s="3236">
        <v>1</v>
      </c>
      <c r="D218" s="3237">
        <v>714</v>
      </c>
      <c r="E218" s="3239">
        <v>1</v>
      </c>
      <c r="F218" s="3239">
        <v>1</v>
      </c>
      <c r="G218" s="3239">
        <v>1</v>
      </c>
      <c r="H218" s="3237" t="s">
        <v>3310</v>
      </c>
      <c r="I218" s="3237" t="s">
        <v>3311</v>
      </c>
      <c r="J218" s="3240"/>
      <c r="K218" s="3258">
        <v>38.54</v>
      </c>
      <c r="L218" s="3239"/>
      <c r="M218" s="3239"/>
      <c r="N218" s="3506"/>
      <c r="O218" s="3506"/>
      <c r="P218" s="3506"/>
      <c r="Q218" s="3239"/>
      <c r="R218" s="3239"/>
    </row>
    <row r="219" spans="1:18">
      <c r="A219" s="3236">
        <v>216</v>
      </c>
      <c r="B219" s="3236">
        <v>1</v>
      </c>
      <c r="C219" s="3236">
        <v>1</v>
      </c>
      <c r="D219" s="3237">
        <v>715</v>
      </c>
      <c r="E219" s="3239">
        <v>2</v>
      </c>
      <c r="F219" s="3239">
        <v>1</v>
      </c>
      <c r="G219" s="3239">
        <v>1</v>
      </c>
      <c r="H219" s="3257" t="s">
        <v>3312</v>
      </c>
      <c r="I219" s="3237" t="s">
        <v>3313</v>
      </c>
      <c r="J219" s="3240"/>
      <c r="K219" s="3258">
        <v>67.27</v>
      </c>
      <c r="L219" s="3239"/>
      <c r="M219" s="3239"/>
      <c r="N219" s="3506"/>
      <c r="O219" s="3506"/>
      <c r="P219" s="3506"/>
      <c r="Q219" s="3239"/>
      <c r="R219" s="3239"/>
    </row>
    <row r="220" spans="1:18">
      <c r="A220" s="3236">
        <v>217</v>
      </c>
      <c r="B220" s="3236">
        <v>1</v>
      </c>
      <c r="C220" s="3236">
        <v>1</v>
      </c>
      <c r="D220" s="3237">
        <v>716</v>
      </c>
      <c r="E220" s="3239">
        <v>1</v>
      </c>
      <c r="F220" s="3239">
        <v>1</v>
      </c>
      <c r="G220" s="3239">
        <v>1</v>
      </c>
      <c r="H220" s="3257" t="s">
        <v>3312</v>
      </c>
      <c r="I220" s="3237" t="s">
        <v>3314</v>
      </c>
      <c r="J220" s="3240"/>
      <c r="K220" s="3236">
        <v>39.97</v>
      </c>
      <c r="L220" s="3239"/>
      <c r="M220" s="3239"/>
      <c r="N220" s="3506"/>
      <c r="O220" s="3506"/>
      <c r="P220" s="3506"/>
      <c r="Q220" s="3239"/>
      <c r="R220" s="3239"/>
    </row>
    <row r="221" spans="1:18">
      <c r="A221" s="3236">
        <v>218</v>
      </c>
      <c r="B221" s="3236">
        <v>1</v>
      </c>
      <c r="C221" s="3236">
        <v>1</v>
      </c>
      <c r="D221" s="3237">
        <v>717</v>
      </c>
      <c r="E221" s="3239">
        <v>1</v>
      </c>
      <c r="F221" s="3239">
        <v>1</v>
      </c>
      <c r="G221" s="3239">
        <v>1</v>
      </c>
      <c r="H221" s="3257" t="s">
        <v>3312</v>
      </c>
      <c r="I221" s="3237">
        <v>50</v>
      </c>
      <c r="J221" s="3240"/>
      <c r="K221" s="3236">
        <v>40.32</v>
      </c>
      <c r="L221" s="3239"/>
      <c r="M221" s="3239"/>
      <c r="N221" s="3506"/>
      <c r="O221" s="3506"/>
      <c r="P221" s="3506"/>
      <c r="Q221" s="3239"/>
      <c r="R221" s="3239"/>
    </row>
    <row r="222" spans="1:18">
      <c r="A222" s="3236">
        <v>219</v>
      </c>
      <c r="B222" s="3236">
        <v>1</v>
      </c>
      <c r="C222" s="3236">
        <v>1</v>
      </c>
      <c r="D222" s="3237">
        <v>718</v>
      </c>
      <c r="E222" s="3239">
        <v>1</v>
      </c>
      <c r="F222" s="3239">
        <v>1</v>
      </c>
      <c r="G222" s="3239">
        <v>1</v>
      </c>
      <c r="H222" s="3257" t="s">
        <v>3312</v>
      </c>
      <c r="I222" s="3237">
        <v>50</v>
      </c>
      <c r="J222" s="3240"/>
      <c r="K222" s="3236">
        <v>40.32</v>
      </c>
      <c r="L222" s="3239"/>
      <c r="M222" s="3239"/>
      <c r="N222" s="3506"/>
      <c r="O222" s="3506"/>
      <c r="P222" s="3506"/>
      <c r="Q222" s="3239"/>
      <c r="R222" s="3239"/>
    </row>
    <row r="223" spans="1:18">
      <c r="A223" s="3236">
        <v>220</v>
      </c>
      <c r="B223" s="3236">
        <v>1</v>
      </c>
      <c r="C223" s="3236">
        <v>1</v>
      </c>
      <c r="D223" s="3237">
        <v>719</v>
      </c>
      <c r="E223" s="3239">
        <v>1</v>
      </c>
      <c r="F223" s="3239">
        <v>1</v>
      </c>
      <c r="G223" s="3239">
        <v>1</v>
      </c>
      <c r="H223" s="3257" t="s">
        <v>3312</v>
      </c>
      <c r="I223" s="3237" t="s">
        <v>3308</v>
      </c>
      <c r="J223" s="3240"/>
      <c r="K223" s="3236">
        <v>39.869999999999997</v>
      </c>
      <c r="L223" s="3239"/>
      <c r="M223" s="3239"/>
      <c r="N223" s="3506"/>
      <c r="O223" s="3506"/>
      <c r="P223" s="3506"/>
      <c r="Q223" s="3239"/>
      <c r="R223" s="3239"/>
    </row>
    <row r="224" spans="1:18">
      <c r="A224" s="3236">
        <v>221</v>
      </c>
      <c r="B224" s="3236">
        <v>1</v>
      </c>
      <c r="C224" s="3236">
        <v>1</v>
      </c>
      <c r="D224" s="3237">
        <v>720</v>
      </c>
      <c r="E224" s="3239">
        <v>1</v>
      </c>
      <c r="F224" s="3239">
        <v>1</v>
      </c>
      <c r="G224" s="3239">
        <v>1</v>
      </c>
      <c r="H224" s="3257" t="s">
        <v>3312</v>
      </c>
      <c r="I224" s="3257" t="s">
        <v>3315</v>
      </c>
      <c r="J224" s="3240"/>
      <c r="K224" s="3258">
        <v>41.22</v>
      </c>
      <c r="L224" s="3239"/>
      <c r="M224" s="3239"/>
      <c r="N224" s="3506"/>
      <c r="O224" s="3506"/>
      <c r="P224" s="3506"/>
      <c r="Q224" s="3239"/>
      <c r="R224" s="3239"/>
    </row>
    <row r="225" spans="1:18">
      <c r="A225" s="3236">
        <v>222</v>
      </c>
      <c r="B225" s="3236">
        <v>1</v>
      </c>
      <c r="C225" s="3236">
        <v>1</v>
      </c>
      <c r="D225" s="3237">
        <v>721</v>
      </c>
      <c r="E225" s="3239">
        <v>4</v>
      </c>
      <c r="F225" s="3239">
        <v>1</v>
      </c>
      <c r="G225" s="3239">
        <v>1</v>
      </c>
      <c r="H225" s="3237" t="s">
        <v>3316</v>
      </c>
      <c r="I225" s="3237" t="s">
        <v>3317</v>
      </c>
      <c r="J225" s="3240"/>
      <c r="K225" s="3258">
        <v>75.8</v>
      </c>
      <c r="L225" s="3239"/>
      <c r="M225" s="3239"/>
      <c r="N225" s="3506"/>
      <c r="O225" s="3506"/>
      <c r="P225" s="3506"/>
      <c r="Q225" s="3239"/>
      <c r="R225" s="3239"/>
    </row>
    <row r="226" spans="1:18">
      <c r="A226" s="3236">
        <v>223</v>
      </c>
      <c r="B226" s="3236">
        <v>1</v>
      </c>
      <c r="C226" s="3236">
        <v>1</v>
      </c>
      <c r="D226" s="3237">
        <v>722</v>
      </c>
      <c r="E226" s="3239">
        <v>4</v>
      </c>
      <c r="F226" s="3239">
        <v>1</v>
      </c>
      <c r="G226" s="3239">
        <v>1</v>
      </c>
      <c r="H226" s="3237" t="s">
        <v>3318</v>
      </c>
      <c r="I226" s="3237" t="s">
        <v>3319</v>
      </c>
      <c r="J226" s="3240"/>
      <c r="K226" s="3258">
        <v>75.8</v>
      </c>
      <c r="L226" s="3239"/>
      <c r="M226" s="3239"/>
      <c r="N226" s="3506"/>
      <c r="O226" s="3506"/>
      <c r="P226" s="3506"/>
      <c r="Q226" s="3239"/>
      <c r="R226" s="3239"/>
    </row>
    <row r="227" spans="1:18">
      <c r="A227" s="3236">
        <v>224</v>
      </c>
      <c r="B227" s="3236">
        <v>1</v>
      </c>
      <c r="C227" s="3236">
        <v>1</v>
      </c>
      <c r="D227" s="3237">
        <v>723</v>
      </c>
      <c r="E227" s="3239">
        <v>1</v>
      </c>
      <c r="F227" s="3239">
        <v>1</v>
      </c>
      <c r="G227" s="3239">
        <v>1</v>
      </c>
      <c r="H227" s="3237" t="s">
        <v>3300</v>
      </c>
      <c r="I227" s="3237" t="s">
        <v>3308</v>
      </c>
      <c r="J227" s="3240"/>
      <c r="K227" s="3236">
        <v>39.869999999999997</v>
      </c>
      <c r="L227" s="3239"/>
      <c r="M227" s="3239"/>
      <c r="N227" s="3506"/>
      <c r="O227" s="3506"/>
      <c r="P227" s="3506"/>
      <c r="Q227" s="3239"/>
      <c r="R227" s="3239"/>
    </row>
    <row r="228" spans="1:18">
      <c r="A228" s="3236">
        <v>225</v>
      </c>
      <c r="B228" s="3236">
        <v>1</v>
      </c>
      <c r="C228" s="3236">
        <v>1</v>
      </c>
      <c r="D228" s="3237">
        <v>724</v>
      </c>
      <c r="E228" s="3239">
        <v>1</v>
      </c>
      <c r="F228" s="3239">
        <v>1</v>
      </c>
      <c r="G228" s="3239">
        <v>1</v>
      </c>
      <c r="H228" s="3237" t="s">
        <v>3300</v>
      </c>
      <c r="I228" s="3237">
        <v>50</v>
      </c>
      <c r="J228" s="3240"/>
      <c r="K228" s="3236">
        <v>40.32</v>
      </c>
      <c r="L228" s="3239"/>
      <c r="M228" s="3239"/>
      <c r="N228" s="3506"/>
      <c r="O228" s="3506"/>
      <c r="P228" s="3506"/>
      <c r="Q228" s="3239"/>
      <c r="R228" s="3239"/>
    </row>
    <row r="229" spans="1:18">
      <c r="A229" s="3236">
        <v>226</v>
      </c>
      <c r="B229" s="3236">
        <v>1</v>
      </c>
      <c r="C229" s="3236">
        <v>1</v>
      </c>
      <c r="D229" s="3237">
        <v>725</v>
      </c>
      <c r="E229" s="3239">
        <v>1</v>
      </c>
      <c r="F229" s="3239">
        <v>1</v>
      </c>
      <c r="G229" s="3239">
        <v>1</v>
      </c>
      <c r="H229" s="3237" t="s">
        <v>3300</v>
      </c>
      <c r="I229" s="3237" t="s">
        <v>3320</v>
      </c>
      <c r="J229" s="3240"/>
      <c r="K229" s="3236">
        <v>40.42</v>
      </c>
      <c r="L229" s="3239"/>
      <c r="M229" s="3239"/>
      <c r="N229" s="3506"/>
      <c r="O229" s="3506"/>
      <c r="P229" s="3506"/>
      <c r="Q229" s="3239"/>
      <c r="R229" s="3239"/>
    </row>
    <row r="230" spans="1:18">
      <c r="A230" s="3236">
        <v>227</v>
      </c>
      <c r="B230" s="3236">
        <v>1</v>
      </c>
      <c r="C230" s="3236">
        <v>1</v>
      </c>
      <c r="D230" s="3237">
        <v>726</v>
      </c>
      <c r="E230" s="3239">
        <v>1</v>
      </c>
      <c r="F230" s="3239">
        <v>1</v>
      </c>
      <c r="G230" s="3239">
        <v>1</v>
      </c>
      <c r="H230" s="3237" t="s">
        <v>3295</v>
      </c>
      <c r="I230" s="3237" t="s">
        <v>3321</v>
      </c>
      <c r="J230" s="3240"/>
      <c r="K230" s="3236">
        <v>42.56</v>
      </c>
      <c r="L230" s="3239"/>
      <c r="M230" s="3239"/>
      <c r="N230" s="3506"/>
      <c r="O230" s="3506"/>
      <c r="P230" s="3506"/>
      <c r="Q230" s="3239"/>
      <c r="R230" s="3239"/>
    </row>
    <row r="231" spans="1:18">
      <c r="A231" s="3236">
        <v>228</v>
      </c>
      <c r="B231" s="3236">
        <v>1</v>
      </c>
      <c r="C231" s="3236">
        <v>1</v>
      </c>
      <c r="D231" s="3237">
        <v>727</v>
      </c>
      <c r="E231" s="3239">
        <v>1</v>
      </c>
      <c r="F231" s="3239">
        <v>1</v>
      </c>
      <c r="G231" s="3239">
        <v>1</v>
      </c>
      <c r="H231" s="3237" t="s">
        <v>3295</v>
      </c>
      <c r="I231" s="3237">
        <v>50</v>
      </c>
      <c r="J231" s="3240"/>
      <c r="K231" s="3236">
        <v>40.32</v>
      </c>
      <c r="L231" s="3239"/>
      <c r="M231" s="3239"/>
      <c r="N231" s="3506"/>
      <c r="O231" s="3506"/>
      <c r="P231" s="3506"/>
      <c r="Q231" s="3239"/>
      <c r="R231" s="3239"/>
    </row>
    <row r="232" spans="1:18">
      <c r="A232" s="3236">
        <v>229</v>
      </c>
      <c r="B232" s="3236">
        <v>1</v>
      </c>
      <c r="C232" s="3236">
        <v>1</v>
      </c>
      <c r="D232" s="3237">
        <v>728</v>
      </c>
      <c r="E232" s="3239">
        <v>1</v>
      </c>
      <c r="F232" s="3239">
        <v>1</v>
      </c>
      <c r="G232" s="3239">
        <v>1</v>
      </c>
      <c r="H232" s="3237" t="s">
        <v>3295</v>
      </c>
      <c r="I232" s="3237">
        <v>50</v>
      </c>
      <c r="J232" s="3240"/>
      <c r="K232" s="3236">
        <v>40.32</v>
      </c>
      <c r="L232" s="3239"/>
      <c r="M232" s="3239"/>
      <c r="N232" s="3506"/>
      <c r="O232" s="3506"/>
      <c r="P232" s="3506"/>
      <c r="Q232" s="3239"/>
      <c r="R232" s="3239"/>
    </row>
    <row r="233" spans="1:18">
      <c r="A233" s="3236">
        <v>230</v>
      </c>
      <c r="B233" s="3236">
        <v>1</v>
      </c>
      <c r="C233" s="3236">
        <v>1</v>
      </c>
      <c r="D233" s="3237">
        <v>729</v>
      </c>
      <c r="E233" s="3239">
        <v>1</v>
      </c>
      <c r="F233" s="3239">
        <v>1</v>
      </c>
      <c r="G233" s="3239">
        <v>1</v>
      </c>
      <c r="H233" s="3237" t="s">
        <v>3295</v>
      </c>
      <c r="I233" s="3237">
        <v>50</v>
      </c>
      <c r="J233" s="3240"/>
      <c r="K233" s="3236">
        <v>40.32</v>
      </c>
      <c r="L233" s="3239"/>
      <c r="M233" s="3239"/>
      <c r="N233" s="3506"/>
      <c r="O233" s="3506"/>
      <c r="P233" s="3506"/>
      <c r="Q233" s="3239"/>
      <c r="R233" s="3239"/>
    </row>
    <row r="234" spans="1:18">
      <c r="A234" s="3236">
        <v>231</v>
      </c>
      <c r="B234" s="3236">
        <v>1</v>
      </c>
      <c r="C234" s="3236">
        <v>1</v>
      </c>
      <c r="D234" s="3237">
        <v>730</v>
      </c>
      <c r="E234" s="3239">
        <v>1</v>
      </c>
      <c r="F234" s="3239">
        <v>1</v>
      </c>
      <c r="G234" s="3239">
        <v>1</v>
      </c>
      <c r="H234" s="3237" t="s">
        <v>3295</v>
      </c>
      <c r="I234" s="3237">
        <v>50</v>
      </c>
      <c r="J234" s="3240"/>
      <c r="K234" s="3236">
        <v>40.32</v>
      </c>
      <c r="L234" s="3239"/>
      <c r="M234" s="3239"/>
      <c r="N234" s="3506"/>
      <c r="O234" s="3506"/>
      <c r="P234" s="3506"/>
      <c r="Q234" s="3239"/>
      <c r="R234" s="3239"/>
    </row>
    <row r="235" spans="1:18">
      <c r="A235" s="3236">
        <v>232</v>
      </c>
      <c r="B235" s="3236">
        <v>1</v>
      </c>
      <c r="C235" s="3236">
        <v>1</v>
      </c>
      <c r="D235" s="3237">
        <v>731</v>
      </c>
      <c r="E235" s="3239">
        <v>1</v>
      </c>
      <c r="F235" s="3239">
        <v>1</v>
      </c>
      <c r="G235" s="3239">
        <v>1</v>
      </c>
      <c r="H235" s="3237" t="s">
        <v>3295</v>
      </c>
      <c r="I235" s="3237">
        <v>50</v>
      </c>
      <c r="J235" s="3240"/>
      <c r="K235" s="3236">
        <v>40.32</v>
      </c>
      <c r="L235" s="3239"/>
      <c r="M235" s="3239"/>
      <c r="N235" s="3506"/>
      <c r="O235" s="3506"/>
      <c r="P235" s="3506"/>
      <c r="Q235" s="3239"/>
      <c r="R235" s="3239"/>
    </row>
    <row r="236" spans="1:18">
      <c r="A236" s="3236">
        <v>233</v>
      </c>
      <c r="B236" s="3236">
        <v>1</v>
      </c>
      <c r="C236" s="3236">
        <v>1</v>
      </c>
      <c r="D236" s="3237">
        <v>732</v>
      </c>
      <c r="E236" s="3239">
        <v>1</v>
      </c>
      <c r="F236" s="3239">
        <v>1</v>
      </c>
      <c r="G236" s="3239">
        <v>1</v>
      </c>
      <c r="H236" s="3237" t="s">
        <v>3295</v>
      </c>
      <c r="I236" s="3237">
        <v>50</v>
      </c>
      <c r="J236" s="3240"/>
      <c r="K236" s="3236">
        <v>40.32</v>
      </c>
      <c r="L236" s="3239"/>
      <c r="M236" s="3239"/>
      <c r="N236" s="3506"/>
      <c r="O236" s="3506"/>
      <c r="P236" s="3506"/>
      <c r="Q236" s="3239"/>
      <c r="R236" s="3239"/>
    </row>
    <row r="237" spans="1:18">
      <c r="A237" s="3236">
        <v>234</v>
      </c>
      <c r="B237" s="3236">
        <v>1</v>
      </c>
      <c r="C237" s="3236">
        <v>1</v>
      </c>
      <c r="D237" s="3237">
        <v>733</v>
      </c>
      <c r="E237" s="3239">
        <v>1</v>
      </c>
      <c r="F237" s="3239">
        <v>1</v>
      </c>
      <c r="G237" s="3239">
        <v>1</v>
      </c>
      <c r="H237" s="3237" t="s">
        <v>3295</v>
      </c>
      <c r="I237" s="3237">
        <v>50</v>
      </c>
      <c r="J237" s="3240"/>
      <c r="K237" s="3236">
        <v>40.32</v>
      </c>
      <c r="L237" s="3239"/>
      <c r="M237" s="3239"/>
      <c r="N237" s="3506"/>
      <c r="O237" s="3506"/>
      <c r="P237" s="3506"/>
      <c r="Q237" s="3239"/>
      <c r="R237" s="3239"/>
    </row>
    <row r="238" spans="1:18">
      <c r="A238" s="3236">
        <v>235</v>
      </c>
      <c r="B238" s="3236">
        <v>1</v>
      </c>
      <c r="C238" s="3236">
        <v>1</v>
      </c>
      <c r="D238" s="3237">
        <v>734</v>
      </c>
      <c r="E238" s="3239">
        <v>1</v>
      </c>
      <c r="F238" s="3239">
        <v>1</v>
      </c>
      <c r="G238" s="3239">
        <v>1</v>
      </c>
      <c r="H238" s="3237" t="s">
        <v>3295</v>
      </c>
      <c r="I238" s="3237">
        <v>50</v>
      </c>
      <c r="J238" s="3240"/>
      <c r="K238" s="3236">
        <v>40.32</v>
      </c>
      <c r="L238" s="3239"/>
      <c r="M238" s="3239"/>
      <c r="N238" s="3506"/>
      <c r="O238" s="3506"/>
      <c r="P238" s="3506"/>
      <c r="Q238" s="3239"/>
      <c r="R238" s="3239"/>
    </row>
    <row r="239" spans="1:18">
      <c r="A239" s="3236">
        <v>236</v>
      </c>
      <c r="B239" s="3236">
        <v>1</v>
      </c>
      <c r="C239" s="3236">
        <v>1</v>
      </c>
      <c r="D239" s="3237">
        <v>735</v>
      </c>
      <c r="E239" s="3239">
        <v>1</v>
      </c>
      <c r="F239" s="3239">
        <v>1</v>
      </c>
      <c r="G239" s="3239">
        <v>1</v>
      </c>
      <c r="H239" s="3237" t="s">
        <v>3295</v>
      </c>
      <c r="I239" s="3237">
        <v>50</v>
      </c>
      <c r="J239" s="3240"/>
      <c r="K239" s="3236">
        <v>40.32</v>
      </c>
      <c r="L239" s="3239"/>
      <c r="M239" s="3239"/>
      <c r="N239" s="3506"/>
      <c r="O239" s="3506"/>
      <c r="P239" s="3506"/>
      <c r="Q239" s="3239"/>
      <c r="R239" s="3239"/>
    </row>
    <row r="240" spans="1:18">
      <c r="A240" s="3236">
        <v>237</v>
      </c>
      <c r="B240" s="3236">
        <v>1</v>
      </c>
      <c r="C240" s="3236">
        <v>1</v>
      </c>
      <c r="D240" s="3237">
        <v>736</v>
      </c>
      <c r="E240" s="3239">
        <v>1</v>
      </c>
      <c r="F240" s="3239">
        <v>1</v>
      </c>
      <c r="G240" s="3239">
        <v>1</v>
      </c>
      <c r="H240" s="3237" t="s">
        <v>3295</v>
      </c>
      <c r="I240" s="3237">
        <v>50</v>
      </c>
      <c r="J240" s="3240"/>
      <c r="K240" s="3236">
        <v>40.32</v>
      </c>
      <c r="L240" s="3239"/>
      <c r="M240" s="3239"/>
      <c r="N240" s="3506"/>
      <c r="O240" s="3506"/>
      <c r="P240" s="3506"/>
      <c r="Q240" s="3239"/>
      <c r="R240" s="3239"/>
    </row>
    <row r="241" spans="1:18">
      <c r="A241" s="3236">
        <v>238</v>
      </c>
      <c r="B241" s="3236">
        <v>1</v>
      </c>
      <c r="C241" s="3236">
        <v>1</v>
      </c>
      <c r="D241" s="3237">
        <v>737</v>
      </c>
      <c r="E241" s="3239">
        <v>1</v>
      </c>
      <c r="F241" s="3239">
        <v>0</v>
      </c>
      <c r="G241" s="3239">
        <v>1</v>
      </c>
      <c r="H241" s="3237" t="s">
        <v>3295</v>
      </c>
      <c r="I241" s="3257" t="s">
        <v>3322</v>
      </c>
      <c r="J241" s="3240"/>
      <c r="K241" s="3236">
        <v>34.5</v>
      </c>
      <c r="L241" s="3239"/>
      <c r="M241" s="3239"/>
      <c r="N241" s="3506"/>
      <c r="O241" s="3506"/>
      <c r="P241" s="3506"/>
      <c r="Q241" s="3239"/>
      <c r="R241" s="3239"/>
    </row>
    <row r="242" spans="1:18">
      <c r="A242" s="3236">
        <v>239</v>
      </c>
      <c r="B242" s="3236">
        <v>1</v>
      </c>
      <c r="C242" s="3236">
        <v>1</v>
      </c>
      <c r="D242" s="3237">
        <v>738</v>
      </c>
      <c r="E242" s="3239">
        <v>1</v>
      </c>
      <c r="F242" s="3239">
        <v>0</v>
      </c>
      <c r="G242" s="3239">
        <v>1</v>
      </c>
      <c r="H242" s="3237" t="s">
        <v>3295</v>
      </c>
      <c r="I242" s="3237">
        <v>40</v>
      </c>
      <c r="J242" s="3240"/>
      <c r="K242" s="3236">
        <v>35.26</v>
      </c>
      <c r="L242" s="3239"/>
      <c r="M242" s="3239"/>
      <c r="N242" s="3506"/>
      <c r="O242" s="3506"/>
      <c r="P242" s="3506"/>
      <c r="Q242" s="3239"/>
      <c r="R242" s="3239"/>
    </row>
    <row r="243" spans="1:18" ht="14.25" thickBot="1">
      <c r="A243" s="3236">
        <v>240</v>
      </c>
      <c r="B243" s="3236">
        <v>1</v>
      </c>
      <c r="C243" s="3236">
        <v>1</v>
      </c>
      <c r="D243" s="3244">
        <v>739</v>
      </c>
      <c r="E243" s="3246">
        <v>1</v>
      </c>
      <c r="F243" s="3246">
        <v>0</v>
      </c>
      <c r="G243" s="3246">
        <v>1</v>
      </c>
      <c r="H243" s="3244" t="s">
        <v>3300</v>
      </c>
      <c r="I243" s="3244" t="s">
        <v>3323</v>
      </c>
      <c r="J243" s="3259"/>
      <c r="K243" s="3260">
        <v>32.42</v>
      </c>
      <c r="L243" s="3246"/>
      <c r="M243" s="3246"/>
      <c r="N243" s="3507"/>
      <c r="O243" s="3507"/>
      <c r="P243" s="3507"/>
      <c r="Q243" s="3246"/>
      <c r="R243" s="3246"/>
    </row>
    <row r="244" spans="1:18" ht="14.25" thickTop="1">
      <c r="A244" s="3236">
        <v>241</v>
      </c>
      <c r="B244" s="3236">
        <v>1</v>
      </c>
      <c r="C244" s="3236">
        <v>1</v>
      </c>
      <c r="D244" s="3251">
        <v>801</v>
      </c>
      <c r="E244" s="3252">
        <v>1</v>
      </c>
      <c r="F244" s="3252">
        <v>1</v>
      </c>
      <c r="G244" s="3252">
        <v>1</v>
      </c>
      <c r="H244" s="3251" t="s">
        <v>3302</v>
      </c>
      <c r="I244" s="3251" t="s">
        <v>3303</v>
      </c>
      <c r="J244" s="3253"/>
      <c r="K244" s="3254">
        <v>40.520000000000003</v>
      </c>
      <c r="L244" s="3252"/>
      <c r="M244" s="3252"/>
      <c r="N244" s="3513">
        <v>2.9</v>
      </c>
      <c r="O244" s="3509" t="s">
        <v>3297</v>
      </c>
      <c r="P244" s="3509" t="s">
        <v>3298</v>
      </c>
      <c r="Q244" s="3252"/>
      <c r="R244" s="3252"/>
    </row>
    <row r="245" spans="1:18">
      <c r="A245" s="3236">
        <v>242</v>
      </c>
      <c r="B245" s="3236">
        <v>1</v>
      </c>
      <c r="C245" s="3236">
        <v>1</v>
      </c>
      <c r="D245" s="3237">
        <v>802</v>
      </c>
      <c r="E245" s="3239">
        <v>1</v>
      </c>
      <c r="F245" s="3239">
        <v>0</v>
      </c>
      <c r="G245" s="3239">
        <v>1</v>
      </c>
      <c r="H245" s="3257" t="s">
        <v>3304</v>
      </c>
      <c r="I245" s="3237" t="s">
        <v>3305</v>
      </c>
      <c r="J245" s="3240"/>
      <c r="K245" s="3236">
        <v>31.54</v>
      </c>
      <c r="L245" s="3239"/>
      <c r="M245" s="3239"/>
      <c r="N245" s="3506"/>
      <c r="O245" s="3506"/>
      <c r="P245" s="3506"/>
      <c r="Q245" s="3239"/>
      <c r="R245" s="3239"/>
    </row>
    <row r="246" spans="1:18">
      <c r="A246" s="3236">
        <v>243</v>
      </c>
      <c r="B246" s="3236">
        <v>1</v>
      </c>
      <c r="C246" s="3236">
        <v>1</v>
      </c>
      <c r="D246" s="3237">
        <v>803</v>
      </c>
      <c r="E246" s="3239">
        <v>1</v>
      </c>
      <c r="F246" s="3239">
        <v>0</v>
      </c>
      <c r="G246" s="3239">
        <v>1</v>
      </c>
      <c r="H246" s="3257" t="s">
        <v>3304</v>
      </c>
      <c r="I246" s="3237" t="s">
        <v>3305</v>
      </c>
      <c r="J246" s="3240"/>
      <c r="K246" s="3236">
        <v>31.54</v>
      </c>
      <c r="L246" s="3239"/>
      <c r="M246" s="3239"/>
      <c r="N246" s="3506"/>
      <c r="O246" s="3506"/>
      <c r="P246" s="3506"/>
      <c r="Q246" s="3239"/>
      <c r="R246" s="3239"/>
    </row>
    <row r="247" spans="1:18">
      <c r="A247" s="3236">
        <v>244</v>
      </c>
      <c r="B247" s="3236">
        <v>1</v>
      </c>
      <c r="C247" s="3236">
        <v>1</v>
      </c>
      <c r="D247" s="3237">
        <v>804</v>
      </c>
      <c r="E247" s="3239">
        <v>1</v>
      </c>
      <c r="F247" s="3239">
        <v>0</v>
      </c>
      <c r="G247" s="3239">
        <v>1</v>
      </c>
      <c r="H247" s="3257" t="s">
        <v>3304</v>
      </c>
      <c r="I247" s="3237" t="s">
        <v>3306</v>
      </c>
      <c r="J247" s="3240"/>
      <c r="K247" s="3236">
        <v>32.26</v>
      </c>
      <c r="L247" s="3239"/>
      <c r="M247" s="3239"/>
      <c r="N247" s="3506"/>
      <c r="O247" s="3506"/>
      <c r="P247" s="3506"/>
      <c r="Q247" s="3239"/>
      <c r="R247" s="3239"/>
    </row>
    <row r="248" spans="1:18">
      <c r="A248" s="3236">
        <v>245</v>
      </c>
      <c r="B248" s="3236">
        <v>1</v>
      </c>
      <c r="C248" s="3236">
        <v>1</v>
      </c>
      <c r="D248" s="3237">
        <v>805</v>
      </c>
      <c r="E248" s="3239">
        <v>1</v>
      </c>
      <c r="F248" s="3239">
        <v>0</v>
      </c>
      <c r="G248" s="3239">
        <v>1</v>
      </c>
      <c r="H248" s="3257" t="s">
        <v>3304</v>
      </c>
      <c r="I248" s="3237" t="s">
        <v>3306</v>
      </c>
      <c r="J248" s="3240"/>
      <c r="K248" s="3236">
        <v>32.26</v>
      </c>
      <c r="L248" s="3239"/>
      <c r="M248" s="3239"/>
      <c r="N248" s="3506"/>
      <c r="O248" s="3506"/>
      <c r="P248" s="3506"/>
      <c r="Q248" s="3239"/>
      <c r="R248" s="3239"/>
    </row>
    <row r="249" spans="1:18">
      <c r="A249" s="3236">
        <v>246</v>
      </c>
      <c r="B249" s="3236">
        <v>1</v>
      </c>
      <c r="C249" s="3236">
        <v>1</v>
      </c>
      <c r="D249" s="3237">
        <v>806</v>
      </c>
      <c r="E249" s="3239">
        <v>1</v>
      </c>
      <c r="F249" s="3239">
        <v>0</v>
      </c>
      <c r="G249" s="3239">
        <v>1</v>
      </c>
      <c r="H249" s="3257" t="s">
        <v>3304</v>
      </c>
      <c r="I249" s="3237" t="s">
        <v>3305</v>
      </c>
      <c r="J249" s="3240"/>
      <c r="K249" s="3236">
        <v>31.54</v>
      </c>
      <c r="L249" s="3239"/>
      <c r="M249" s="3239"/>
      <c r="N249" s="3506"/>
      <c r="O249" s="3506"/>
      <c r="P249" s="3506"/>
      <c r="Q249" s="3239"/>
      <c r="R249" s="3239"/>
    </row>
    <row r="250" spans="1:18">
      <c r="A250" s="3236">
        <v>247</v>
      </c>
      <c r="B250" s="3236">
        <v>1</v>
      </c>
      <c r="C250" s="3236">
        <v>1</v>
      </c>
      <c r="D250" s="3237">
        <v>807</v>
      </c>
      <c r="E250" s="3239">
        <v>1</v>
      </c>
      <c r="F250" s="3239">
        <v>0</v>
      </c>
      <c r="G250" s="3239">
        <v>1</v>
      </c>
      <c r="H250" s="3257" t="s">
        <v>3304</v>
      </c>
      <c r="I250" s="3237" t="s">
        <v>3305</v>
      </c>
      <c r="J250" s="3240"/>
      <c r="K250" s="3236">
        <v>31.54</v>
      </c>
      <c r="L250" s="3239"/>
      <c r="M250" s="3239"/>
      <c r="N250" s="3506"/>
      <c r="O250" s="3506"/>
      <c r="P250" s="3506"/>
      <c r="Q250" s="3239"/>
      <c r="R250" s="3239"/>
    </row>
    <row r="251" spans="1:18">
      <c r="A251" s="3236">
        <v>248</v>
      </c>
      <c r="B251" s="3236">
        <v>1</v>
      </c>
      <c r="C251" s="3236">
        <v>1</v>
      </c>
      <c r="D251" s="3237">
        <v>808</v>
      </c>
      <c r="E251" s="3239">
        <v>1</v>
      </c>
      <c r="F251" s="3239">
        <v>0</v>
      </c>
      <c r="G251" s="3239">
        <v>1</v>
      </c>
      <c r="H251" s="3257" t="s">
        <v>3304</v>
      </c>
      <c r="I251" s="3237" t="s">
        <v>3305</v>
      </c>
      <c r="J251" s="3240"/>
      <c r="K251" s="3236">
        <v>31.54</v>
      </c>
      <c r="L251" s="3239"/>
      <c r="M251" s="3239"/>
      <c r="N251" s="3506"/>
      <c r="O251" s="3506"/>
      <c r="P251" s="3506"/>
      <c r="Q251" s="3239"/>
      <c r="R251" s="3239"/>
    </row>
    <row r="252" spans="1:18">
      <c r="A252" s="3236">
        <v>249</v>
      </c>
      <c r="B252" s="3236">
        <v>1</v>
      </c>
      <c r="C252" s="3236">
        <v>1</v>
      </c>
      <c r="D252" s="3237">
        <v>809</v>
      </c>
      <c r="E252" s="3239">
        <v>1</v>
      </c>
      <c r="F252" s="3239">
        <v>0</v>
      </c>
      <c r="G252" s="3239">
        <v>1</v>
      </c>
      <c r="H252" s="3257" t="s">
        <v>3304</v>
      </c>
      <c r="I252" s="3237" t="s">
        <v>3305</v>
      </c>
      <c r="J252" s="3240"/>
      <c r="K252" s="3236">
        <v>31.54</v>
      </c>
      <c r="L252" s="3239"/>
      <c r="M252" s="3239"/>
      <c r="N252" s="3506"/>
      <c r="O252" s="3506"/>
      <c r="P252" s="3506"/>
      <c r="Q252" s="3239"/>
      <c r="R252" s="3239"/>
    </row>
    <row r="253" spans="1:18">
      <c r="A253" s="3236">
        <v>250</v>
      </c>
      <c r="B253" s="3236">
        <v>1</v>
      </c>
      <c r="C253" s="3236">
        <v>1</v>
      </c>
      <c r="D253" s="3237">
        <v>810</v>
      </c>
      <c r="E253" s="3239">
        <v>1</v>
      </c>
      <c r="F253" s="3239">
        <v>0</v>
      </c>
      <c r="G253" s="3239">
        <v>1</v>
      </c>
      <c r="H253" s="3257" t="s">
        <v>3304</v>
      </c>
      <c r="I253" s="3237" t="s">
        <v>3305</v>
      </c>
      <c r="J253" s="3240"/>
      <c r="K253" s="3236">
        <v>31.54</v>
      </c>
      <c r="L253" s="3239"/>
      <c r="M253" s="3239"/>
      <c r="N253" s="3506"/>
      <c r="O253" s="3506"/>
      <c r="P253" s="3506"/>
      <c r="Q253" s="3239"/>
      <c r="R253" s="3239"/>
    </row>
    <row r="254" spans="1:18">
      <c r="A254" s="3236">
        <v>251</v>
      </c>
      <c r="B254" s="3236">
        <v>1</v>
      </c>
      <c r="C254" s="3236">
        <v>1</v>
      </c>
      <c r="D254" s="3237">
        <v>811</v>
      </c>
      <c r="E254" s="3239">
        <v>1</v>
      </c>
      <c r="F254" s="3239">
        <v>0</v>
      </c>
      <c r="G254" s="3239">
        <v>1</v>
      </c>
      <c r="H254" s="3257" t="s">
        <v>3304</v>
      </c>
      <c r="I254" s="3237" t="s">
        <v>3307</v>
      </c>
      <c r="J254" s="3240"/>
      <c r="K254" s="3236">
        <v>31.98</v>
      </c>
      <c r="L254" s="3239"/>
      <c r="M254" s="3239"/>
      <c r="N254" s="3506"/>
      <c r="O254" s="3506"/>
      <c r="P254" s="3506"/>
      <c r="Q254" s="3239"/>
      <c r="R254" s="3239"/>
    </row>
    <row r="255" spans="1:18">
      <c r="A255" s="3236">
        <v>252</v>
      </c>
      <c r="B255" s="3236">
        <v>1</v>
      </c>
      <c r="C255" s="3236">
        <v>1</v>
      </c>
      <c r="D255" s="3237">
        <v>812</v>
      </c>
      <c r="E255" s="3239">
        <v>1</v>
      </c>
      <c r="F255" s="3239">
        <v>1</v>
      </c>
      <c r="G255" s="3239">
        <v>1</v>
      </c>
      <c r="H255" s="3257" t="s">
        <v>3304</v>
      </c>
      <c r="I255" s="3237" t="s">
        <v>3308</v>
      </c>
      <c r="J255" s="3240"/>
      <c r="K255" s="3236">
        <v>39.869999999999997</v>
      </c>
      <c r="L255" s="3239"/>
      <c r="M255" s="3239"/>
      <c r="N255" s="3506"/>
      <c r="O255" s="3506"/>
      <c r="P255" s="3506"/>
      <c r="Q255" s="3239"/>
      <c r="R255" s="3239"/>
    </row>
    <row r="256" spans="1:18">
      <c r="A256" s="3236">
        <v>253</v>
      </c>
      <c r="B256" s="3236">
        <v>1</v>
      </c>
      <c r="C256" s="3236">
        <v>1</v>
      </c>
      <c r="D256" s="3237">
        <v>813</v>
      </c>
      <c r="E256" s="3239">
        <v>1</v>
      </c>
      <c r="F256" s="3239">
        <v>1</v>
      </c>
      <c r="G256" s="3239">
        <v>1</v>
      </c>
      <c r="H256" s="3257" t="s">
        <v>3304</v>
      </c>
      <c r="I256" s="3257" t="s">
        <v>3309</v>
      </c>
      <c r="J256" s="3240"/>
      <c r="K256" s="3258">
        <v>39.96</v>
      </c>
      <c r="L256" s="3239"/>
      <c r="M256" s="3239"/>
      <c r="N256" s="3506"/>
      <c r="O256" s="3506"/>
      <c r="P256" s="3506"/>
      <c r="Q256" s="3239"/>
      <c r="R256" s="3239"/>
    </row>
    <row r="257" spans="1:18">
      <c r="A257" s="3236">
        <v>254</v>
      </c>
      <c r="B257" s="3236">
        <v>1</v>
      </c>
      <c r="C257" s="3236">
        <v>1</v>
      </c>
      <c r="D257" s="3237">
        <v>814</v>
      </c>
      <c r="E257" s="3239">
        <v>1</v>
      </c>
      <c r="F257" s="3239">
        <v>1</v>
      </c>
      <c r="G257" s="3239">
        <v>1</v>
      </c>
      <c r="H257" s="3237" t="s">
        <v>3310</v>
      </c>
      <c r="I257" s="3237" t="s">
        <v>3311</v>
      </c>
      <c r="J257" s="3240"/>
      <c r="K257" s="3258">
        <v>38.54</v>
      </c>
      <c r="L257" s="3239"/>
      <c r="M257" s="3239"/>
      <c r="N257" s="3506"/>
      <c r="O257" s="3506"/>
      <c r="P257" s="3506"/>
      <c r="Q257" s="3239"/>
      <c r="R257" s="3239"/>
    </row>
    <row r="258" spans="1:18">
      <c r="A258" s="3236">
        <v>255</v>
      </c>
      <c r="B258" s="3236">
        <v>1</v>
      </c>
      <c r="C258" s="3236">
        <v>1</v>
      </c>
      <c r="D258" s="3237">
        <v>815</v>
      </c>
      <c r="E258" s="3239">
        <v>2</v>
      </c>
      <c r="F258" s="3239">
        <v>1</v>
      </c>
      <c r="G258" s="3239">
        <v>1</v>
      </c>
      <c r="H258" s="3257" t="s">
        <v>3312</v>
      </c>
      <c r="I258" s="3237" t="s">
        <v>3313</v>
      </c>
      <c r="J258" s="3240"/>
      <c r="K258" s="3258">
        <v>67.27</v>
      </c>
      <c r="L258" s="3239"/>
      <c r="M258" s="3239"/>
      <c r="N258" s="3506"/>
      <c r="O258" s="3506"/>
      <c r="P258" s="3506"/>
      <c r="Q258" s="3239"/>
      <c r="R258" s="3239"/>
    </row>
    <row r="259" spans="1:18">
      <c r="A259" s="3236">
        <v>256</v>
      </c>
      <c r="B259" s="3236">
        <v>1</v>
      </c>
      <c r="C259" s="3236">
        <v>1</v>
      </c>
      <c r="D259" s="3237">
        <v>816</v>
      </c>
      <c r="E259" s="3239">
        <v>1</v>
      </c>
      <c r="F259" s="3239">
        <v>1</v>
      </c>
      <c r="G259" s="3239">
        <v>1</v>
      </c>
      <c r="H259" s="3257" t="s">
        <v>3312</v>
      </c>
      <c r="I259" s="3237" t="s">
        <v>3314</v>
      </c>
      <c r="J259" s="3240"/>
      <c r="K259" s="3236">
        <v>39.97</v>
      </c>
      <c r="L259" s="3239"/>
      <c r="M259" s="3239"/>
      <c r="N259" s="3506"/>
      <c r="O259" s="3506"/>
      <c r="P259" s="3506"/>
      <c r="Q259" s="3239"/>
      <c r="R259" s="3239"/>
    </row>
    <row r="260" spans="1:18">
      <c r="A260" s="3236">
        <v>257</v>
      </c>
      <c r="B260" s="3236">
        <v>1</v>
      </c>
      <c r="C260" s="3236">
        <v>1</v>
      </c>
      <c r="D260" s="3237">
        <v>817</v>
      </c>
      <c r="E260" s="3239">
        <v>1</v>
      </c>
      <c r="F260" s="3239">
        <v>1</v>
      </c>
      <c r="G260" s="3239">
        <v>1</v>
      </c>
      <c r="H260" s="3257" t="s">
        <v>3312</v>
      </c>
      <c r="I260" s="3237">
        <v>50</v>
      </c>
      <c r="J260" s="3240"/>
      <c r="K260" s="3236">
        <v>40.32</v>
      </c>
      <c r="L260" s="3239"/>
      <c r="M260" s="3239"/>
      <c r="N260" s="3506"/>
      <c r="O260" s="3506"/>
      <c r="P260" s="3506"/>
      <c r="Q260" s="3239"/>
      <c r="R260" s="3239"/>
    </row>
    <row r="261" spans="1:18">
      <c r="A261" s="3236">
        <v>258</v>
      </c>
      <c r="B261" s="3236">
        <v>1</v>
      </c>
      <c r="C261" s="3236">
        <v>1</v>
      </c>
      <c r="D261" s="3237">
        <v>818</v>
      </c>
      <c r="E261" s="3239">
        <v>1</v>
      </c>
      <c r="F261" s="3239">
        <v>1</v>
      </c>
      <c r="G261" s="3239">
        <v>1</v>
      </c>
      <c r="H261" s="3257" t="s">
        <v>3312</v>
      </c>
      <c r="I261" s="3237">
        <v>50</v>
      </c>
      <c r="J261" s="3240"/>
      <c r="K261" s="3236">
        <v>40.32</v>
      </c>
      <c r="L261" s="3239"/>
      <c r="M261" s="3239"/>
      <c r="N261" s="3506"/>
      <c r="O261" s="3506"/>
      <c r="P261" s="3506"/>
      <c r="Q261" s="3239"/>
      <c r="R261" s="3239"/>
    </row>
    <row r="262" spans="1:18">
      <c r="A262" s="3236">
        <v>259</v>
      </c>
      <c r="B262" s="3236">
        <v>1</v>
      </c>
      <c r="C262" s="3236">
        <v>1</v>
      </c>
      <c r="D262" s="3237">
        <v>819</v>
      </c>
      <c r="E262" s="3239">
        <v>1</v>
      </c>
      <c r="F262" s="3239">
        <v>1</v>
      </c>
      <c r="G262" s="3239">
        <v>1</v>
      </c>
      <c r="H262" s="3257" t="s">
        <v>3312</v>
      </c>
      <c r="I262" s="3237" t="s">
        <v>3308</v>
      </c>
      <c r="J262" s="3240"/>
      <c r="K262" s="3236">
        <v>39.869999999999997</v>
      </c>
      <c r="L262" s="3239"/>
      <c r="M262" s="3239"/>
      <c r="N262" s="3506"/>
      <c r="O262" s="3506"/>
      <c r="P262" s="3506"/>
      <c r="Q262" s="3239"/>
      <c r="R262" s="3239"/>
    </row>
    <row r="263" spans="1:18">
      <c r="A263" s="3236">
        <v>260</v>
      </c>
      <c r="B263" s="3236">
        <v>1</v>
      </c>
      <c r="C263" s="3236">
        <v>1</v>
      </c>
      <c r="D263" s="3237">
        <v>820</v>
      </c>
      <c r="E263" s="3239">
        <v>1</v>
      </c>
      <c r="F263" s="3239">
        <v>1</v>
      </c>
      <c r="G263" s="3239">
        <v>1</v>
      </c>
      <c r="H263" s="3257" t="s">
        <v>3312</v>
      </c>
      <c r="I263" s="3257" t="s">
        <v>3315</v>
      </c>
      <c r="J263" s="3240"/>
      <c r="K263" s="3258">
        <v>41.22</v>
      </c>
      <c r="L263" s="3239"/>
      <c r="M263" s="3239"/>
      <c r="N263" s="3506"/>
      <c r="O263" s="3506"/>
      <c r="P263" s="3506"/>
      <c r="Q263" s="3239"/>
      <c r="R263" s="3239"/>
    </row>
    <row r="264" spans="1:18">
      <c r="A264" s="3236">
        <v>261</v>
      </c>
      <c r="B264" s="3236">
        <v>1</v>
      </c>
      <c r="C264" s="3236">
        <v>1</v>
      </c>
      <c r="D264" s="3237">
        <v>821</v>
      </c>
      <c r="E264" s="3239">
        <v>4</v>
      </c>
      <c r="F264" s="3239">
        <v>1</v>
      </c>
      <c r="G264" s="3239">
        <v>1</v>
      </c>
      <c r="H264" s="3237" t="s">
        <v>3316</v>
      </c>
      <c r="I264" s="3237" t="s">
        <v>3317</v>
      </c>
      <c r="J264" s="3240"/>
      <c r="K264" s="3258">
        <v>75.8</v>
      </c>
      <c r="L264" s="3239"/>
      <c r="M264" s="3239"/>
      <c r="N264" s="3506"/>
      <c r="O264" s="3506"/>
      <c r="P264" s="3506"/>
      <c r="Q264" s="3239"/>
      <c r="R264" s="3239"/>
    </row>
    <row r="265" spans="1:18">
      <c r="A265" s="3236">
        <v>262</v>
      </c>
      <c r="B265" s="3236">
        <v>1</v>
      </c>
      <c r="C265" s="3236">
        <v>1</v>
      </c>
      <c r="D265" s="3237">
        <v>822</v>
      </c>
      <c r="E265" s="3239">
        <v>4</v>
      </c>
      <c r="F265" s="3239">
        <v>1</v>
      </c>
      <c r="G265" s="3239">
        <v>1</v>
      </c>
      <c r="H265" s="3237" t="s">
        <v>3318</v>
      </c>
      <c r="I265" s="3237" t="s">
        <v>3319</v>
      </c>
      <c r="J265" s="3240"/>
      <c r="K265" s="3258">
        <v>75.8</v>
      </c>
      <c r="L265" s="3239"/>
      <c r="M265" s="3239"/>
      <c r="N265" s="3506"/>
      <c r="O265" s="3506"/>
      <c r="P265" s="3506"/>
      <c r="Q265" s="3239"/>
      <c r="R265" s="3239"/>
    </row>
    <row r="266" spans="1:18">
      <c r="A266" s="3236">
        <v>263</v>
      </c>
      <c r="B266" s="3236">
        <v>1</v>
      </c>
      <c r="C266" s="3236">
        <v>1</v>
      </c>
      <c r="D266" s="3237">
        <v>823</v>
      </c>
      <c r="E266" s="3239">
        <v>1</v>
      </c>
      <c r="F266" s="3239">
        <v>1</v>
      </c>
      <c r="G266" s="3239">
        <v>1</v>
      </c>
      <c r="H266" s="3237" t="s">
        <v>3300</v>
      </c>
      <c r="I266" s="3237" t="s">
        <v>3308</v>
      </c>
      <c r="J266" s="3240"/>
      <c r="K266" s="3236">
        <v>39.869999999999997</v>
      </c>
      <c r="L266" s="3239"/>
      <c r="M266" s="3239"/>
      <c r="N266" s="3506"/>
      <c r="O266" s="3506"/>
      <c r="P266" s="3506"/>
      <c r="Q266" s="3239"/>
      <c r="R266" s="3239"/>
    </row>
    <row r="267" spans="1:18">
      <c r="A267" s="3236">
        <v>264</v>
      </c>
      <c r="B267" s="3236">
        <v>1</v>
      </c>
      <c r="C267" s="3236">
        <v>1</v>
      </c>
      <c r="D267" s="3237">
        <v>824</v>
      </c>
      <c r="E267" s="3239">
        <v>1</v>
      </c>
      <c r="F267" s="3239">
        <v>1</v>
      </c>
      <c r="G267" s="3239">
        <v>1</v>
      </c>
      <c r="H267" s="3237" t="s">
        <v>3300</v>
      </c>
      <c r="I267" s="3237">
        <v>50</v>
      </c>
      <c r="J267" s="3240"/>
      <c r="K267" s="3236">
        <v>40.32</v>
      </c>
      <c r="L267" s="3239"/>
      <c r="M267" s="3239"/>
      <c r="N267" s="3506"/>
      <c r="O267" s="3506"/>
      <c r="P267" s="3506"/>
      <c r="Q267" s="3239"/>
      <c r="R267" s="3239"/>
    </row>
    <row r="268" spans="1:18">
      <c r="A268" s="3236">
        <v>265</v>
      </c>
      <c r="B268" s="3236">
        <v>1</v>
      </c>
      <c r="C268" s="3236">
        <v>1</v>
      </c>
      <c r="D268" s="3237">
        <v>825</v>
      </c>
      <c r="E268" s="3239">
        <v>1</v>
      </c>
      <c r="F268" s="3239">
        <v>1</v>
      </c>
      <c r="G268" s="3239">
        <v>1</v>
      </c>
      <c r="H268" s="3237" t="s">
        <v>3300</v>
      </c>
      <c r="I268" s="3237" t="s">
        <v>3320</v>
      </c>
      <c r="J268" s="3240"/>
      <c r="K268" s="3236">
        <v>40.42</v>
      </c>
      <c r="L268" s="3239"/>
      <c r="M268" s="3239"/>
      <c r="N268" s="3506"/>
      <c r="O268" s="3506"/>
      <c r="P268" s="3506"/>
      <c r="Q268" s="3239"/>
      <c r="R268" s="3239"/>
    </row>
    <row r="269" spans="1:18">
      <c r="A269" s="3236">
        <v>266</v>
      </c>
      <c r="B269" s="3236">
        <v>1</v>
      </c>
      <c r="C269" s="3236">
        <v>1</v>
      </c>
      <c r="D269" s="3237">
        <v>826</v>
      </c>
      <c r="E269" s="3239">
        <v>1</v>
      </c>
      <c r="F269" s="3239">
        <v>1</v>
      </c>
      <c r="G269" s="3239">
        <v>1</v>
      </c>
      <c r="H269" s="3237" t="s">
        <v>3295</v>
      </c>
      <c r="I269" s="3237" t="s">
        <v>3321</v>
      </c>
      <c r="J269" s="3240"/>
      <c r="K269" s="3236">
        <v>42.56</v>
      </c>
      <c r="L269" s="3239"/>
      <c r="M269" s="3239"/>
      <c r="N269" s="3506"/>
      <c r="O269" s="3506"/>
      <c r="P269" s="3506"/>
      <c r="Q269" s="3239"/>
      <c r="R269" s="3239"/>
    </row>
    <row r="270" spans="1:18">
      <c r="A270" s="3236">
        <v>267</v>
      </c>
      <c r="B270" s="3236">
        <v>1</v>
      </c>
      <c r="C270" s="3236">
        <v>1</v>
      </c>
      <c r="D270" s="3237">
        <v>827</v>
      </c>
      <c r="E270" s="3239">
        <v>1</v>
      </c>
      <c r="F270" s="3239">
        <v>1</v>
      </c>
      <c r="G270" s="3239">
        <v>1</v>
      </c>
      <c r="H270" s="3237" t="s">
        <v>3295</v>
      </c>
      <c r="I270" s="3237">
        <v>50</v>
      </c>
      <c r="J270" s="3240"/>
      <c r="K270" s="3236">
        <v>40.32</v>
      </c>
      <c r="L270" s="3239"/>
      <c r="M270" s="3239"/>
      <c r="N270" s="3506"/>
      <c r="O270" s="3506"/>
      <c r="P270" s="3506"/>
      <c r="Q270" s="3239"/>
      <c r="R270" s="3239"/>
    </row>
    <row r="271" spans="1:18">
      <c r="A271" s="3236">
        <v>268</v>
      </c>
      <c r="B271" s="3236">
        <v>1</v>
      </c>
      <c r="C271" s="3236">
        <v>1</v>
      </c>
      <c r="D271" s="3237">
        <v>828</v>
      </c>
      <c r="E271" s="3239">
        <v>1</v>
      </c>
      <c r="F271" s="3239">
        <v>1</v>
      </c>
      <c r="G271" s="3239">
        <v>1</v>
      </c>
      <c r="H271" s="3237" t="s">
        <v>3295</v>
      </c>
      <c r="I271" s="3237">
        <v>50</v>
      </c>
      <c r="J271" s="3240"/>
      <c r="K271" s="3236">
        <v>40.32</v>
      </c>
      <c r="L271" s="3239"/>
      <c r="M271" s="3239"/>
      <c r="N271" s="3506"/>
      <c r="O271" s="3506"/>
      <c r="P271" s="3506"/>
      <c r="Q271" s="3239"/>
      <c r="R271" s="3239"/>
    </row>
    <row r="272" spans="1:18">
      <c r="A272" s="3236">
        <v>269</v>
      </c>
      <c r="B272" s="3236">
        <v>1</v>
      </c>
      <c r="C272" s="3236">
        <v>1</v>
      </c>
      <c r="D272" s="3237">
        <v>829</v>
      </c>
      <c r="E272" s="3239">
        <v>1</v>
      </c>
      <c r="F272" s="3239">
        <v>1</v>
      </c>
      <c r="G272" s="3239">
        <v>1</v>
      </c>
      <c r="H272" s="3237" t="s">
        <v>3295</v>
      </c>
      <c r="I272" s="3237">
        <v>50</v>
      </c>
      <c r="J272" s="3240"/>
      <c r="K272" s="3236">
        <v>40.32</v>
      </c>
      <c r="L272" s="3239"/>
      <c r="M272" s="3239"/>
      <c r="N272" s="3506"/>
      <c r="O272" s="3506"/>
      <c r="P272" s="3506"/>
      <c r="Q272" s="3239"/>
      <c r="R272" s="3239"/>
    </row>
    <row r="273" spans="1:18">
      <c r="A273" s="3236">
        <v>270</v>
      </c>
      <c r="B273" s="3236">
        <v>1</v>
      </c>
      <c r="C273" s="3236">
        <v>1</v>
      </c>
      <c r="D273" s="3237">
        <v>830</v>
      </c>
      <c r="E273" s="3239">
        <v>1</v>
      </c>
      <c r="F273" s="3239">
        <v>1</v>
      </c>
      <c r="G273" s="3239">
        <v>1</v>
      </c>
      <c r="H273" s="3237" t="s">
        <v>3295</v>
      </c>
      <c r="I273" s="3237">
        <v>50</v>
      </c>
      <c r="J273" s="3240"/>
      <c r="K273" s="3236">
        <v>40.32</v>
      </c>
      <c r="L273" s="3239"/>
      <c r="M273" s="3239"/>
      <c r="N273" s="3506"/>
      <c r="O273" s="3506"/>
      <c r="P273" s="3506"/>
      <c r="Q273" s="3239"/>
      <c r="R273" s="3239"/>
    </row>
    <row r="274" spans="1:18">
      <c r="A274" s="3236">
        <v>271</v>
      </c>
      <c r="B274" s="3236">
        <v>1</v>
      </c>
      <c r="C274" s="3236">
        <v>1</v>
      </c>
      <c r="D274" s="3237">
        <v>831</v>
      </c>
      <c r="E274" s="3239">
        <v>1</v>
      </c>
      <c r="F274" s="3239">
        <v>1</v>
      </c>
      <c r="G274" s="3239">
        <v>1</v>
      </c>
      <c r="H274" s="3237" t="s">
        <v>3295</v>
      </c>
      <c r="I274" s="3237">
        <v>50</v>
      </c>
      <c r="J274" s="3240"/>
      <c r="K274" s="3236">
        <v>40.32</v>
      </c>
      <c r="L274" s="3239"/>
      <c r="M274" s="3239"/>
      <c r="N274" s="3506"/>
      <c r="O274" s="3506"/>
      <c r="P274" s="3506"/>
      <c r="Q274" s="3239"/>
      <c r="R274" s="3239"/>
    </row>
    <row r="275" spans="1:18">
      <c r="A275" s="3236">
        <v>272</v>
      </c>
      <c r="B275" s="3236">
        <v>1</v>
      </c>
      <c r="C275" s="3236">
        <v>1</v>
      </c>
      <c r="D275" s="3237">
        <v>832</v>
      </c>
      <c r="E275" s="3239">
        <v>1</v>
      </c>
      <c r="F275" s="3239">
        <v>1</v>
      </c>
      <c r="G275" s="3239">
        <v>1</v>
      </c>
      <c r="H275" s="3237" t="s">
        <v>3295</v>
      </c>
      <c r="I275" s="3237">
        <v>50</v>
      </c>
      <c r="J275" s="3240"/>
      <c r="K275" s="3236">
        <v>40.32</v>
      </c>
      <c r="L275" s="3239"/>
      <c r="M275" s="3239"/>
      <c r="N275" s="3506"/>
      <c r="O275" s="3506"/>
      <c r="P275" s="3506"/>
      <c r="Q275" s="3239"/>
      <c r="R275" s="3239"/>
    </row>
    <row r="276" spans="1:18">
      <c r="A276" s="3236">
        <v>273</v>
      </c>
      <c r="B276" s="3236">
        <v>1</v>
      </c>
      <c r="C276" s="3236">
        <v>1</v>
      </c>
      <c r="D276" s="3237">
        <v>833</v>
      </c>
      <c r="E276" s="3239">
        <v>1</v>
      </c>
      <c r="F276" s="3239">
        <v>1</v>
      </c>
      <c r="G276" s="3239">
        <v>1</v>
      </c>
      <c r="H276" s="3237" t="s">
        <v>3295</v>
      </c>
      <c r="I276" s="3237">
        <v>50</v>
      </c>
      <c r="J276" s="3240"/>
      <c r="K276" s="3236">
        <v>40.32</v>
      </c>
      <c r="L276" s="3239"/>
      <c r="M276" s="3239"/>
      <c r="N276" s="3506"/>
      <c r="O276" s="3506"/>
      <c r="P276" s="3506"/>
      <c r="Q276" s="3239"/>
      <c r="R276" s="3239"/>
    </row>
    <row r="277" spans="1:18">
      <c r="A277" s="3236">
        <v>274</v>
      </c>
      <c r="B277" s="3236">
        <v>1</v>
      </c>
      <c r="C277" s="3236">
        <v>1</v>
      </c>
      <c r="D277" s="3237">
        <v>834</v>
      </c>
      <c r="E277" s="3239">
        <v>1</v>
      </c>
      <c r="F277" s="3239">
        <v>1</v>
      </c>
      <c r="G277" s="3239">
        <v>1</v>
      </c>
      <c r="H277" s="3237" t="s">
        <v>3295</v>
      </c>
      <c r="I277" s="3237">
        <v>50</v>
      </c>
      <c r="J277" s="3240"/>
      <c r="K277" s="3236">
        <v>40.32</v>
      </c>
      <c r="L277" s="3239"/>
      <c r="M277" s="3239"/>
      <c r="N277" s="3506"/>
      <c r="O277" s="3506"/>
      <c r="P277" s="3506"/>
      <c r="Q277" s="3239"/>
      <c r="R277" s="3239"/>
    </row>
    <row r="278" spans="1:18">
      <c r="A278" s="3236">
        <v>275</v>
      </c>
      <c r="B278" s="3236">
        <v>1</v>
      </c>
      <c r="C278" s="3236">
        <v>1</v>
      </c>
      <c r="D278" s="3237">
        <v>835</v>
      </c>
      <c r="E278" s="3239">
        <v>1</v>
      </c>
      <c r="F278" s="3239">
        <v>1</v>
      </c>
      <c r="G278" s="3239">
        <v>1</v>
      </c>
      <c r="H278" s="3237" t="s">
        <v>3295</v>
      </c>
      <c r="I278" s="3237">
        <v>50</v>
      </c>
      <c r="J278" s="3240"/>
      <c r="K278" s="3236">
        <v>40.32</v>
      </c>
      <c r="L278" s="3239"/>
      <c r="M278" s="3239"/>
      <c r="N278" s="3506"/>
      <c r="O278" s="3506"/>
      <c r="P278" s="3506"/>
      <c r="Q278" s="3239"/>
      <c r="R278" s="3239"/>
    </row>
    <row r="279" spans="1:18">
      <c r="A279" s="3236">
        <v>276</v>
      </c>
      <c r="B279" s="3236">
        <v>1</v>
      </c>
      <c r="C279" s="3236">
        <v>1</v>
      </c>
      <c r="D279" s="3237">
        <v>836</v>
      </c>
      <c r="E279" s="3239">
        <v>1</v>
      </c>
      <c r="F279" s="3239">
        <v>1</v>
      </c>
      <c r="G279" s="3239">
        <v>1</v>
      </c>
      <c r="H279" s="3237" t="s">
        <v>3295</v>
      </c>
      <c r="I279" s="3237">
        <v>50</v>
      </c>
      <c r="J279" s="3240"/>
      <c r="K279" s="3236">
        <v>40.32</v>
      </c>
      <c r="L279" s="3239"/>
      <c r="M279" s="3239"/>
      <c r="N279" s="3506"/>
      <c r="O279" s="3506"/>
      <c r="P279" s="3506"/>
      <c r="Q279" s="3239"/>
      <c r="R279" s="3239"/>
    </row>
    <row r="280" spans="1:18">
      <c r="A280" s="3236">
        <v>277</v>
      </c>
      <c r="B280" s="3236">
        <v>1</v>
      </c>
      <c r="C280" s="3236">
        <v>1</v>
      </c>
      <c r="D280" s="3237">
        <v>837</v>
      </c>
      <c r="E280" s="3239">
        <v>1</v>
      </c>
      <c r="F280" s="3239">
        <v>0</v>
      </c>
      <c r="G280" s="3239">
        <v>1</v>
      </c>
      <c r="H280" s="3237" t="s">
        <v>3295</v>
      </c>
      <c r="I280" s="3257" t="s">
        <v>3322</v>
      </c>
      <c r="J280" s="3240"/>
      <c r="K280" s="3236">
        <v>34.5</v>
      </c>
      <c r="L280" s="3239"/>
      <c r="M280" s="3239"/>
      <c r="N280" s="3506"/>
      <c r="O280" s="3506"/>
      <c r="P280" s="3506"/>
      <c r="Q280" s="3239"/>
      <c r="R280" s="3239"/>
    </row>
    <row r="281" spans="1:18">
      <c r="A281" s="3236">
        <v>278</v>
      </c>
      <c r="B281" s="3236">
        <v>1</v>
      </c>
      <c r="C281" s="3236">
        <v>1</v>
      </c>
      <c r="D281" s="3237">
        <v>838</v>
      </c>
      <c r="E281" s="3239">
        <v>1</v>
      </c>
      <c r="F281" s="3239">
        <v>0</v>
      </c>
      <c r="G281" s="3239">
        <v>1</v>
      </c>
      <c r="H281" s="3237" t="s">
        <v>3295</v>
      </c>
      <c r="I281" s="3237">
        <v>40</v>
      </c>
      <c r="J281" s="3240"/>
      <c r="K281" s="3236">
        <v>35.26</v>
      </c>
      <c r="L281" s="3239"/>
      <c r="M281" s="3239"/>
      <c r="N281" s="3506"/>
      <c r="O281" s="3506"/>
      <c r="P281" s="3506"/>
      <c r="Q281" s="3239"/>
      <c r="R281" s="3239"/>
    </row>
    <row r="282" spans="1:18" ht="14.25" thickBot="1">
      <c r="A282" s="3236">
        <v>279</v>
      </c>
      <c r="B282" s="3236">
        <v>1</v>
      </c>
      <c r="C282" s="3236">
        <v>1</v>
      </c>
      <c r="D282" s="3244">
        <v>839</v>
      </c>
      <c r="E282" s="3246">
        <v>1</v>
      </c>
      <c r="F282" s="3246">
        <v>0</v>
      </c>
      <c r="G282" s="3246">
        <v>1</v>
      </c>
      <c r="H282" s="3244" t="s">
        <v>3300</v>
      </c>
      <c r="I282" s="3244" t="s">
        <v>3323</v>
      </c>
      <c r="J282" s="3259"/>
      <c r="K282" s="3260">
        <v>32.42</v>
      </c>
      <c r="L282" s="3246"/>
      <c r="M282" s="3246"/>
      <c r="N282" s="3512"/>
      <c r="O282" s="3512"/>
      <c r="P282" s="3512"/>
      <c r="Q282" s="3250"/>
      <c r="R282" s="3250"/>
    </row>
    <row r="283" spans="1:18" ht="14.25" thickTop="1">
      <c r="A283" s="3236">
        <v>280</v>
      </c>
      <c r="B283" s="3236">
        <v>1</v>
      </c>
      <c r="C283" s="3236">
        <v>1</v>
      </c>
      <c r="D283" s="3251">
        <v>901</v>
      </c>
      <c r="E283" s="3252">
        <v>1</v>
      </c>
      <c r="F283" s="3252">
        <v>1</v>
      </c>
      <c r="G283" s="3252">
        <v>1</v>
      </c>
      <c r="H283" s="3251" t="s">
        <v>3302</v>
      </c>
      <c r="I283" s="3251" t="s">
        <v>3303</v>
      </c>
      <c r="J283" s="3253"/>
      <c r="K283" s="3254">
        <v>40.520000000000003</v>
      </c>
      <c r="L283" s="3252"/>
      <c r="M283" s="3252"/>
      <c r="N283" s="3505">
        <v>2.9</v>
      </c>
      <c r="O283" s="3508" t="s">
        <v>3297</v>
      </c>
      <c r="P283" s="3508" t="s">
        <v>3298</v>
      </c>
      <c r="Q283" s="3261"/>
      <c r="R283" s="3261"/>
    </row>
    <row r="284" spans="1:18">
      <c r="A284" s="3236">
        <v>281</v>
      </c>
      <c r="B284" s="3236">
        <v>1</v>
      </c>
      <c r="C284" s="3236">
        <v>1</v>
      </c>
      <c r="D284" s="3237">
        <v>902</v>
      </c>
      <c r="E284" s="3239">
        <v>1</v>
      </c>
      <c r="F284" s="3239">
        <v>0</v>
      </c>
      <c r="G284" s="3239">
        <v>1</v>
      </c>
      <c r="H284" s="3257" t="s">
        <v>3304</v>
      </c>
      <c r="I284" s="3237" t="s">
        <v>3305</v>
      </c>
      <c r="J284" s="3240"/>
      <c r="K284" s="3236">
        <v>31.54</v>
      </c>
      <c r="L284" s="3239"/>
      <c r="M284" s="3239"/>
      <c r="N284" s="3506"/>
      <c r="O284" s="3506"/>
      <c r="P284" s="3506"/>
      <c r="Q284" s="3239"/>
      <c r="R284" s="3239"/>
    </row>
    <row r="285" spans="1:18">
      <c r="A285" s="3236">
        <v>282</v>
      </c>
      <c r="B285" s="3236">
        <v>1</v>
      </c>
      <c r="C285" s="3236">
        <v>1</v>
      </c>
      <c r="D285" s="3237">
        <v>903</v>
      </c>
      <c r="E285" s="3239">
        <v>1</v>
      </c>
      <c r="F285" s="3239">
        <v>0</v>
      </c>
      <c r="G285" s="3239">
        <v>1</v>
      </c>
      <c r="H285" s="3257" t="s">
        <v>3304</v>
      </c>
      <c r="I285" s="3237" t="s">
        <v>3305</v>
      </c>
      <c r="J285" s="3240"/>
      <c r="K285" s="3236">
        <v>31.54</v>
      </c>
      <c r="L285" s="3239"/>
      <c r="M285" s="3239"/>
      <c r="N285" s="3506"/>
      <c r="O285" s="3506"/>
      <c r="P285" s="3506"/>
      <c r="Q285" s="3239"/>
      <c r="R285" s="3239"/>
    </row>
    <row r="286" spans="1:18">
      <c r="A286" s="3236">
        <v>283</v>
      </c>
      <c r="B286" s="3236">
        <v>1</v>
      </c>
      <c r="C286" s="3236">
        <v>1</v>
      </c>
      <c r="D286" s="3237">
        <v>904</v>
      </c>
      <c r="E286" s="3239">
        <v>1</v>
      </c>
      <c r="F286" s="3239">
        <v>0</v>
      </c>
      <c r="G286" s="3239">
        <v>1</v>
      </c>
      <c r="H286" s="3257" t="s">
        <v>3304</v>
      </c>
      <c r="I286" s="3237" t="s">
        <v>3306</v>
      </c>
      <c r="J286" s="3240"/>
      <c r="K286" s="3236">
        <v>32.26</v>
      </c>
      <c r="L286" s="3239"/>
      <c r="M286" s="3239"/>
      <c r="N286" s="3506"/>
      <c r="O286" s="3506"/>
      <c r="P286" s="3506"/>
      <c r="Q286" s="3239"/>
      <c r="R286" s="3239"/>
    </row>
    <row r="287" spans="1:18">
      <c r="A287" s="3236">
        <v>284</v>
      </c>
      <c r="B287" s="3236">
        <v>1</v>
      </c>
      <c r="C287" s="3236">
        <v>1</v>
      </c>
      <c r="D287" s="3237">
        <v>905</v>
      </c>
      <c r="E287" s="3239">
        <v>1</v>
      </c>
      <c r="F287" s="3239">
        <v>0</v>
      </c>
      <c r="G287" s="3239">
        <v>1</v>
      </c>
      <c r="H287" s="3257" t="s">
        <v>3304</v>
      </c>
      <c r="I287" s="3237" t="s">
        <v>3306</v>
      </c>
      <c r="J287" s="3240"/>
      <c r="K287" s="3236">
        <v>32.26</v>
      </c>
      <c r="L287" s="3239"/>
      <c r="M287" s="3239"/>
      <c r="N287" s="3506"/>
      <c r="O287" s="3506"/>
      <c r="P287" s="3506"/>
      <c r="Q287" s="3239"/>
      <c r="R287" s="3239"/>
    </row>
    <row r="288" spans="1:18">
      <c r="A288" s="3236">
        <v>285</v>
      </c>
      <c r="B288" s="3236">
        <v>1</v>
      </c>
      <c r="C288" s="3236">
        <v>1</v>
      </c>
      <c r="D288" s="3237">
        <v>906</v>
      </c>
      <c r="E288" s="3239">
        <v>1</v>
      </c>
      <c r="F288" s="3239">
        <v>0</v>
      </c>
      <c r="G288" s="3239">
        <v>1</v>
      </c>
      <c r="H288" s="3257" t="s">
        <v>3304</v>
      </c>
      <c r="I288" s="3237" t="s">
        <v>3305</v>
      </c>
      <c r="J288" s="3240"/>
      <c r="K288" s="3236">
        <v>31.54</v>
      </c>
      <c r="L288" s="3239"/>
      <c r="M288" s="3239"/>
      <c r="N288" s="3506"/>
      <c r="O288" s="3506"/>
      <c r="P288" s="3506"/>
      <c r="Q288" s="3239"/>
      <c r="R288" s="3239"/>
    </row>
    <row r="289" spans="1:18">
      <c r="A289" s="3236">
        <v>286</v>
      </c>
      <c r="B289" s="3236">
        <v>1</v>
      </c>
      <c r="C289" s="3236">
        <v>1</v>
      </c>
      <c r="D289" s="3237">
        <v>907</v>
      </c>
      <c r="E289" s="3239">
        <v>1</v>
      </c>
      <c r="F289" s="3239">
        <v>0</v>
      </c>
      <c r="G289" s="3239">
        <v>1</v>
      </c>
      <c r="H289" s="3257" t="s">
        <v>3304</v>
      </c>
      <c r="I289" s="3237" t="s">
        <v>3305</v>
      </c>
      <c r="J289" s="3240"/>
      <c r="K289" s="3236">
        <v>31.54</v>
      </c>
      <c r="L289" s="3239"/>
      <c r="M289" s="3239"/>
      <c r="N289" s="3506"/>
      <c r="O289" s="3506"/>
      <c r="P289" s="3506"/>
      <c r="Q289" s="3239"/>
      <c r="R289" s="3239"/>
    </row>
    <row r="290" spans="1:18">
      <c r="A290" s="3236">
        <v>287</v>
      </c>
      <c r="B290" s="3236">
        <v>1</v>
      </c>
      <c r="C290" s="3236">
        <v>1</v>
      </c>
      <c r="D290" s="3237">
        <v>908</v>
      </c>
      <c r="E290" s="3239">
        <v>1</v>
      </c>
      <c r="F290" s="3239">
        <v>0</v>
      </c>
      <c r="G290" s="3239">
        <v>1</v>
      </c>
      <c r="H290" s="3257" t="s">
        <v>3304</v>
      </c>
      <c r="I290" s="3237" t="s">
        <v>3305</v>
      </c>
      <c r="J290" s="3240"/>
      <c r="K290" s="3236">
        <v>31.54</v>
      </c>
      <c r="L290" s="3239"/>
      <c r="M290" s="3239"/>
      <c r="N290" s="3506"/>
      <c r="O290" s="3506"/>
      <c r="P290" s="3506"/>
      <c r="Q290" s="3239"/>
      <c r="R290" s="3239"/>
    </row>
    <row r="291" spans="1:18">
      <c r="A291" s="3236">
        <v>288</v>
      </c>
      <c r="B291" s="3236">
        <v>1</v>
      </c>
      <c r="C291" s="3236">
        <v>1</v>
      </c>
      <c r="D291" s="3237">
        <v>909</v>
      </c>
      <c r="E291" s="3239">
        <v>1</v>
      </c>
      <c r="F291" s="3239">
        <v>0</v>
      </c>
      <c r="G291" s="3239">
        <v>1</v>
      </c>
      <c r="H291" s="3257" t="s">
        <v>3304</v>
      </c>
      <c r="I291" s="3237" t="s">
        <v>3305</v>
      </c>
      <c r="J291" s="3240"/>
      <c r="K291" s="3236">
        <v>31.54</v>
      </c>
      <c r="L291" s="3239"/>
      <c r="M291" s="3239"/>
      <c r="N291" s="3506"/>
      <c r="O291" s="3506"/>
      <c r="P291" s="3506"/>
      <c r="Q291" s="3239"/>
      <c r="R291" s="3239"/>
    </row>
    <row r="292" spans="1:18">
      <c r="A292" s="3236">
        <v>289</v>
      </c>
      <c r="B292" s="3236">
        <v>1</v>
      </c>
      <c r="C292" s="3236">
        <v>1</v>
      </c>
      <c r="D292" s="3237">
        <v>910</v>
      </c>
      <c r="E292" s="3239">
        <v>1</v>
      </c>
      <c r="F292" s="3239">
        <v>0</v>
      </c>
      <c r="G292" s="3239">
        <v>1</v>
      </c>
      <c r="H292" s="3257" t="s">
        <v>3304</v>
      </c>
      <c r="I292" s="3237" t="s">
        <v>3305</v>
      </c>
      <c r="J292" s="3240"/>
      <c r="K292" s="3236">
        <v>31.54</v>
      </c>
      <c r="L292" s="3239"/>
      <c r="M292" s="3239"/>
      <c r="N292" s="3506"/>
      <c r="O292" s="3506"/>
      <c r="P292" s="3506"/>
      <c r="Q292" s="3239"/>
      <c r="R292" s="3239"/>
    </row>
    <row r="293" spans="1:18">
      <c r="A293" s="3236">
        <v>290</v>
      </c>
      <c r="B293" s="3236">
        <v>1</v>
      </c>
      <c r="C293" s="3236">
        <v>1</v>
      </c>
      <c r="D293" s="3237">
        <v>911</v>
      </c>
      <c r="E293" s="3239">
        <v>1</v>
      </c>
      <c r="F293" s="3239">
        <v>0</v>
      </c>
      <c r="G293" s="3239">
        <v>1</v>
      </c>
      <c r="H293" s="3257" t="s">
        <v>3304</v>
      </c>
      <c r="I293" s="3237" t="s">
        <v>3307</v>
      </c>
      <c r="J293" s="3240"/>
      <c r="K293" s="3236">
        <v>31.98</v>
      </c>
      <c r="L293" s="3239"/>
      <c r="M293" s="3239"/>
      <c r="N293" s="3506"/>
      <c r="O293" s="3506"/>
      <c r="P293" s="3506"/>
      <c r="Q293" s="3239"/>
      <c r="R293" s="3239"/>
    </row>
    <row r="294" spans="1:18">
      <c r="A294" s="3236">
        <v>291</v>
      </c>
      <c r="B294" s="3236">
        <v>1</v>
      </c>
      <c r="C294" s="3236">
        <v>1</v>
      </c>
      <c r="D294" s="3237">
        <v>912</v>
      </c>
      <c r="E294" s="3239">
        <v>1</v>
      </c>
      <c r="F294" s="3239">
        <v>1</v>
      </c>
      <c r="G294" s="3239">
        <v>1</v>
      </c>
      <c r="H294" s="3257" t="s">
        <v>3304</v>
      </c>
      <c r="I294" s="3237" t="s">
        <v>3308</v>
      </c>
      <c r="J294" s="3240"/>
      <c r="K294" s="3236">
        <v>39.869999999999997</v>
      </c>
      <c r="L294" s="3239"/>
      <c r="M294" s="3239"/>
      <c r="N294" s="3506"/>
      <c r="O294" s="3506"/>
      <c r="P294" s="3506"/>
      <c r="Q294" s="3239"/>
      <c r="R294" s="3239"/>
    </row>
    <row r="295" spans="1:18">
      <c r="A295" s="3236">
        <v>292</v>
      </c>
      <c r="B295" s="3236">
        <v>1</v>
      </c>
      <c r="C295" s="3236">
        <v>1</v>
      </c>
      <c r="D295" s="3237">
        <v>913</v>
      </c>
      <c r="E295" s="3239">
        <v>1</v>
      </c>
      <c r="F295" s="3239">
        <v>1</v>
      </c>
      <c r="G295" s="3239">
        <v>1</v>
      </c>
      <c r="H295" s="3257" t="s">
        <v>3304</v>
      </c>
      <c r="I295" s="3257" t="s">
        <v>3309</v>
      </c>
      <c r="J295" s="3240"/>
      <c r="K295" s="3258">
        <v>39.96</v>
      </c>
      <c r="L295" s="3239"/>
      <c r="M295" s="3239"/>
      <c r="N295" s="3506"/>
      <c r="O295" s="3506"/>
      <c r="P295" s="3506"/>
      <c r="Q295" s="3239"/>
      <c r="R295" s="3239"/>
    </row>
    <row r="296" spans="1:18">
      <c r="A296" s="3236">
        <v>293</v>
      </c>
      <c r="B296" s="3236">
        <v>1</v>
      </c>
      <c r="C296" s="3236">
        <v>1</v>
      </c>
      <c r="D296" s="3237">
        <v>914</v>
      </c>
      <c r="E296" s="3239">
        <v>1</v>
      </c>
      <c r="F296" s="3239">
        <v>1</v>
      </c>
      <c r="G296" s="3239">
        <v>1</v>
      </c>
      <c r="H296" s="3237" t="s">
        <v>3310</v>
      </c>
      <c r="I296" s="3237" t="s">
        <v>3311</v>
      </c>
      <c r="J296" s="3240"/>
      <c r="K296" s="3258">
        <v>38.54</v>
      </c>
      <c r="L296" s="3239"/>
      <c r="M296" s="3239"/>
      <c r="N296" s="3506"/>
      <c r="O296" s="3506"/>
      <c r="P296" s="3506"/>
      <c r="Q296" s="3239"/>
      <c r="R296" s="3239"/>
    </row>
    <row r="297" spans="1:18">
      <c r="A297" s="3236">
        <v>294</v>
      </c>
      <c r="B297" s="3236">
        <v>1</v>
      </c>
      <c r="C297" s="3236">
        <v>1</v>
      </c>
      <c r="D297" s="3237">
        <v>915</v>
      </c>
      <c r="E297" s="3239">
        <v>2</v>
      </c>
      <c r="F297" s="3239">
        <v>1</v>
      </c>
      <c r="G297" s="3239">
        <v>1</v>
      </c>
      <c r="H297" s="3257" t="s">
        <v>3312</v>
      </c>
      <c r="I297" s="3237" t="s">
        <v>3313</v>
      </c>
      <c r="J297" s="3240"/>
      <c r="K297" s="3258">
        <v>67.27</v>
      </c>
      <c r="L297" s="3239"/>
      <c r="M297" s="3239"/>
      <c r="N297" s="3506"/>
      <c r="O297" s="3506"/>
      <c r="P297" s="3506"/>
      <c r="Q297" s="3239"/>
      <c r="R297" s="3239"/>
    </row>
    <row r="298" spans="1:18">
      <c r="A298" s="3236">
        <v>295</v>
      </c>
      <c r="B298" s="3236">
        <v>1</v>
      </c>
      <c r="C298" s="3236">
        <v>1</v>
      </c>
      <c r="D298" s="3237">
        <v>916</v>
      </c>
      <c r="E298" s="3239">
        <v>1</v>
      </c>
      <c r="F298" s="3239">
        <v>1</v>
      </c>
      <c r="G298" s="3239">
        <v>1</v>
      </c>
      <c r="H298" s="3257" t="s">
        <v>3312</v>
      </c>
      <c r="I298" s="3237" t="s">
        <v>3314</v>
      </c>
      <c r="J298" s="3240"/>
      <c r="K298" s="3236">
        <v>39.97</v>
      </c>
      <c r="L298" s="3239"/>
      <c r="M298" s="3239"/>
      <c r="N298" s="3506"/>
      <c r="O298" s="3506"/>
      <c r="P298" s="3506"/>
      <c r="Q298" s="3239"/>
      <c r="R298" s="3239"/>
    </row>
    <row r="299" spans="1:18">
      <c r="A299" s="3236">
        <v>296</v>
      </c>
      <c r="B299" s="3236">
        <v>1</v>
      </c>
      <c r="C299" s="3236">
        <v>1</v>
      </c>
      <c r="D299" s="3237">
        <v>917</v>
      </c>
      <c r="E299" s="3239">
        <v>1</v>
      </c>
      <c r="F299" s="3239">
        <v>1</v>
      </c>
      <c r="G299" s="3239">
        <v>1</v>
      </c>
      <c r="H299" s="3257" t="s">
        <v>3312</v>
      </c>
      <c r="I299" s="3237">
        <v>50</v>
      </c>
      <c r="J299" s="3240"/>
      <c r="K299" s="3236">
        <v>40.32</v>
      </c>
      <c r="L299" s="3239"/>
      <c r="M299" s="3239"/>
      <c r="N299" s="3506"/>
      <c r="O299" s="3506"/>
      <c r="P299" s="3506"/>
      <c r="Q299" s="3239"/>
      <c r="R299" s="3239"/>
    </row>
    <row r="300" spans="1:18">
      <c r="A300" s="3236">
        <v>297</v>
      </c>
      <c r="B300" s="3236">
        <v>1</v>
      </c>
      <c r="C300" s="3236">
        <v>1</v>
      </c>
      <c r="D300" s="3237">
        <v>918</v>
      </c>
      <c r="E300" s="3239">
        <v>1</v>
      </c>
      <c r="F300" s="3239">
        <v>1</v>
      </c>
      <c r="G300" s="3239">
        <v>1</v>
      </c>
      <c r="H300" s="3257" t="s">
        <v>3312</v>
      </c>
      <c r="I300" s="3237">
        <v>50</v>
      </c>
      <c r="J300" s="3240"/>
      <c r="K300" s="3236">
        <v>40.32</v>
      </c>
      <c r="L300" s="3239"/>
      <c r="M300" s="3239"/>
      <c r="N300" s="3506"/>
      <c r="O300" s="3506"/>
      <c r="P300" s="3506"/>
      <c r="Q300" s="3239"/>
      <c r="R300" s="3239"/>
    </row>
    <row r="301" spans="1:18">
      <c r="A301" s="3236">
        <v>298</v>
      </c>
      <c r="B301" s="3236">
        <v>1</v>
      </c>
      <c r="C301" s="3236">
        <v>1</v>
      </c>
      <c r="D301" s="3237">
        <v>919</v>
      </c>
      <c r="E301" s="3239">
        <v>1</v>
      </c>
      <c r="F301" s="3239">
        <v>1</v>
      </c>
      <c r="G301" s="3239">
        <v>1</v>
      </c>
      <c r="H301" s="3257" t="s">
        <v>3312</v>
      </c>
      <c r="I301" s="3237" t="s">
        <v>3308</v>
      </c>
      <c r="J301" s="3240"/>
      <c r="K301" s="3236">
        <v>39.869999999999997</v>
      </c>
      <c r="L301" s="3239"/>
      <c r="M301" s="3239"/>
      <c r="N301" s="3506"/>
      <c r="O301" s="3506"/>
      <c r="P301" s="3506"/>
      <c r="Q301" s="3239"/>
      <c r="R301" s="3239"/>
    </row>
    <row r="302" spans="1:18">
      <c r="A302" s="3236">
        <v>299</v>
      </c>
      <c r="B302" s="3236">
        <v>1</v>
      </c>
      <c r="C302" s="3236">
        <v>1</v>
      </c>
      <c r="D302" s="3237">
        <v>920</v>
      </c>
      <c r="E302" s="3239">
        <v>1</v>
      </c>
      <c r="F302" s="3239">
        <v>1</v>
      </c>
      <c r="G302" s="3239">
        <v>1</v>
      </c>
      <c r="H302" s="3257" t="s">
        <v>3312</v>
      </c>
      <c r="I302" s="3257" t="s">
        <v>3315</v>
      </c>
      <c r="J302" s="3240"/>
      <c r="K302" s="3258">
        <v>41.22</v>
      </c>
      <c r="L302" s="3239"/>
      <c r="M302" s="3239"/>
      <c r="N302" s="3506"/>
      <c r="O302" s="3506"/>
      <c r="P302" s="3506"/>
      <c r="Q302" s="3239"/>
      <c r="R302" s="3239"/>
    </row>
    <row r="303" spans="1:18">
      <c r="A303" s="3236">
        <v>300</v>
      </c>
      <c r="B303" s="3236">
        <v>1</v>
      </c>
      <c r="C303" s="3236">
        <v>1</v>
      </c>
      <c r="D303" s="3237">
        <v>921</v>
      </c>
      <c r="E303" s="3239">
        <v>4</v>
      </c>
      <c r="F303" s="3239">
        <v>1</v>
      </c>
      <c r="G303" s="3239">
        <v>1</v>
      </c>
      <c r="H303" s="3237" t="s">
        <v>3316</v>
      </c>
      <c r="I303" s="3237" t="s">
        <v>3317</v>
      </c>
      <c r="J303" s="3240"/>
      <c r="K303" s="3258">
        <v>75.8</v>
      </c>
      <c r="L303" s="3239"/>
      <c r="M303" s="3239"/>
      <c r="N303" s="3506"/>
      <c r="O303" s="3506"/>
      <c r="P303" s="3506"/>
      <c r="Q303" s="3239"/>
      <c r="R303" s="3239"/>
    </row>
    <row r="304" spans="1:18">
      <c r="A304" s="3236">
        <v>301</v>
      </c>
      <c r="B304" s="3236">
        <v>1</v>
      </c>
      <c r="C304" s="3236">
        <v>1</v>
      </c>
      <c r="D304" s="3237">
        <v>922</v>
      </c>
      <c r="E304" s="3239">
        <v>4</v>
      </c>
      <c r="F304" s="3239">
        <v>1</v>
      </c>
      <c r="G304" s="3239">
        <v>1</v>
      </c>
      <c r="H304" s="3237" t="s">
        <v>3318</v>
      </c>
      <c r="I304" s="3237" t="s">
        <v>3319</v>
      </c>
      <c r="J304" s="3240"/>
      <c r="K304" s="3258">
        <v>75.8</v>
      </c>
      <c r="L304" s="3239"/>
      <c r="M304" s="3239"/>
      <c r="N304" s="3506"/>
      <c r="O304" s="3506"/>
      <c r="P304" s="3506"/>
      <c r="Q304" s="3239"/>
      <c r="R304" s="3239"/>
    </row>
    <row r="305" spans="1:18">
      <c r="A305" s="3236">
        <v>302</v>
      </c>
      <c r="B305" s="3236">
        <v>1</v>
      </c>
      <c r="C305" s="3236">
        <v>1</v>
      </c>
      <c r="D305" s="3237">
        <v>923</v>
      </c>
      <c r="E305" s="3239">
        <v>1</v>
      </c>
      <c r="F305" s="3239">
        <v>1</v>
      </c>
      <c r="G305" s="3239">
        <v>1</v>
      </c>
      <c r="H305" s="3237" t="s">
        <v>3300</v>
      </c>
      <c r="I305" s="3237" t="s">
        <v>3308</v>
      </c>
      <c r="J305" s="3240"/>
      <c r="K305" s="3236">
        <v>39.869999999999997</v>
      </c>
      <c r="L305" s="3239"/>
      <c r="M305" s="3239"/>
      <c r="N305" s="3506"/>
      <c r="O305" s="3506"/>
      <c r="P305" s="3506"/>
      <c r="Q305" s="3239"/>
      <c r="R305" s="3239"/>
    </row>
    <row r="306" spans="1:18">
      <c r="A306" s="3236">
        <v>303</v>
      </c>
      <c r="B306" s="3236">
        <v>1</v>
      </c>
      <c r="C306" s="3236">
        <v>1</v>
      </c>
      <c r="D306" s="3237">
        <v>924</v>
      </c>
      <c r="E306" s="3239">
        <v>1</v>
      </c>
      <c r="F306" s="3239">
        <v>1</v>
      </c>
      <c r="G306" s="3239">
        <v>1</v>
      </c>
      <c r="H306" s="3237" t="s">
        <v>3300</v>
      </c>
      <c r="I306" s="3237">
        <v>50</v>
      </c>
      <c r="J306" s="3240"/>
      <c r="K306" s="3236">
        <v>40.32</v>
      </c>
      <c r="L306" s="3239"/>
      <c r="M306" s="3239"/>
      <c r="N306" s="3506"/>
      <c r="O306" s="3506"/>
      <c r="P306" s="3506"/>
      <c r="Q306" s="3239"/>
      <c r="R306" s="3239"/>
    </row>
    <row r="307" spans="1:18">
      <c r="A307" s="3236">
        <v>304</v>
      </c>
      <c r="B307" s="3236">
        <v>1</v>
      </c>
      <c r="C307" s="3236">
        <v>1</v>
      </c>
      <c r="D307" s="3237">
        <v>925</v>
      </c>
      <c r="E307" s="3239">
        <v>1</v>
      </c>
      <c r="F307" s="3239">
        <v>1</v>
      </c>
      <c r="G307" s="3239">
        <v>1</v>
      </c>
      <c r="H307" s="3237" t="s">
        <v>3300</v>
      </c>
      <c r="I307" s="3237" t="s">
        <v>3320</v>
      </c>
      <c r="J307" s="3240"/>
      <c r="K307" s="3236">
        <v>40.42</v>
      </c>
      <c r="L307" s="3239"/>
      <c r="M307" s="3239"/>
      <c r="N307" s="3506"/>
      <c r="O307" s="3506"/>
      <c r="P307" s="3506"/>
      <c r="Q307" s="3239"/>
      <c r="R307" s="3239"/>
    </row>
    <row r="308" spans="1:18">
      <c r="A308" s="3236">
        <v>305</v>
      </c>
      <c r="B308" s="3236">
        <v>1</v>
      </c>
      <c r="C308" s="3236">
        <v>1</v>
      </c>
      <c r="D308" s="3237">
        <v>926</v>
      </c>
      <c r="E308" s="3239">
        <v>1</v>
      </c>
      <c r="F308" s="3239">
        <v>1</v>
      </c>
      <c r="G308" s="3239">
        <v>1</v>
      </c>
      <c r="H308" s="3237" t="s">
        <v>3295</v>
      </c>
      <c r="I308" s="3237" t="s">
        <v>3321</v>
      </c>
      <c r="J308" s="3240"/>
      <c r="K308" s="3236">
        <v>42.56</v>
      </c>
      <c r="L308" s="3239"/>
      <c r="M308" s="3239"/>
      <c r="N308" s="3506"/>
      <c r="O308" s="3506"/>
      <c r="P308" s="3506"/>
      <c r="Q308" s="3239"/>
      <c r="R308" s="3239"/>
    </row>
    <row r="309" spans="1:18">
      <c r="A309" s="3236">
        <v>306</v>
      </c>
      <c r="B309" s="3236">
        <v>1</v>
      </c>
      <c r="C309" s="3236">
        <v>1</v>
      </c>
      <c r="D309" s="3237">
        <v>927</v>
      </c>
      <c r="E309" s="3239">
        <v>1</v>
      </c>
      <c r="F309" s="3239">
        <v>1</v>
      </c>
      <c r="G309" s="3239">
        <v>1</v>
      </c>
      <c r="H309" s="3237" t="s">
        <v>3295</v>
      </c>
      <c r="I309" s="3237">
        <v>50</v>
      </c>
      <c r="J309" s="3240"/>
      <c r="K309" s="3236">
        <v>40.32</v>
      </c>
      <c r="L309" s="3239"/>
      <c r="M309" s="3239"/>
      <c r="N309" s="3506"/>
      <c r="O309" s="3506"/>
      <c r="P309" s="3506"/>
      <c r="Q309" s="3239"/>
      <c r="R309" s="3239"/>
    </row>
    <row r="310" spans="1:18">
      <c r="A310" s="3236">
        <v>307</v>
      </c>
      <c r="B310" s="3236">
        <v>1</v>
      </c>
      <c r="C310" s="3236">
        <v>1</v>
      </c>
      <c r="D310" s="3237">
        <v>928</v>
      </c>
      <c r="E310" s="3239">
        <v>1</v>
      </c>
      <c r="F310" s="3239">
        <v>1</v>
      </c>
      <c r="G310" s="3239">
        <v>1</v>
      </c>
      <c r="H310" s="3237" t="s">
        <v>3295</v>
      </c>
      <c r="I310" s="3237">
        <v>50</v>
      </c>
      <c r="J310" s="3240"/>
      <c r="K310" s="3236">
        <v>40.32</v>
      </c>
      <c r="L310" s="3239"/>
      <c r="M310" s="3239"/>
      <c r="N310" s="3506"/>
      <c r="O310" s="3506"/>
      <c r="P310" s="3506"/>
      <c r="Q310" s="3239"/>
      <c r="R310" s="3239"/>
    </row>
    <row r="311" spans="1:18">
      <c r="A311" s="3236">
        <v>308</v>
      </c>
      <c r="B311" s="3236">
        <v>1</v>
      </c>
      <c r="C311" s="3236">
        <v>1</v>
      </c>
      <c r="D311" s="3237">
        <v>929</v>
      </c>
      <c r="E311" s="3239">
        <v>1</v>
      </c>
      <c r="F311" s="3239">
        <v>1</v>
      </c>
      <c r="G311" s="3239">
        <v>1</v>
      </c>
      <c r="H311" s="3237" t="s">
        <v>3295</v>
      </c>
      <c r="I311" s="3237">
        <v>50</v>
      </c>
      <c r="J311" s="3240"/>
      <c r="K311" s="3236">
        <v>40.32</v>
      </c>
      <c r="L311" s="3239"/>
      <c r="M311" s="3239"/>
      <c r="N311" s="3506"/>
      <c r="O311" s="3506"/>
      <c r="P311" s="3506"/>
      <c r="Q311" s="3239"/>
      <c r="R311" s="3239"/>
    </row>
    <row r="312" spans="1:18">
      <c r="A312" s="3236">
        <v>309</v>
      </c>
      <c r="B312" s="3236">
        <v>1</v>
      </c>
      <c r="C312" s="3236">
        <v>1</v>
      </c>
      <c r="D312" s="3237">
        <v>930</v>
      </c>
      <c r="E312" s="3239">
        <v>1</v>
      </c>
      <c r="F312" s="3239">
        <v>1</v>
      </c>
      <c r="G312" s="3239">
        <v>1</v>
      </c>
      <c r="H312" s="3237" t="s">
        <v>3295</v>
      </c>
      <c r="I312" s="3237">
        <v>50</v>
      </c>
      <c r="J312" s="3240"/>
      <c r="K312" s="3236">
        <v>40.32</v>
      </c>
      <c r="L312" s="3239"/>
      <c r="M312" s="3239"/>
      <c r="N312" s="3506"/>
      <c r="O312" s="3506"/>
      <c r="P312" s="3506"/>
      <c r="Q312" s="3239"/>
      <c r="R312" s="3239"/>
    </row>
    <row r="313" spans="1:18">
      <c r="A313" s="3236">
        <v>310</v>
      </c>
      <c r="B313" s="3236">
        <v>1</v>
      </c>
      <c r="C313" s="3236">
        <v>1</v>
      </c>
      <c r="D313" s="3237">
        <v>931</v>
      </c>
      <c r="E313" s="3239">
        <v>1</v>
      </c>
      <c r="F313" s="3239">
        <v>1</v>
      </c>
      <c r="G313" s="3239">
        <v>1</v>
      </c>
      <c r="H313" s="3237" t="s">
        <v>3295</v>
      </c>
      <c r="I313" s="3237">
        <v>50</v>
      </c>
      <c r="J313" s="3240"/>
      <c r="K313" s="3236">
        <v>40.32</v>
      </c>
      <c r="L313" s="3239"/>
      <c r="M313" s="3239"/>
      <c r="N313" s="3506"/>
      <c r="O313" s="3506"/>
      <c r="P313" s="3506"/>
      <c r="Q313" s="3239"/>
      <c r="R313" s="3239"/>
    </row>
    <row r="314" spans="1:18">
      <c r="A314" s="3236">
        <v>311</v>
      </c>
      <c r="B314" s="3236">
        <v>1</v>
      </c>
      <c r="C314" s="3236">
        <v>1</v>
      </c>
      <c r="D314" s="3237">
        <v>932</v>
      </c>
      <c r="E314" s="3239">
        <v>1</v>
      </c>
      <c r="F314" s="3239">
        <v>1</v>
      </c>
      <c r="G314" s="3239">
        <v>1</v>
      </c>
      <c r="H314" s="3237" t="s">
        <v>3295</v>
      </c>
      <c r="I314" s="3237">
        <v>50</v>
      </c>
      <c r="J314" s="3240"/>
      <c r="K314" s="3236">
        <v>40.32</v>
      </c>
      <c r="L314" s="3239"/>
      <c r="M314" s="3239"/>
      <c r="N314" s="3506"/>
      <c r="O314" s="3506"/>
      <c r="P314" s="3506"/>
      <c r="Q314" s="3239"/>
      <c r="R314" s="3239"/>
    </row>
    <row r="315" spans="1:18">
      <c r="A315" s="3236">
        <v>312</v>
      </c>
      <c r="B315" s="3236">
        <v>1</v>
      </c>
      <c r="C315" s="3236">
        <v>1</v>
      </c>
      <c r="D315" s="3237">
        <v>933</v>
      </c>
      <c r="E315" s="3239">
        <v>1</v>
      </c>
      <c r="F315" s="3239">
        <v>1</v>
      </c>
      <c r="G315" s="3239">
        <v>1</v>
      </c>
      <c r="H315" s="3237" t="s">
        <v>3295</v>
      </c>
      <c r="I315" s="3237">
        <v>50</v>
      </c>
      <c r="J315" s="3240"/>
      <c r="K315" s="3236">
        <v>40.32</v>
      </c>
      <c r="L315" s="3239"/>
      <c r="M315" s="3239"/>
      <c r="N315" s="3506"/>
      <c r="O315" s="3506"/>
      <c r="P315" s="3506"/>
      <c r="Q315" s="3239"/>
      <c r="R315" s="3239"/>
    </row>
    <row r="316" spans="1:18">
      <c r="A316" s="3236">
        <v>313</v>
      </c>
      <c r="B316" s="3236">
        <v>1</v>
      </c>
      <c r="C316" s="3236">
        <v>1</v>
      </c>
      <c r="D316" s="3237">
        <v>934</v>
      </c>
      <c r="E316" s="3239">
        <v>1</v>
      </c>
      <c r="F316" s="3239">
        <v>1</v>
      </c>
      <c r="G316" s="3239">
        <v>1</v>
      </c>
      <c r="H316" s="3237" t="s">
        <v>3295</v>
      </c>
      <c r="I316" s="3237">
        <v>50</v>
      </c>
      <c r="J316" s="3240"/>
      <c r="K316" s="3236">
        <v>40.32</v>
      </c>
      <c r="L316" s="3239"/>
      <c r="M316" s="3239"/>
      <c r="N316" s="3506"/>
      <c r="O316" s="3506"/>
      <c r="P316" s="3506"/>
      <c r="Q316" s="3239"/>
      <c r="R316" s="3239"/>
    </row>
    <row r="317" spans="1:18">
      <c r="A317" s="3236">
        <v>314</v>
      </c>
      <c r="B317" s="3236">
        <v>1</v>
      </c>
      <c r="C317" s="3236">
        <v>1</v>
      </c>
      <c r="D317" s="3237">
        <v>935</v>
      </c>
      <c r="E317" s="3239">
        <v>1</v>
      </c>
      <c r="F317" s="3239">
        <v>1</v>
      </c>
      <c r="G317" s="3239">
        <v>1</v>
      </c>
      <c r="H317" s="3237" t="s">
        <v>3295</v>
      </c>
      <c r="I317" s="3237">
        <v>50</v>
      </c>
      <c r="J317" s="3240"/>
      <c r="K317" s="3236">
        <v>40.32</v>
      </c>
      <c r="L317" s="3239"/>
      <c r="M317" s="3239"/>
      <c r="N317" s="3506"/>
      <c r="O317" s="3506"/>
      <c r="P317" s="3506"/>
      <c r="Q317" s="3239"/>
      <c r="R317" s="3239"/>
    </row>
    <row r="318" spans="1:18">
      <c r="A318" s="3236">
        <v>315</v>
      </c>
      <c r="B318" s="3236">
        <v>1</v>
      </c>
      <c r="C318" s="3236">
        <v>1</v>
      </c>
      <c r="D318" s="3237">
        <v>936</v>
      </c>
      <c r="E318" s="3239">
        <v>1</v>
      </c>
      <c r="F318" s="3239">
        <v>1</v>
      </c>
      <c r="G318" s="3239">
        <v>1</v>
      </c>
      <c r="H318" s="3237" t="s">
        <v>3295</v>
      </c>
      <c r="I318" s="3237">
        <v>50</v>
      </c>
      <c r="J318" s="3240"/>
      <c r="K318" s="3236">
        <v>40.32</v>
      </c>
      <c r="L318" s="3239"/>
      <c r="M318" s="3239"/>
      <c r="N318" s="3506"/>
      <c r="O318" s="3506"/>
      <c r="P318" s="3506"/>
      <c r="Q318" s="3239"/>
      <c r="R318" s="3239"/>
    </row>
    <row r="319" spans="1:18">
      <c r="A319" s="3236">
        <v>316</v>
      </c>
      <c r="B319" s="3236">
        <v>1</v>
      </c>
      <c r="C319" s="3236">
        <v>1</v>
      </c>
      <c r="D319" s="3237">
        <v>937</v>
      </c>
      <c r="E319" s="3239">
        <v>1</v>
      </c>
      <c r="F319" s="3239">
        <v>0</v>
      </c>
      <c r="G319" s="3239">
        <v>1</v>
      </c>
      <c r="H319" s="3237" t="s">
        <v>3295</v>
      </c>
      <c r="I319" s="3257" t="s">
        <v>3322</v>
      </c>
      <c r="J319" s="3240"/>
      <c r="K319" s="3236">
        <v>34.5</v>
      </c>
      <c r="L319" s="3239"/>
      <c r="M319" s="3239"/>
      <c r="N319" s="3506"/>
      <c r="O319" s="3506"/>
      <c r="P319" s="3506"/>
      <c r="Q319" s="3239"/>
      <c r="R319" s="3239"/>
    </row>
    <row r="320" spans="1:18">
      <c r="A320" s="3236">
        <v>317</v>
      </c>
      <c r="B320" s="3236">
        <v>1</v>
      </c>
      <c r="C320" s="3236">
        <v>1</v>
      </c>
      <c r="D320" s="3237">
        <v>938</v>
      </c>
      <c r="E320" s="3239">
        <v>1</v>
      </c>
      <c r="F320" s="3239">
        <v>0</v>
      </c>
      <c r="G320" s="3239">
        <v>1</v>
      </c>
      <c r="H320" s="3237" t="s">
        <v>3295</v>
      </c>
      <c r="I320" s="3237">
        <v>40</v>
      </c>
      <c r="J320" s="3240"/>
      <c r="K320" s="3236">
        <v>35.26</v>
      </c>
      <c r="L320" s="3239"/>
      <c r="M320" s="3239"/>
      <c r="N320" s="3506"/>
      <c r="O320" s="3506"/>
      <c r="P320" s="3506"/>
      <c r="Q320" s="3239"/>
      <c r="R320" s="3239"/>
    </row>
    <row r="321" spans="1:18" ht="14.25" thickBot="1">
      <c r="A321" s="3236">
        <v>318</v>
      </c>
      <c r="B321" s="3236">
        <v>1</v>
      </c>
      <c r="C321" s="3236">
        <v>1</v>
      </c>
      <c r="D321" s="3244">
        <v>939</v>
      </c>
      <c r="E321" s="3246">
        <v>1</v>
      </c>
      <c r="F321" s="3246">
        <v>0</v>
      </c>
      <c r="G321" s="3246">
        <v>1</v>
      </c>
      <c r="H321" s="3244" t="s">
        <v>3300</v>
      </c>
      <c r="I321" s="3244" t="s">
        <v>3323</v>
      </c>
      <c r="J321" s="3259"/>
      <c r="K321" s="3260">
        <v>32.42</v>
      </c>
      <c r="L321" s="3246"/>
      <c r="M321" s="3246"/>
      <c r="N321" s="3507"/>
      <c r="O321" s="3507"/>
      <c r="P321" s="3507"/>
      <c r="Q321" s="3246"/>
      <c r="R321" s="3246"/>
    </row>
    <row r="322" spans="1:18" ht="14.25" thickTop="1">
      <c r="A322" s="3236">
        <v>319</v>
      </c>
      <c r="B322" s="3236">
        <v>1</v>
      </c>
      <c r="C322" s="3236">
        <v>1</v>
      </c>
      <c r="D322" s="3251">
        <v>1001</v>
      </c>
      <c r="E322" s="3252">
        <v>1</v>
      </c>
      <c r="F322" s="3252">
        <v>1</v>
      </c>
      <c r="G322" s="3252">
        <v>1</v>
      </c>
      <c r="H322" s="3251" t="s">
        <v>3302</v>
      </c>
      <c r="I322" s="3251" t="s">
        <v>3303</v>
      </c>
      <c r="J322" s="3253"/>
      <c r="K322" s="3254">
        <v>40.520000000000003</v>
      </c>
      <c r="L322" s="3252"/>
      <c r="M322" s="3252"/>
      <c r="N322" s="3509">
        <v>2.9</v>
      </c>
      <c r="O322" s="3509" t="s">
        <v>3297</v>
      </c>
      <c r="P322" s="3509" t="s">
        <v>3298</v>
      </c>
      <c r="Q322" s="3252"/>
      <c r="R322" s="3252"/>
    </row>
    <row r="323" spans="1:18">
      <c r="A323" s="3236">
        <v>320</v>
      </c>
      <c r="B323" s="3236">
        <v>1</v>
      </c>
      <c r="C323" s="3236">
        <v>1</v>
      </c>
      <c r="D323" s="3237">
        <v>1002</v>
      </c>
      <c r="E323" s="3239">
        <v>1</v>
      </c>
      <c r="F323" s="3239">
        <v>0</v>
      </c>
      <c r="G323" s="3239">
        <v>1</v>
      </c>
      <c r="H323" s="3257" t="s">
        <v>3304</v>
      </c>
      <c r="I323" s="3237" t="s">
        <v>3305</v>
      </c>
      <c r="J323" s="3240"/>
      <c r="K323" s="3236">
        <v>31.54</v>
      </c>
      <c r="L323" s="3239"/>
      <c r="M323" s="3239"/>
      <c r="N323" s="3510"/>
      <c r="O323" s="3506"/>
      <c r="P323" s="3506"/>
      <c r="Q323" s="3239"/>
      <c r="R323" s="3239"/>
    </row>
    <row r="324" spans="1:18">
      <c r="A324" s="3236">
        <v>321</v>
      </c>
      <c r="B324" s="3236">
        <v>1</v>
      </c>
      <c r="C324" s="3236">
        <v>1</v>
      </c>
      <c r="D324" s="3237">
        <v>1003</v>
      </c>
      <c r="E324" s="3239">
        <v>1</v>
      </c>
      <c r="F324" s="3239">
        <v>0</v>
      </c>
      <c r="G324" s="3239">
        <v>1</v>
      </c>
      <c r="H324" s="3257" t="s">
        <v>3304</v>
      </c>
      <c r="I324" s="3237" t="s">
        <v>3305</v>
      </c>
      <c r="J324" s="3240"/>
      <c r="K324" s="3236">
        <v>31.54</v>
      </c>
      <c r="L324" s="3239"/>
      <c r="M324" s="3239"/>
      <c r="N324" s="3510"/>
      <c r="O324" s="3506"/>
      <c r="P324" s="3506"/>
      <c r="Q324" s="3239"/>
      <c r="R324" s="3239"/>
    </row>
    <row r="325" spans="1:18">
      <c r="A325" s="3236">
        <v>322</v>
      </c>
      <c r="B325" s="3236">
        <v>1</v>
      </c>
      <c r="C325" s="3236">
        <v>1</v>
      </c>
      <c r="D325" s="3237">
        <v>1004</v>
      </c>
      <c r="E325" s="3239">
        <v>1</v>
      </c>
      <c r="F325" s="3239">
        <v>0</v>
      </c>
      <c r="G325" s="3239">
        <v>1</v>
      </c>
      <c r="H325" s="3257" t="s">
        <v>3304</v>
      </c>
      <c r="I325" s="3237" t="s">
        <v>3306</v>
      </c>
      <c r="J325" s="3240"/>
      <c r="K325" s="3236">
        <v>32.26</v>
      </c>
      <c r="L325" s="3239"/>
      <c r="M325" s="3239"/>
      <c r="N325" s="3510"/>
      <c r="O325" s="3506"/>
      <c r="P325" s="3506"/>
      <c r="Q325" s="3239"/>
      <c r="R325" s="3239"/>
    </row>
    <row r="326" spans="1:18">
      <c r="A326" s="3236">
        <v>323</v>
      </c>
      <c r="B326" s="3236">
        <v>1</v>
      </c>
      <c r="C326" s="3236">
        <v>1</v>
      </c>
      <c r="D326" s="3237">
        <v>1005</v>
      </c>
      <c r="E326" s="3239">
        <v>1</v>
      </c>
      <c r="F326" s="3239">
        <v>0</v>
      </c>
      <c r="G326" s="3239">
        <v>1</v>
      </c>
      <c r="H326" s="3257" t="s">
        <v>3304</v>
      </c>
      <c r="I326" s="3237" t="s">
        <v>3306</v>
      </c>
      <c r="J326" s="3240"/>
      <c r="K326" s="3236">
        <v>32.26</v>
      </c>
      <c r="L326" s="3239"/>
      <c r="M326" s="3239"/>
      <c r="N326" s="3510"/>
      <c r="O326" s="3506"/>
      <c r="P326" s="3506"/>
      <c r="Q326" s="3239"/>
      <c r="R326" s="3239"/>
    </row>
    <row r="327" spans="1:18">
      <c r="A327" s="3236">
        <v>324</v>
      </c>
      <c r="B327" s="3236">
        <v>1</v>
      </c>
      <c r="C327" s="3236">
        <v>1</v>
      </c>
      <c r="D327" s="3237">
        <v>1006</v>
      </c>
      <c r="E327" s="3239">
        <v>1</v>
      </c>
      <c r="F327" s="3239">
        <v>0</v>
      </c>
      <c r="G327" s="3239">
        <v>1</v>
      </c>
      <c r="H327" s="3257" t="s">
        <v>3304</v>
      </c>
      <c r="I327" s="3237" t="s">
        <v>3305</v>
      </c>
      <c r="J327" s="3240"/>
      <c r="K327" s="3236">
        <v>31.54</v>
      </c>
      <c r="L327" s="3239"/>
      <c r="M327" s="3239"/>
      <c r="N327" s="3510"/>
      <c r="O327" s="3506"/>
      <c r="P327" s="3506"/>
      <c r="Q327" s="3239"/>
      <c r="R327" s="3239"/>
    </row>
    <row r="328" spans="1:18">
      <c r="A328" s="3236">
        <v>325</v>
      </c>
      <c r="B328" s="3236">
        <v>1</v>
      </c>
      <c r="C328" s="3236">
        <v>1</v>
      </c>
      <c r="D328" s="3237">
        <v>1007</v>
      </c>
      <c r="E328" s="3239">
        <v>1</v>
      </c>
      <c r="F328" s="3239">
        <v>0</v>
      </c>
      <c r="G328" s="3239">
        <v>1</v>
      </c>
      <c r="H328" s="3257" t="s">
        <v>3304</v>
      </c>
      <c r="I328" s="3237" t="s">
        <v>3305</v>
      </c>
      <c r="J328" s="3240"/>
      <c r="K328" s="3236">
        <v>31.54</v>
      </c>
      <c r="L328" s="3239"/>
      <c r="M328" s="3239"/>
      <c r="N328" s="3510"/>
      <c r="O328" s="3506"/>
      <c r="P328" s="3506"/>
      <c r="Q328" s="3239"/>
      <c r="R328" s="3239"/>
    </row>
    <row r="329" spans="1:18">
      <c r="A329" s="3236">
        <v>326</v>
      </c>
      <c r="B329" s="3236">
        <v>1</v>
      </c>
      <c r="C329" s="3236">
        <v>1</v>
      </c>
      <c r="D329" s="3237">
        <v>1008</v>
      </c>
      <c r="E329" s="3239">
        <v>1</v>
      </c>
      <c r="F329" s="3239">
        <v>0</v>
      </c>
      <c r="G329" s="3239">
        <v>1</v>
      </c>
      <c r="H329" s="3257" t="s">
        <v>3304</v>
      </c>
      <c r="I329" s="3237" t="s">
        <v>3305</v>
      </c>
      <c r="J329" s="3240"/>
      <c r="K329" s="3236">
        <v>31.54</v>
      </c>
      <c r="L329" s="3239"/>
      <c r="M329" s="3239"/>
      <c r="N329" s="3510"/>
      <c r="O329" s="3506"/>
      <c r="P329" s="3506"/>
      <c r="Q329" s="3239"/>
      <c r="R329" s="3239"/>
    </row>
    <row r="330" spans="1:18">
      <c r="A330" s="3236">
        <v>327</v>
      </c>
      <c r="B330" s="3236">
        <v>1</v>
      </c>
      <c r="C330" s="3236">
        <v>1</v>
      </c>
      <c r="D330" s="3237">
        <v>1009</v>
      </c>
      <c r="E330" s="3239">
        <v>1</v>
      </c>
      <c r="F330" s="3239">
        <v>0</v>
      </c>
      <c r="G330" s="3239">
        <v>1</v>
      </c>
      <c r="H330" s="3257" t="s">
        <v>3304</v>
      </c>
      <c r="I330" s="3237" t="s">
        <v>3305</v>
      </c>
      <c r="J330" s="3240"/>
      <c r="K330" s="3236">
        <v>31.54</v>
      </c>
      <c r="L330" s="3239"/>
      <c r="M330" s="3239"/>
      <c r="N330" s="3510"/>
      <c r="O330" s="3506"/>
      <c r="P330" s="3506"/>
      <c r="Q330" s="3239"/>
      <c r="R330" s="3239"/>
    </row>
    <row r="331" spans="1:18">
      <c r="A331" s="3236">
        <v>328</v>
      </c>
      <c r="B331" s="3236">
        <v>1</v>
      </c>
      <c r="C331" s="3236">
        <v>1</v>
      </c>
      <c r="D331" s="3237">
        <v>1010</v>
      </c>
      <c r="E331" s="3239">
        <v>1</v>
      </c>
      <c r="F331" s="3239">
        <v>0</v>
      </c>
      <c r="G331" s="3239">
        <v>1</v>
      </c>
      <c r="H331" s="3257" t="s">
        <v>3304</v>
      </c>
      <c r="I331" s="3237" t="s">
        <v>3305</v>
      </c>
      <c r="J331" s="3240"/>
      <c r="K331" s="3236">
        <v>31.54</v>
      </c>
      <c r="L331" s="3239"/>
      <c r="M331" s="3239"/>
      <c r="N331" s="3510"/>
      <c r="O331" s="3506"/>
      <c r="P331" s="3506"/>
      <c r="Q331" s="3239"/>
      <c r="R331" s="3239"/>
    </row>
    <row r="332" spans="1:18">
      <c r="A332" s="3236">
        <v>329</v>
      </c>
      <c r="B332" s="3236">
        <v>1</v>
      </c>
      <c r="C332" s="3236">
        <v>1</v>
      </c>
      <c r="D332" s="3237">
        <v>1011</v>
      </c>
      <c r="E332" s="3239">
        <v>1</v>
      </c>
      <c r="F332" s="3239">
        <v>0</v>
      </c>
      <c r="G332" s="3239">
        <v>1</v>
      </c>
      <c r="H332" s="3257" t="s">
        <v>3304</v>
      </c>
      <c r="I332" s="3237" t="s">
        <v>3307</v>
      </c>
      <c r="J332" s="3240"/>
      <c r="K332" s="3236">
        <v>31.98</v>
      </c>
      <c r="L332" s="3239"/>
      <c r="M332" s="3239"/>
      <c r="N332" s="3510"/>
      <c r="O332" s="3506"/>
      <c r="P332" s="3506"/>
      <c r="Q332" s="3239"/>
      <c r="R332" s="3239"/>
    </row>
    <row r="333" spans="1:18">
      <c r="A333" s="3236">
        <v>330</v>
      </c>
      <c r="B333" s="3236">
        <v>1</v>
      </c>
      <c r="C333" s="3236">
        <v>1</v>
      </c>
      <c r="D333" s="3237">
        <v>1012</v>
      </c>
      <c r="E333" s="3239">
        <v>1</v>
      </c>
      <c r="F333" s="3239">
        <v>1</v>
      </c>
      <c r="G333" s="3239">
        <v>1</v>
      </c>
      <c r="H333" s="3257" t="s">
        <v>3304</v>
      </c>
      <c r="I333" s="3237" t="s">
        <v>3308</v>
      </c>
      <c r="J333" s="3240"/>
      <c r="K333" s="3236">
        <v>39.869999999999997</v>
      </c>
      <c r="L333" s="3239"/>
      <c r="M333" s="3239"/>
      <c r="N333" s="3510"/>
      <c r="O333" s="3506"/>
      <c r="P333" s="3506"/>
      <c r="Q333" s="3239"/>
      <c r="R333" s="3239"/>
    </row>
    <row r="334" spans="1:18">
      <c r="A334" s="3236">
        <v>331</v>
      </c>
      <c r="B334" s="3236">
        <v>1</v>
      </c>
      <c r="C334" s="3236">
        <v>1</v>
      </c>
      <c r="D334" s="3237">
        <v>1013</v>
      </c>
      <c r="E334" s="3239">
        <v>1</v>
      </c>
      <c r="F334" s="3239">
        <v>1</v>
      </c>
      <c r="G334" s="3239">
        <v>1</v>
      </c>
      <c r="H334" s="3257" t="s">
        <v>3304</v>
      </c>
      <c r="I334" s="3257" t="s">
        <v>3309</v>
      </c>
      <c r="J334" s="3240"/>
      <c r="K334" s="3258">
        <v>39.96</v>
      </c>
      <c r="L334" s="3239"/>
      <c r="M334" s="3239"/>
      <c r="N334" s="3510"/>
      <c r="O334" s="3506"/>
      <c r="P334" s="3506"/>
      <c r="Q334" s="3239"/>
      <c r="R334" s="3239"/>
    </row>
    <row r="335" spans="1:18">
      <c r="A335" s="3236">
        <v>332</v>
      </c>
      <c r="B335" s="3236">
        <v>1</v>
      </c>
      <c r="C335" s="3236">
        <v>1</v>
      </c>
      <c r="D335" s="3237">
        <v>1014</v>
      </c>
      <c r="E335" s="3239">
        <v>1</v>
      </c>
      <c r="F335" s="3239">
        <v>1</v>
      </c>
      <c r="G335" s="3239">
        <v>1</v>
      </c>
      <c r="H335" s="3237" t="s">
        <v>3310</v>
      </c>
      <c r="I335" s="3237" t="s">
        <v>3311</v>
      </c>
      <c r="J335" s="3240"/>
      <c r="K335" s="3258">
        <v>38.54</v>
      </c>
      <c r="L335" s="3239"/>
      <c r="M335" s="3239"/>
      <c r="N335" s="3510"/>
      <c r="O335" s="3506"/>
      <c r="P335" s="3506"/>
      <c r="Q335" s="3239"/>
      <c r="R335" s="3239"/>
    </row>
    <row r="336" spans="1:18">
      <c r="A336" s="3236">
        <v>333</v>
      </c>
      <c r="B336" s="3236">
        <v>1</v>
      </c>
      <c r="C336" s="3236">
        <v>1</v>
      </c>
      <c r="D336" s="3237">
        <v>1015</v>
      </c>
      <c r="E336" s="3239">
        <v>2</v>
      </c>
      <c r="F336" s="3239">
        <v>1</v>
      </c>
      <c r="G336" s="3239">
        <v>1</v>
      </c>
      <c r="H336" s="3257" t="s">
        <v>3312</v>
      </c>
      <c r="I336" s="3237" t="s">
        <v>3313</v>
      </c>
      <c r="J336" s="3240"/>
      <c r="K336" s="3258">
        <v>67.27</v>
      </c>
      <c r="L336" s="3239"/>
      <c r="M336" s="3239"/>
      <c r="N336" s="3510"/>
      <c r="O336" s="3506"/>
      <c r="P336" s="3506"/>
      <c r="Q336" s="3239"/>
      <c r="R336" s="3239"/>
    </row>
    <row r="337" spans="1:18">
      <c r="A337" s="3236">
        <v>334</v>
      </c>
      <c r="B337" s="3236">
        <v>1</v>
      </c>
      <c r="C337" s="3236">
        <v>1</v>
      </c>
      <c r="D337" s="3237">
        <v>1016</v>
      </c>
      <c r="E337" s="3239">
        <v>1</v>
      </c>
      <c r="F337" s="3239">
        <v>1</v>
      </c>
      <c r="G337" s="3239">
        <v>1</v>
      </c>
      <c r="H337" s="3257" t="s">
        <v>3312</v>
      </c>
      <c r="I337" s="3237" t="s">
        <v>3314</v>
      </c>
      <c r="J337" s="3240"/>
      <c r="K337" s="3236">
        <v>39.97</v>
      </c>
      <c r="L337" s="3239"/>
      <c r="M337" s="3239"/>
      <c r="N337" s="3510"/>
      <c r="O337" s="3506"/>
      <c r="P337" s="3506"/>
      <c r="Q337" s="3239"/>
      <c r="R337" s="3239"/>
    </row>
    <row r="338" spans="1:18">
      <c r="A338" s="3236">
        <v>335</v>
      </c>
      <c r="B338" s="3236">
        <v>1</v>
      </c>
      <c r="C338" s="3236">
        <v>1</v>
      </c>
      <c r="D338" s="3237">
        <v>1017</v>
      </c>
      <c r="E338" s="3239">
        <v>1</v>
      </c>
      <c r="F338" s="3239">
        <v>1</v>
      </c>
      <c r="G338" s="3239">
        <v>1</v>
      </c>
      <c r="H338" s="3257" t="s">
        <v>3312</v>
      </c>
      <c r="I338" s="3237">
        <v>50</v>
      </c>
      <c r="J338" s="3240"/>
      <c r="K338" s="3236">
        <v>40.32</v>
      </c>
      <c r="L338" s="3239"/>
      <c r="M338" s="3239"/>
      <c r="N338" s="3510"/>
      <c r="O338" s="3506"/>
      <c r="P338" s="3506"/>
      <c r="Q338" s="3239"/>
      <c r="R338" s="3239"/>
    </row>
    <row r="339" spans="1:18">
      <c r="A339" s="3236">
        <v>336</v>
      </c>
      <c r="B339" s="3236">
        <v>1</v>
      </c>
      <c r="C339" s="3236">
        <v>1</v>
      </c>
      <c r="D339" s="3237">
        <v>1018</v>
      </c>
      <c r="E339" s="3239">
        <v>1</v>
      </c>
      <c r="F339" s="3239">
        <v>1</v>
      </c>
      <c r="G339" s="3239">
        <v>1</v>
      </c>
      <c r="H339" s="3257" t="s">
        <v>3312</v>
      </c>
      <c r="I339" s="3237">
        <v>50</v>
      </c>
      <c r="J339" s="3240"/>
      <c r="K339" s="3236">
        <v>40.32</v>
      </c>
      <c r="L339" s="3239"/>
      <c r="M339" s="3239"/>
      <c r="N339" s="3510"/>
      <c r="O339" s="3506"/>
      <c r="P339" s="3506"/>
      <c r="Q339" s="3239"/>
      <c r="R339" s="3239"/>
    </row>
    <row r="340" spans="1:18">
      <c r="A340" s="3236">
        <v>337</v>
      </c>
      <c r="B340" s="3236">
        <v>1</v>
      </c>
      <c r="C340" s="3236">
        <v>1</v>
      </c>
      <c r="D340" s="3237">
        <v>1019</v>
      </c>
      <c r="E340" s="3239">
        <v>1</v>
      </c>
      <c r="F340" s="3239">
        <v>1</v>
      </c>
      <c r="G340" s="3239">
        <v>1</v>
      </c>
      <c r="H340" s="3257" t="s">
        <v>3312</v>
      </c>
      <c r="I340" s="3237" t="s">
        <v>3308</v>
      </c>
      <c r="J340" s="3240"/>
      <c r="K340" s="3236">
        <v>39.869999999999997</v>
      </c>
      <c r="L340" s="3239"/>
      <c r="M340" s="3239"/>
      <c r="N340" s="3510"/>
      <c r="O340" s="3506"/>
      <c r="P340" s="3506"/>
      <c r="Q340" s="3239"/>
      <c r="R340" s="3239"/>
    </row>
    <row r="341" spans="1:18">
      <c r="A341" s="3236">
        <v>338</v>
      </c>
      <c r="B341" s="3236">
        <v>1</v>
      </c>
      <c r="C341" s="3236">
        <v>1</v>
      </c>
      <c r="D341" s="3237">
        <v>1020</v>
      </c>
      <c r="E341" s="3239">
        <v>1</v>
      </c>
      <c r="F341" s="3239">
        <v>1</v>
      </c>
      <c r="G341" s="3239">
        <v>1</v>
      </c>
      <c r="H341" s="3257" t="s">
        <v>3312</v>
      </c>
      <c r="I341" s="3257" t="s">
        <v>3315</v>
      </c>
      <c r="J341" s="3240"/>
      <c r="K341" s="3258">
        <v>41.22</v>
      </c>
      <c r="L341" s="3239"/>
      <c r="M341" s="3239"/>
      <c r="N341" s="3510"/>
      <c r="O341" s="3506"/>
      <c r="P341" s="3506"/>
      <c r="Q341" s="3239"/>
      <c r="R341" s="3239"/>
    </row>
    <row r="342" spans="1:18">
      <c r="A342" s="3236">
        <v>339</v>
      </c>
      <c r="B342" s="3236">
        <v>1</v>
      </c>
      <c r="C342" s="3236">
        <v>1</v>
      </c>
      <c r="D342" s="3237">
        <v>1021</v>
      </c>
      <c r="E342" s="3239">
        <v>4</v>
      </c>
      <c r="F342" s="3239">
        <v>1</v>
      </c>
      <c r="G342" s="3239">
        <v>1</v>
      </c>
      <c r="H342" s="3237" t="s">
        <v>3316</v>
      </c>
      <c r="I342" s="3237" t="s">
        <v>3317</v>
      </c>
      <c r="J342" s="3240"/>
      <c r="K342" s="3258">
        <v>75.8</v>
      </c>
      <c r="L342" s="3239"/>
      <c r="M342" s="3239"/>
      <c r="N342" s="3510"/>
      <c r="O342" s="3506"/>
      <c r="P342" s="3506"/>
      <c r="Q342" s="3239"/>
      <c r="R342" s="3239"/>
    </row>
    <row r="343" spans="1:18">
      <c r="A343" s="3236">
        <v>340</v>
      </c>
      <c r="B343" s="3236">
        <v>1</v>
      </c>
      <c r="C343" s="3236">
        <v>1</v>
      </c>
      <c r="D343" s="3237">
        <v>1022</v>
      </c>
      <c r="E343" s="3239">
        <v>4</v>
      </c>
      <c r="F343" s="3239">
        <v>1</v>
      </c>
      <c r="G343" s="3239">
        <v>1</v>
      </c>
      <c r="H343" s="3237" t="s">
        <v>3318</v>
      </c>
      <c r="I343" s="3237" t="s">
        <v>3319</v>
      </c>
      <c r="J343" s="3240"/>
      <c r="K343" s="3258">
        <v>75.8</v>
      </c>
      <c r="L343" s="3239"/>
      <c r="M343" s="3239"/>
      <c r="N343" s="3510"/>
      <c r="O343" s="3506"/>
      <c r="P343" s="3506"/>
      <c r="Q343" s="3239"/>
      <c r="R343" s="3239"/>
    </row>
    <row r="344" spans="1:18">
      <c r="A344" s="3236">
        <v>341</v>
      </c>
      <c r="B344" s="3236">
        <v>1</v>
      </c>
      <c r="C344" s="3236">
        <v>1</v>
      </c>
      <c r="D344" s="3237">
        <v>1023</v>
      </c>
      <c r="E344" s="3239">
        <v>1</v>
      </c>
      <c r="F344" s="3239">
        <v>1</v>
      </c>
      <c r="G344" s="3239">
        <v>1</v>
      </c>
      <c r="H344" s="3237" t="s">
        <v>3300</v>
      </c>
      <c r="I344" s="3237" t="s">
        <v>3308</v>
      </c>
      <c r="J344" s="3240"/>
      <c r="K344" s="3236">
        <v>39.869999999999997</v>
      </c>
      <c r="L344" s="3239"/>
      <c r="M344" s="3239"/>
      <c r="N344" s="3510"/>
      <c r="O344" s="3506"/>
      <c r="P344" s="3506"/>
      <c r="Q344" s="3239"/>
      <c r="R344" s="3239"/>
    </row>
    <row r="345" spans="1:18">
      <c r="A345" s="3236">
        <v>342</v>
      </c>
      <c r="B345" s="3236">
        <v>1</v>
      </c>
      <c r="C345" s="3236">
        <v>1</v>
      </c>
      <c r="D345" s="3237">
        <v>1024</v>
      </c>
      <c r="E345" s="3239">
        <v>1</v>
      </c>
      <c r="F345" s="3239">
        <v>1</v>
      </c>
      <c r="G345" s="3239">
        <v>1</v>
      </c>
      <c r="H345" s="3237" t="s">
        <v>3300</v>
      </c>
      <c r="I345" s="3237">
        <v>50</v>
      </c>
      <c r="J345" s="3240"/>
      <c r="K345" s="3236">
        <v>40.32</v>
      </c>
      <c r="L345" s="3239"/>
      <c r="M345" s="3239"/>
      <c r="N345" s="3510"/>
      <c r="O345" s="3506"/>
      <c r="P345" s="3506"/>
      <c r="Q345" s="3239"/>
      <c r="R345" s="3239"/>
    </row>
    <row r="346" spans="1:18">
      <c r="A346" s="3236">
        <v>343</v>
      </c>
      <c r="B346" s="3236">
        <v>1</v>
      </c>
      <c r="C346" s="3236">
        <v>1</v>
      </c>
      <c r="D346" s="3237">
        <v>1025</v>
      </c>
      <c r="E346" s="3239">
        <v>1</v>
      </c>
      <c r="F346" s="3239">
        <v>1</v>
      </c>
      <c r="G346" s="3239">
        <v>1</v>
      </c>
      <c r="H346" s="3237" t="s">
        <v>3300</v>
      </c>
      <c r="I346" s="3237" t="s">
        <v>3320</v>
      </c>
      <c r="J346" s="3240"/>
      <c r="K346" s="3236">
        <v>40.42</v>
      </c>
      <c r="L346" s="3239"/>
      <c r="M346" s="3239"/>
      <c r="N346" s="3510"/>
      <c r="O346" s="3506"/>
      <c r="P346" s="3506"/>
      <c r="Q346" s="3239"/>
      <c r="R346" s="3239"/>
    </row>
    <row r="347" spans="1:18">
      <c r="A347" s="3236">
        <v>344</v>
      </c>
      <c r="B347" s="3236">
        <v>1</v>
      </c>
      <c r="C347" s="3236">
        <v>1</v>
      </c>
      <c r="D347" s="3237">
        <v>1026</v>
      </c>
      <c r="E347" s="3239">
        <v>1</v>
      </c>
      <c r="F347" s="3239">
        <v>1</v>
      </c>
      <c r="G347" s="3239">
        <v>1</v>
      </c>
      <c r="H347" s="3237" t="s">
        <v>3295</v>
      </c>
      <c r="I347" s="3237" t="s">
        <v>3321</v>
      </c>
      <c r="J347" s="3240"/>
      <c r="K347" s="3236">
        <v>42.56</v>
      </c>
      <c r="L347" s="3239"/>
      <c r="M347" s="3239"/>
      <c r="N347" s="3510"/>
      <c r="O347" s="3506"/>
      <c r="P347" s="3506"/>
      <c r="Q347" s="3239"/>
      <c r="R347" s="3239"/>
    </row>
    <row r="348" spans="1:18">
      <c r="A348" s="3236">
        <v>345</v>
      </c>
      <c r="B348" s="3236">
        <v>1</v>
      </c>
      <c r="C348" s="3236">
        <v>1</v>
      </c>
      <c r="D348" s="3237">
        <v>1027</v>
      </c>
      <c r="E348" s="3239">
        <v>1</v>
      </c>
      <c r="F348" s="3239">
        <v>1</v>
      </c>
      <c r="G348" s="3239">
        <v>1</v>
      </c>
      <c r="H348" s="3237" t="s">
        <v>3295</v>
      </c>
      <c r="I348" s="3237">
        <v>50</v>
      </c>
      <c r="J348" s="3240"/>
      <c r="K348" s="3236">
        <v>40.32</v>
      </c>
      <c r="L348" s="3239"/>
      <c r="M348" s="3239"/>
      <c r="N348" s="3510"/>
      <c r="O348" s="3506"/>
      <c r="P348" s="3506"/>
      <c r="Q348" s="3239"/>
      <c r="R348" s="3239"/>
    </row>
    <row r="349" spans="1:18">
      <c r="A349" s="3236">
        <v>346</v>
      </c>
      <c r="B349" s="3236">
        <v>1</v>
      </c>
      <c r="C349" s="3236">
        <v>1</v>
      </c>
      <c r="D349" s="3237">
        <v>1028</v>
      </c>
      <c r="E349" s="3239">
        <v>1</v>
      </c>
      <c r="F349" s="3239">
        <v>1</v>
      </c>
      <c r="G349" s="3239">
        <v>1</v>
      </c>
      <c r="H349" s="3237" t="s">
        <v>3295</v>
      </c>
      <c r="I349" s="3237">
        <v>50</v>
      </c>
      <c r="J349" s="3240"/>
      <c r="K349" s="3236">
        <v>40.32</v>
      </c>
      <c r="L349" s="3239"/>
      <c r="M349" s="3239"/>
      <c r="N349" s="3510"/>
      <c r="O349" s="3506"/>
      <c r="P349" s="3506"/>
      <c r="Q349" s="3239"/>
      <c r="R349" s="3239"/>
    </row>
    <row r="350" spans="1:18">
      <c r="A350" s="3236">
        <v>347</v>
      </c>
      <c r="B350" s="3236">
        <v>1</v>
      </c>
      <c r="C350" s="3236">
        <v>1</v>
      </c>
      <c r="D350" s="3237">
        <v>1029</v>
      </c>
      <c r="E350" s="3239">
        <v>1</v>
      </c>
      <c r="F350" s="3239">
        <v>1</v>
      </c>
      <c r="G350" s="3239">
        <v>1</v>
      </c>
      <c r="H350" s="3237" t="s">
        <v>3295</v>
      </c>
      <c r="I350" s="3237">
        <v>50</v>
      </c>
      <c r="J350" s="3240"/>
      <c r="K350" s="3236">
        <v>40.32</v>
      </c>
      <c r="L350" s="3239"/>
      <c r="M350" s="3239"/>
      <c r="N350" s="3510"/>
      <c r="O350" s="3506"/>
      <c r="P350" s="3506"/>
      <c r="Q350" s="3239"/>
      <c r="R350" s="3239"/>
    </row>
    <row r="351" spans="1:18">
      <c r="A351" s="3236">
        <v>348</v>
      </c>
      <c r="B351" s="3236">
        <v>1</v>
      </c>
      <c r="C351" s="3236">
        <v>1</v>
      </c>
      <c r="D351" s="3237">
        <v>1030</v>
      </c>
      <c r="E351" s="3239">
        <v>1</v>
      </c>
      <c r="F351" s="3239">
        <v>1</v>
      </c>
      <c r="G351" s="3239">
        <v>1</v>
      </c>
      <c r="H351" s="3237" t="s">
        <v>3295</v>
      </c>
      <c r="I351" s="3237">
        <v>50</v>
      </c>
      <c r="J351" s="3240"/>
      <c r="K351" s="3236">
        <v>40.32</v>
      </c>
      <c r="L351" s="3239"/>
      <c r="M351" s="3239"/>
      <c r="N351" s="3510"/>
      <c r="O351" s="3506"/>
      <c r="P351" s="3506"/>
      <c r="Q351" s="3239"/>
      <c r="R351" s="3239"/>
    </row>
    <row r="352" spans="1:18">
      <c r="A352" s="3236">
        <v>349</v>
      </c>
      <c r="B352" s="3236">
        <v>1</v>
      </c>
      <c r="C352" s="3236">
        <v>1</v>
      </c>
      <c r="D352" s="3237">
        <v>1031</v>
      </c>
      <c r="E352" s="3239">
        <v>1</v>
      </c>
      <c r="F352" s="3239">
        <v>1</v>
      </c>
      <c r="G352" s="3239">
        <v>1</v>
      </c>
      <c r="H352" s="3237" t="s">
        <v>3295</v>
      </c>
      <c r="I352" s="3237">
        <v>50</v>
      </c>
      <c r="J352" s="3240"/>
      <c r="K352" s="3236">
        <v>40.32</v>
      </c>
      <c r="L352" s="3239"/>
      <c r="M352" s="3239"/>
      <c r="N352" s="3510"/>
      <c r="O352" s="3506"/>
      <c r="P352" s="3506"/>
      <c r="Q352" s="3239"/>
      <c r="R352" s="3239"/>
    </row>
    <row r="353" spans="1:18">
      <c r="A353" s="3236">
        <v>350</v>
      </c>
      <c r="B353" s="3236">
        <v>1</v>
      </c>
      <c r="C353" s="3236">
        <v>1</v>
      </c>
      <c r="D353" s="3237">
        <v>1032</v>
      </c>
      <c r="E353" s="3239">
        <v>1</v>
      </c>
      <c r="F353" s="3239">
        <v>1</v>
      </c>
      <c r="G353" s="3239">
        <v>1</v>
      </c>
      <c r="H353" s="3237" t="s">
        <v>3295</v>
      </c>
      <c r="I353" s="3237">
        <v>50</v>
      </c>
      <c r="J353" s="3240"/>
      <c r="K353" s="3236">
        <v>40.32</v>
      </c>
      <c r="L353" s="3239"/>
      <c r="M353" s="3239"/>
      <c r="N353" s="3510"/>
      <c r="O353" s="3506"/>
      <c r="P353" s="3506"/>
      <c r="Q353" s="3239"/>
      <c r="R353" s="3239"/>
    </row>
    <row r="354" spans="1:18">
      <c r="A354" s="3236">
        <v>351</v>
      </c>
      <c r="B354" s="3236">
        <v>1</v>
      </c>
      <c r="C354" s="3236">
        <v>1</v>
      </c>
      <c r="D354" s="3237">
        <v>1033</v>
      </c>
      <c r="E354" s="3239">
        <v>1</v>
      </c>
      <c r="F354" s="3239">
        <v>1</v>
      </c>
      <c r="G354" s="3239">
        <v>1</v>
      </c>
      <c r="H354" s="3237" t="s">
        <v>3295</v>
      </c>
      <c r="I354" s="3237">
        <v>50</v>
      </c>
      <c r="J354" s="3240"/>
      <c r="K354" s="3236">
        <v>40.32</v>
      </c>
      <c r="L354" s="3239"/>
      <c r="M354" s="3239"/>
      <c r="N354" s="3510"/>
      <c r="O354" s="3506"/>
      <c r="P354" s="3506"/>
      <c r="Q354" s="3239"/>
      <c r="R354" s="3239"/>
    </row>
    <row r="355" spans="1:18">
      <c r="A355" s="3236">
        <v>352</v>
      </c>
      <c r="B355" s="3236">
        <v>1</v>
      </c>
      <c r="C355" s="3236">
        <v>1</v>
      </c>
      <c r="D355" s="3237">
        <v>1034</v>
      </c>
      <c r="E355" s="3239">
        <v>1</v>
      </c>
      <c r="F355" s="3239">
        <v>1</v>
      </c>
      <c r="G355" s="3239">
        <v>1</v>
      </c>
      <c r="H355" s="3237" t="s">
        <v>3295</v>
      </c>
      <c r="I355" s="3237">
        <v>50</v>
      </c>
      <c r="J355" s="3240"/>
      <c r="K355" s="3236">
        <v>40.32</v>
      </c>
      <c r="L355" s="3239"/>
      <c r="M355" s="3239"/>
      <c r="N355" s="3510"/>
      <c r="O355" s="3506"/>
      <c r="P355" s="3506"/>
      <c r="Q355" s="3239"/>
      <c r="R355" s="3239"/>
    </row>
    <row r="356" spans="1:18">
      <c r="A356" s="3236">
        <v>353</v>
      </c>
      <c r="B356" s="3236">
        <v>1</v>
      </c>
      <c r="C356" s="3236">
        <v>1</v>
      </c>
      <c r="D356" s="3237">
        <v>1035</v>
      </c>
      <c r="E356" s="3239">
        <v>1</v>
      </c>
      <c r="F356" s="3239">
        <v>1</v>
      </c>
      <c r="G356" s="3239">
        <v>1</v>
      </c>
      <c r="H356" s="3237" t="s">
        <v>3295</v>
      </c>
      <c r="I356" s="3237">
        <v>50</v>
      </c>
      <c r="J356" s="3240"/>
      <c r="K356" s="3236">
        <v>40.32</v>
      </c>
      <c r="L356" s="3239"/>
      <c r="M356" s="3239"/>
      <c r="N356" s="3510"/>
      <c r="O356" s="3506"/>
      <c r="P356" s="3506"/>
      <c r="Q356" s="3239"/>
      <c r="R356" s="3239"/>
    </row>
    <row r="357" spans="1:18">
      <c r="A357" s="3236">
        <v>354</v>
      </c>
      <c r="B357" s="3236">
        <v>1</v>
      </c>
      <c r="C357" s="3236">
        <v>1</v>
      </c>
      <c r="D357" s="3237">
        <v>1036</v>
      </c>
      <c r="E357" s="3239">
        <v>1</v>
      </c>
      <c r="F357" s="3239">
        <v>1</v>
      </c>
      <c r="G357" s="3239">
        <v>1</v>
      </c>
      <c r="H357" s="3237" t="s">
        <v>3295</v>
      </c>
      <c r="I357" s="3237">
        <v>50</v>
      </c>
      <c r="J357" s="3240"/>
      <c r="K357" s="3236">
        <v>40.32</v>
      </c>
      <c r="L357" s="3239"/>
      <c r="M357" s="3239"/>
      <c r="N357" s="3510"/>
      <c r="O357" s="3506"/>
      <c r="P357" s="3506"/>
      <c r="Q357" s="3239"/>
      <c r="R357" s="3239"/>
    </row>
    <row r="358" spans="1:18">
      <c r="A358" s="3236">
        <v>355</v>
      </c>
      <c r="B358" s="3236">
        <v>1</v>
      </c>
      <c r="C358" s="3236">
        <v>1</v>
      </c>
      <c r="D358" s="3237">
        <v>1037</v>
      </c>
      <c r="E358" s="3239">
        <v>1</v>
      </c>
      <c r="F358" s="3239">
        <v>0</v>
      </c>
      <c r="G358" s="3239">
        <v>1</v>
      </c>
      <c r="H358" s="3237" t="s">
        <v>3295</v>
      </c>
      <c r="I358" s="3257" t="s">
        <v>3322</v>
      </c>
      <c r="J358" s="3240"/>
      <c r="K358" s="3236">
        <v>34.5</v>
      </c>
      <c r="L358" s="3239"/>
      <c r="M358" s="3239"/>
      <c r="N358" s="3510"/>
      <c r="O358" s="3506"/>
      <c r="P358" s="3506"/>
      <c r="Q358" s="3239"/>
      <c r="R358" s="3239"/>
    </row>
    <row r="359" spans="1:18">
      <c r="A359" s="3236">
        <v>356</v>
      </c>
      <c r="B359" s="3236">
        <v>1</v>
      </c>
      <c r="C359" s="3236">
        <v>1</v>
      </c>
      <c r="D359" s="3237">
        <v>1038</v>
      </c>
      <c r="E359" s="3239">
        <v>1</v>
      </c>
      <c r="F359" s="3239">
        <v>0</v>
      </c>
      <c r="G359" s="3239">
        <v>1</v>
      </c>
      <c r="H359" s="3237" t="s">
        <v>3295</v>
      </c>
      <c r="I359" s="3237">
        <v>40</v>
      </c>
      <c r="J359" s="3240"/>
      <c r="K359" s="3236">
        <v>35.26</v>
      </c>
      <c r="L359" s="3239"/>
      <c r="M359" s="3239"/>
      <c r="N359" s="3510"/>
      <c r="O359" s="3506"/>
      <c r="P359" s="3506"/>
      <c r="Q359" s="3239"/>
      <c r="R359" s="3239"/>
    </row>
    <row r="360" spans="1:18" ht="14.25" thickBot="1">
      <c r="A360" s="3236">
        <v>357</v>
      </c>
      <c r="B360" s="3236">
        <v>1</v>
      </c>
      <c r="C360" s="3236">
        <v>1</v>
      </c>
      <c r="D360" s="3244">
        <v>1039</v>
      </c>
      <c r="E360" s="3246">
        <v>1</v>
      </c>
      <c r="F360" s="3246">
        <v>0</v>
      </c>
      <c r="G360" s="3246">
        <v>1</v>
      </c>
      <c r="H360" s="3244" t="s">
        <v>3300</v>
      </c>
      <c r="I360" s="3244" t="s">
        <v>3323</v>
      </c>
      <c r="J360" s="3259"/>
      <c r="K360" s="3260">
        <v>32.42</v>
      </c>
      <c r="L360" s="3246"/>
      <c r="M360" s="3246"/>
      <c r="N360" s="3511"/>
      <c r="O360" s="3512"/>
      <c r="P360" s="3512"/>
      <c r="Q360" s="3250"/>
      <c r="R360" s="3250"/>
    </row>
    <row r="361" spans="1:18" ht="14.25" thickTop="1">
      <c r="A361" s="3236">
        <v>358</v>
      </c>
      <c r="B361" s="3236">
        <v>1</v>
      </c>
      <c r="C361" s="3236">
        <v>1</v>
      </c>
      <c r="D361" s="3251">
        <v>1103</v>
      </c>
      <c r="E361" s="3252">
        <v>1</v>
      </c>
      <c r="F361" s="3252">
        <v>0</v>
      </c>
      <c r="G361" s="3252">
        <v>1</v>
      </c>
      <c r="H361" s="3266" t="s">
        <v>3304</v>
      </c>
      <c r="I361" s="3251" t="s">
        <v>3305</v>
      </c>
      <c r="J361" s="3252"/>
      <c r="K361" s="3267">
        <v>31.54</v>
      </c>
      <c r="L361" s="3252"/>
      <c r="M361" s="3252"/>
      <c r="N361" s="3505">
        <v>2.9</v>
      </c>
      <c r="O361" s="3508" t="s">
        <v>3297</v>
      </c>
      <c r="P361" s="3508" t="s">
        <v>3298</v>
      </c>
      <c r="Q361" s="3261"/>
      <c r="R361" s="3261"/>
    </row>
    <row r="362" spans="1:18">
      <c r="A362" s="3236">
        <v>359</v>
      </c>
      <c r="B362" s="3236">
        <v>1</v>
      </c>
      <c r="C362" s="3236">
        <v>1</v>
      </c>
      <c r="D362" s="3237">
        <v>1104</v>
      </c>
      <c r="E362" s="3239">
        <v>1</v>
      </c>
      <c r="F362" s="3239">
        <v>0</v>
      </c>
      <c r="G362" s="3239">
        <v>1</v>
      </c>
      <c r="H362" s="3257" t="s">
        <v>3304</v>
      </c>
      <c r="I362" s="3237" t="s">
        <v>3306</v>
      </c>
      <c r="J362" s="3239"/>
      <c r="K362" s="3236">
        <v>32.26</v>
      </c>
      <c r="L362" s="3239"/>
      <c r="M362" s="3239"/>
      <c r="N362" s="3506"/>
      <c r="O362" s="3506"/>
      <c r="P362" s="3506"/>
      <c r="Q362" s="3239"/>
      <c r="R362" s="3239"/>
    </row>
    <row r="363" spans="1:18">
      <c r="A363" s="3236">
        <v>360</v>
      </c>
      <c r="B363" s="3236">
        <v>1</v>
      </c>
      <c r="C363" s="3236">
        <v>1</v>
      </c>
      <c r="D363" s="3236">
        <v>1105</v>
      </c>
      <c r="E363" s="3239">
        <v>1</v>
      </c>
      <c r="F363" s="3239">
        <v>0</v>
      </c>
      <c r="G363" s="3239">
        <v>1</v>
      </c>
      <c r="H363" s="3257" t="s">
        <v>3304</v>
      </c>
      <c r="I363" s="3237" t="s">
        <v>3306</v>
      </c>
      <c r="J363" s="3239"/>
      <c r="K363" s="3236">
        <v>32.26</v>
      </c>
      <c r="L363" s="3239"/>
      <c r="M363" s="3239"/>
      <c r="N363" s="3506"/>
      <c r="O363" s="3506"/>
      <c r="P363" s="3506"/>
      <c r="Q363" s="3239"/>
      <c r="R363" s="3239"/>
    </row>
    <row r="364" spans="1:18">
      <c r="A364" s="3236">
        <v>361</v>
      </c>
      <c r="B364" s="3236">
        <v>1</v>
      </c>
      <c r="C364" s="3236">
        <v>1</v>
      </c>
      <c r="D364" s="3237">
        <v>1106</v>
      </c>
      <c r="E364" s="3239">
        <v>1</v>
      </c>
      <c r="F364" s="3239">
        <v>0</v>
      </c>
      <c r="G364" s="3239">
        <v>1</v>
      </c>
      <c r="H364" s="3257" t="s">
        <v>3304</v>
      </c>
      <c r="I364" s="3237" t="s">
        <v>3305</v>
      </c>
      <c r="J364" s="3239"/>
      <c r="K364" s="3236">
        <v>31.54</v>
      </c>
      <c r="L364" s="3239"/>
      <c r="M364" s="3239"/>
      <c r="N364" s="3506"/>
      <c r="O364" s="3506"/>
      <c r="P364" s="3506"/>
      <c r="Q364" s="3239"/>
      <c r="R364" s="3239"/>
    </row>
    <row r="365" spans="1:18">
      <c r="A365" s="3236">
        <v>362</v>
      </c>
      <c r="B365" s="3236">
        <v>1</v>
      </c>
      <c r="C365" s="3236">
        <v>1</v>
      </c>
      <c r="D365" s="3237">
        <v>1107</v>
      </c>
      <c r="E365" s="3239">
        <v>1</v>
      </c>
      <c r="F365" s="3239">
        <v>0</v>
      </c>
      <c r="G365" s="3239">
        <v>1</v>
      </c>
      <c r="H365" s="3257" t="s">
        <v>3304</v>
      </c>
      <c r="I365" s="3237" t="s">
        <v>3305</v>
      </c>
      <c r="J365" s="3239"/>
      <c r="K365" s="3236">
        <v>31.54</v>
      </c>
      <c r="L365" s="3239"/>
      <c r="M365" s="3239"/>
      <c r="N365" s="3506"/>
      <c r="O365" s="3506"/>
      <c r="P365" s="3506"/>
      <c r="Q365" s="3239"/>
      <c r="R365" s="3239"/>
    </row>
    <row r="366" spans="1:18">
      <c r="A366" s="3236">
        <v>363</v>
      </c>
      <c r="B366" s="3236">
        <v>1</v>
      </c>
      <c r="C366" s="3236">
        <v>1</v>
      </c>
      <c r="D366" s="3237">
        <v>1108</v>
      </c>
      <c r="E366" s="3239">
        <v>1</v>
      </c>
      <c r="F366" s="3239">
        <v>0</v>
      </c>
      <c r="G366" s="3239">
        <v>1</v>
      </c>
      <c r="H366" s="3257" t="s">
        <v>3304</v>
      </c>
      <c r="I366" s="3237" t="s">
        <v>3305</v>
      </c>
      <c r="J366" s="3239"/>
      <c r="K366" s="3236">
        <v>31.54</v>
      </c>
      <c r="L366" s="3239"/>
      <c r="M366" s="3239"/>
      <c r="N366" s="3506"/>
      <c r="O366" s="3506"/>
      <c r="P366" s="3506"/>
      <c r="Q366" s="3239"/>
      <c r="R366" s="3239"/>
    </row>
    <row r="367" spans="1:18">
      <c r="A367" s="3236">
        <v>364</v>
      </c>
      <c r="B367" s="3236">
        <v>1</v>
      </c>
      <c r="C367" s="3236">
        <v>1</v>
      </c>
      <c r="D367" s="3237">
        <v>1109</v>
      </c>
      <c r="E367" s="3239">
        <v>1</v>
      </c>
      <c r="F367" s="3239">
        <v>0</v>
      </c>
      <c r="G367" s="3239">
        <v>1</v>
      </c>
      <c r="H367" s="3257" t="s">
        <v>3304</v>
      </c>
      <c r="I367" s="3237" t="s">
        <v>3305</v>
      </c>
      <c r="J367" s="3239"/>
      <c r="K367" s="3236">
        <v>31.54</v>
      </c>
      <c r="L367" s="3239"/>
      <c r="M367" s="3239"/>
      <c r="N367" s="3506"/>
      <c r="O367" s="3506"/>
      <c r="P367" s="3506"/>
      <c r="Q367" s="3239"/>
      <c r="R367" s="3239"/>
    </row>
    <row r="368" spans="1:18">
      <c r="A368" s="3236">
        <v>365</v>
      </c>
      <c r="B368" s="3236">
        <v>1</v>
      </c>
      <c r="C368" s="3236">
        <v>1</v>
      </c>
      <c r="D368" s="3237">
        <v>1110</v>
      </c>
      <c r="E368" s="3239">
        <v>1</v>
      </c>
      <c r="F368" s="3239">
        <v>0</v>
      </c>
      <c r="G368" s="3239">
        <v>1</v>
      </c>
      <c r="H368" s="3257" t="s">
        <v>3304</v>
      </c>
      <c r="I368" s="3237" t="s">
        <v>3305</v>
      </c>
      <c r="J368" s="3239"/>
      <c r="K368" s="3236">
        <v>31.54</v>
      </c>
      <c r="L368" s="3239"/>
      <c r="M368" s="3239"/>
      <c r="N368" s="3506"/>
      <c r="O368" s="3506"/>
      <c r="P368" s="3506"/>
      <c r="Q368" s="3239"/>
      <c r="R368" s="3239"/>
    </row>
    <row r="369" spans="1:18">
      <c r="A369" s="3236">
        <v>366</v>
      </c>
      <c r="B369" s="3236">
        <v>1</v>
      </c>
      <c r="C369" s="3236">
        <v>1</v>
      </c>
      <c r="D369" s="3237">
        <v>1111</v>
      </c>
      <c r="E369" s="3239">
        <v>1</v>
      </c>
      <c r="F369" s="3239">
        <v>0</v>
      </c>
      <c r="G369" s="3239">
        <v>1</v>
      </c>
      <c r="H369" s="3257" t="s">
        <v>3304</v>
      </c>
      <c r="I369" s="3237" t="s">
        <v>3307</v>
      </c>
      <c r="J369" s="3239"/>
      <c r="K369" s="3236">
        <v>31.98</v>
      </c>
      <c r="L369" s="3239"/>
      <c r="M369" s="3239"/>
      <c r="N369" s="3506"/>
      <c r="O369" s="3506"/>
      <c r="P369" s="3506"/>
      <c r="Q369" s="3239"/>
      <c r="R369" s="3239"/>
    </row>
    <row r="370" spans="1:18">
      <c r="A370" s="3236">
        <v>367</v>
      </c>
      <c r="B370" s="3236">
        <v>1</v>
      </c>
      <c r="C370" s="3236">
        <v>1</v>
      </c>
      <c r="D370" s="3237">
        <v>1112</v>
      </c>
      <c r="E370" s="3239">
        <v>1</v>
      </c>
      <c r="F370" s="3239">
        <v>1</v>
      </c>
      <c r="G370" s="3239">
        <v>1</v>
      </c>
      <c r="H370" s="3257" t="s">
        <v>3304</v>
      </c>
      <c r="I370" s="3237" t="s">
        <v>3308</v>
      </c>
      <c r="J370" s="3239"/>
      <c r="K370" s="3236">
        <v>39.869999999999997</v>
      </c>
      <c r="L370" s="3239"/>
      <c r="M370" s="3239"/>
      <c r="N370" s="3506"/>
      <c r="O370" s="3506"/>
      <c r="P370" s="3506"/>
      <c r="Q370" s="3239"/>
      <c r="R370" s="3239"/>
    </row>
    <row r="371" spans="1:18">
      <c r="A371" s="3236">
        <v>368</v>
      </c>
      <c r="B371" s="3236">
        <v>1</v>
      </c>
      <c r="C371" s="3236">
        <v>1</v>
      </c>
      <c r="D371" s="3237">
        <v>1113</v>
      </c>
      <c r="E371" s="3239">
        <v>1</v>
      </c>
      <c r="F371" s="3239">
        <v>1</v>
      </c>
      <c r="G371" s="3239">
        <v>1</v>
      </c>
      <c r="H371" s="3257" t="s">
        <v>3304</v>
      </c>
      <c r="I371" s="3257" t="s">
        <v>3309</v>
      </c>
      <c r="J371" s="3239"/>
      <c r="K371" s="3258">
        <v>39.96</v>
      </c>
      <c r="L371" s="3239"/>
      <c r="M371" s="3239"/>
      <c r="N371" s="3506"/>
      <c r="O371" s="3506"/>
      <c r="P371" s="3506"/>
      <c r="Q371" s="3239"/>
      <c r="R371" s="3239"/>
    </row>
    <row r="372" spans="1:18">
      <c r="A372" s="3236">
        <v>369</v>
      </c>
      <c r="B372" s="3236">
        <v>1</v>
      </c>
      <c r="C372" s="3236">
        <v>1</v>
      </c>
      <c r="D372" s="3237">
        <v>1114</v>
      </c>
      <c r="E372" s="3239">
        <v>1</v>
      </c>
      <c r="F372" s="3239">
        <v>1</v>
      </c>
      <c r="G372" s="3239">
        <v>1</v>
      </c>
      <c r="H372" s="3237" t="s">
        <v>3310</v>
      </c>
      <c r="I372" s="3237" t="s">
        <v>3311</v>
      </c>
      <c r="J372" s="3239"/>
      <c r="K372" s="3258">
        <v>38.54</v>
      </c>
      <c r="L372" s="3239"/>
      <c r="M372" s="3239"/>
      <c r="N372" s="3506"/>
      <c r="O372" s="3506"/>
      <c r="P372" s="3506"/>
      <c r="Q372" s="3239"/>
      <c r="R372" s="3239"/>
    </row>
    <row r="373" spans="1:18">
      <c r="A373" s="3236">
        <v>370</v>
      </c>
      <c r="B373" s="3236">
        <v>1</v>
      </c>
      <c r="C373" s="3236">
        <v>1</v>
      </c>
      <c r="D373" s="3237">
        <v>1115</v>
      </c>
      <c r="E373" s="3239">
        <v>2</v>
      </c>
      <c r="F373" s="3239">
        <v>1</v>
      </c>
      <c r="G373" s="3239">
        <v>1</v>
      </c>
      <c r="H373" s="3257" t="s">
        <v>3312</v>
      </c>
      <c r="I373" s="3237" t="s">
        <v>3313</v>
      </c>
      <c r="J373" s="3239"/>
      <c r="K373" s="3258">
        <v>67.27</v>
      </c>
      <c r="L373" s="3239"/>
      <c r="M373" s="3239"/>
      <c r="N373" s="3506"/>
      <c r="O373" s="3506"/>
      <c r="P373" s="3506"/>
      <c r="Q373" s="3239"/>
      <c r="R373" s="3239"/>
    </row>
    <row r="374" spans="1:18">
      <c r="A374" s="3236">
        <v>371</v>
      </c>
      <c r="B374" s="3236">
        <v>1</v>
      </c>
      <c r="C374" s="3236">
        <v>1</v>
      </c>
      <c r="D374" s="3237">
        <v>1116</v>
      </c>
      <c r="E374" s="3239">
        <v>1</v>
      </c>
      <c r="F374" s="3239">
        <v>1</v>
      </c>
      <c r="G374" s="3239">
        <v>1</v>
      </c>
      <c r="H374" s="3257" t="s">
        <v>3312</v>
      </c>
      <c r="I374" s="3237" t="s">
        <v>3314</v>
      </c>
      <c r="J374" s="3239"/>
      <c r="K374" s="3236">
        <v>39.97</v>
      </c>
      <c r="L374" s="3239"/>
      <c r="M374" s="3239"/>
      <c r="N374" s="3506"/>
      <c r="O374" s="3506"/>
      <c r="P374" s="3506"/>
      <c r="Q374" s="3239"/>
      <c r="R374" s="3239"/>
    </row>
    <row r="375" spans="1:18">
      <c r="A375" s="3236">
        <v>372</v>
      </c>
      <c r="B375" s="3236">
        <v>1</v>
      </c>
      <c r="C375" s="3236">
        <v>1</v>
      </c>
      <c r="D375" s="3237">
        <v>1117</v>
      </c>
      <c r="E375" s="3239">
        <v>1</v>
      </c>
      <c r="F375" s="3239">
        <v>1</v>
      </c>
      <c r="G375" s="3239">
        <v>1</v>
      </c>
      <c r="H375" s="3257" t="s">
        <v>3312</v>
      </c>
      <c r="I375" s="3237">
        <v>50</v>
      </c>
      <c r="J375" s="3239"/>
      <c r="K375" s="3236">
        <v>40.32</v>
      </c>
      <c r="L375" s="3239"/>
      <c r="M375" s="3239"/>
      <c r="N375" s="3506"/>
      <c r="O375" s="3506"/>
      <c r="P375" s="3506"/>
      <c r="Q375" s="3239"/>
      <c r="R375" s="3239"/>
    </row>
    <row r="376" spans="1:18">
      <c r="A376" s="3236">
        <v>373</v>
      </c>
      <c r="B376" s="3236">
        <v>1</v>
      </c>
      <c r="C376" s="3236">
        <v>1</v>
      </c>
      <c r="D376" s="3237">
        <v>1118</v>
      </c>
      <c r="E376" s="3239">
        <v>1</v>
      </c>
      <c r="F376" s="3239">
        <v>1</v>
      </c>
      <c r="G376" s="3239">
        <v>1</v>
      </c>
      <c r="H376" s="3257" t="s">
        <v>3312</v>
      </c>
      <c r="I376" s="3237">
        <v>50</v>
      </c>
      <c r="J376" s="3239"/>
      <c r="K376" s="3236">
        <v>40.32</v>
      </c>
      <c r="L376" s="3239"/>
      <c r="M376" s="3239"/>
      <c r="N376" s="3506"/>
      <c r="O376" s="3506"/>
      <c r="P376" s="3506"/>
      <c r="Q376" s="3239"/>
      <c r="R376" s="3239"/>
    </row>
    <row r="377" spans="1:18">
      <c r="A377" s="3236">
        <v>374</v>
      </c>
      <c r="B377" s="3236">
        <v>1</v>
      </c>
      <c r="C377" s="3236">
        <v>1</v>
      </c>
      <c r="D377" s="3237">
        <v>1119</v>
      </c>
      <c r="E377" s="3239">
        <v>1</v>
      </c>
      <c r="F377" s="3239">
        <v>1</v>
      </c>
      <c r="G377" s="3239">
        <v>1</v>
      </c>
      <c r="H377" s="3257" t="s">
        <v>3312</v>
      </c>
      <c r="I377" s="3237" t="s">
        <v>3308</v>
      </c>
      <c r="J377" s="3239"/>
      <c r="K377" s="3236">
        <v>39.869999999999997</v>
      </c>
      <c r="L377" s="3239"/>
      <c r="M377" s="3239"/>
      <c r="N377" s="3506"/>
      <c r="O377" s="3506"/>
      <c r="P377" s="3506"/>
      <c r="Q377" s="3239"/>
      <c r="R377" s="3239"/>
    </row>
    <row r="378" spans="1:18">
      <c r="A378" s="3236">
        <v>375</v>
      </c>
      <c r="B378" s="3236">
        <v>1</v>
      </c>
      <c r="C378" s="3236">
        <v>1</v>
      </c>
      <c r="D378" s="3237">
        <v>1120</v>
      </c>
      <c r="E378" s="3239">
        <v>1</v>
      </c>
      <c r="F378" s="3239">
        <v>1</v>
      </c>
      <c r="G378" s="3239">
        <v>1</v>
      </c>
      <c r="H378" s="3257" t="s">
        <v>3312</v>
      </c>
      <c r="I378" s="3257" t="s">
        <v>3315</v>
      </c>
      <c r="J378" s="3239"/>
      <c r="K378" s="3258">
        <v>41.22</v>
      </c>
      <c r="L378" s="3239"/>
      <c r="M378" s="3239"/>
      <c r="N378" s="3506"/>
      <c r="O378" s="3506"/>
      <c r="P378" s="3506"/>
      <c r="Q378" s="3239"/>
      <c r="R378" s="3239"/>
    </row>
    <row r="379" spans="1:18">
      <c r="A379" s="3236">
        <v>376</v>
      </c>
      <c r="B379" s="3236">
        <v>1</v>
      </c>
      <c r="C379" s="3236">
        <v>1</v>
      </c>
      <c r="D379" s="3237">
        <v>1121</v>
      </c>
      <c r="E379" s="3239">
        <v>4</v>
      </c>
      <c r="F379" s="3239">
        <v>1</v>
      </c>
      <c r="G379" s="3239">
        <v>1</v>
      </c>
      <c r="H379" s="3237" t="s">
        <v>3316</v>
      </c>
      <c r="I379" s="3237" t="s">
        <v>3317</v>
      </c>
      <c r="J379" s="3239"/>
      <c r="K379" s="3258">
        <v>75.8</v>
      </c>
      <c r="L379" s="3239"/>
      <c r="M379" s="3239"/>
      <c r="N379" s="3506"/>
      <c r="O379" s="3506"/>
      <c r="P379" s="3506"/>
      <c r="Q379" s="3239"/>
      <c r="R379" s="3239"/>
    </row>
    <row r="380" spans="1:18">
      <c r="A380" s="3236">
        <v>377</v>
      </c>
      <c r="B380" s="3236">
        <v>1</v>
      </c>
      <c r="C380" s="3236">
        <v>1</v>
      </c>
      <c r="D380" s="3237">
        <v>1122</v>
      </c>
      <c r="E380" s="3239">
        <v>4</v>
      </c>
      <c r="F380" s="3239">
        <v>1</v>
      </c>
      <c r="G380" s="3239">
        <v>1</v>
      </c>
      <c r="H380" s="3237" t="s">
        <v>3318</v>
      </c>
      <c r="I380" s="3237" t="s">
        <v>3319</v>
      </c>
      <c r="J380" s="3239"/>
      <c r="K380" s="3258">
        <v>75.8</v>
      </c>
      <c r="L380" s="3239"/>
      <c r="M380" s="3239"/>
      <c r="N380" s="3506"/>
      <c r="O380" s="3506"/>
      <c r="P380" s="3506"/>
      <c r="Q380" s="3239"/>
      <c r="R380" s="3239"/>
    </row>
    <row r="381" spans="1:18">
      <c r="A381" s="3236">
        <v>378</v>
      </c>
      <c r="B381" s="3236">
        <v>1</v>
      </c>
      <c r="C381" s="3236">
        <v>1</v>
      </c>
      <c r="D381" s="3237">
        <v>1123</v>
      </c>
      <c r="E381" s="3239">
        <v>1</v>
      </c>
      <c r="F381" s="3239">
        <v>1</v>
      </c>
      <c r="G381" s="3239">
        <v>1</v>
      </c>
      <c r="H381" s="3237" t="s">
        <v>3300</v>
      </c>
      <c r="I381" s="3237" t="s">
        <v>3308</v>
      </c>
      <c r="J381" s="3239"/>
      <c r="K381" s="3236">
        <v>39.869999999999997</v>
      </c>
      <c r="L381" s="3239"/>
      <c r="M381" s="3239"/>
      <c r="N381" s="3506"/>
      <c r="O381" s="3506"/>
      <c r="P381" s="3506"/>
      <c r="Q381" s="3239"/>
      <c r="R381" s="3239"/>
    </row>
    <row r="382" spans="1:18">
      <c r="A382" s="3236">
        <v>379</v>
      </c>
      <c r="B382" s="3236">
        <v>1</v>
      </c>
      <c r="C382" s="3236">
        <v>1</v>
      </c>
      <c r="D382" s="3237">
        <v>1124</v>
      </c>
      <c r="E382" s="3239">
        <v>1</v>
      </c>
      <c r="F382" s="3239">
        <v>1</v>
      </c>
      <c r="G382" s="3239">
        <v>1</v>
      </c>
      <c r="H382" s="3237" t="s">
        <v>3300</v>
      </c>
      <c r="I382" s="3237">
        <v>50</v>
      </c>
      <c r="J382" s="3239"/>
      <c r="K382" s="3236">
        <v>40.32</v>
      </c>
      <c r="L382" s="3239"/>
      <c r="M382" s="3239"/>
      <c r="N382" s="3506"/>
      <c r="O382" s="3506"/>
      <c r="P382" s="3506"/>
      <c r="Q382" s="3239"/>
      <c r="R382" s="3239"/>
    </row>
    <row r="383" spans="1:18">
      <c r="A383" s="3236">
        <v>380</v>
      </c>
      <c r="B383" s="3236">
        <v>1</v>
      </c>
      <c r="C383" s="3236">
        <v>1</v>
      </c>
      <c r="D383" s="3237">
        <v>1125</v>
      </c>
      <c r="E383" s="3239">
        <v>1</v>
      </c>
      <c r="F383" s="3239">
        <v>1</v>
      </c>
      <c r="G383" s="3239">
        <v>1</v>
      </c>
      <c r="H383" s="3237" t="s">
        <v>3300</v>
      </c>
      <c r="I383" s="3237" t="s">
        <v>3320</v>
      </c>
      <c r="J383" s="3239"/>
      <c r="K383" s="3236">
        <v>40.42</v>
      </c>
      <c r="L383" s="3239"/>
      <c r="M383" s="3239"/>
      <c r="N383" s="3506"/>
      <c r="O383" s="3506"/>
      <c r="P383" s="3506"/>
      <c r="Q383" s="3239"/>
      <c r="R383" s="3239"/>
    </row>
    <row r="384" spans="1:18">
      <c r="A384" s="3236">
        <v>381</v>
      </c>
      <c r="B384" s="3236">
        <v>1</v>
      </c>
      <c r="C384" s="3236">
        <v>1</v>
      </c>
      <c r="D384" s="3237">
        <v>1126</v>
      </c>
      <c r="E384" s="3239">
        <v>1</v>
      </c>
      <c r="F384" s="3239">
        <v>1</v>
      </c>
      <c r="G384" s="3239">
        <v>1</v>
      </c>
      <c r="H384" s="3237" t="s">
        <v>3295</v>
      </c>
      <c r="I384" s="3237" t="s">
        <v>3321</v>
      </c>
      <c r="J384" s="3239"/>
      <c r="K384" s="3236">
        <v>42.56</v>
      </c>
      <c r="L384" s="3239"/>
      <c r="M384" s="3239"/>
      <c r="N384" s="3506"/>
      <c r="O384" s="3506"/>
      <c r="P384" s="3506"/>
      <c r="Q384" s="3239"/>
      <c r="R384" s="3239"/>
    </row>
    <row r="385" spans="1:18">
      <c r="A385" s="3236">
        <v>382</v>
      </c>
      <c r="B385" s="3236">
        <v>1</v>
      </c>
      <c r="C385" s="3236">
        <v>1</v>
      </c>
      <c r="D385" s="3237">
        <v>1127</v>
      </c>
      <c r="E385" s="3239">
        <v>1</v>
      </c>
      <c r="F385" s="3239">
        <v>1</v>
      </c>
      <c r="G385" s="3239">
        <v>1</v>
      </c>
      <c r="H385" s="3237" t="s">
        <v>3295</v>
      </c>
      <c r="I385" s="3237">
        <v>50</v>
      </c>
      <c r="J385" s="3239"/>
      <c r="K385" s="3236">
        <v>40.32</v>
      </c>
      <c r="L385" s="3239"/>
      <c r="M385" s="3239"/>
      <c r="N385" s="3506"/>
      <c r="O385" s="3506"/>
      <c r="P385" s="3506"/>
      <c r="Q385" s="3239"/>
      <c r="R385" s="3239"/>
    </row>
    <row r="386" spans="1:18">
      <c r="A386" s="3236">
        <v>383</v>
      </c>
      <c r="B386" s="3236">
        <v>1</v>
      </c>
      <c r="C386" s="3236">
        <v>1</v>
      </c>
      <c r="D386" s="3237">
        <v>1128</v>
      </c>
      <c r="E386" s="3239">
        <v>1</v>
      </c>
      <c r="F386" s="3239">
        <v>1</v>
      </c>
      <c r="G386" s="3239">
        <v>1</v>
      </c>
      <c r="H386" s="3237" t="s">
        <v>3295</v>
      </c>
      <c r="I386" s="3237">
        <v>50</v>
      </c>
      <c r="J386" s="3239"/>
      <c r="K386" s="3236">
        <v>40.32</v>
      </c>
      <c r="L386" s="3239"/>
      <c r="M386" s="3239"/>
      <c r="N386" s="3506"/>
      <c r="O386" s="3506"/>
      <c r="P386" s="3506"/>
      <c r="Q386" s="3239"/>
      <c r="R386" s="3239"/>
    </row>
    <row r="387" spans="1:18">
      <c r="A387" s="3236">
        <v>384</v>
      </c>
      <c r="B387" s="3236">
        <v>1</v>
      </c>
      <c r="C387" s="3236">
        <v>1</v>
      </c>
      <c r="D387" s="3237">
        <v>1129</v>
      </c>
      <c r="E387" s="3239">
        <v>1</v>
      </c>
      <c r="F387" s="3239">
        <v>1</v>
      </c>
      <c r="G387" s="3239">
        <v>1</v>
      </c>
      <c r="H387" s="3237" t="s">
        <v>3295</v>
      </c>
      <c r="I387" s="3237">
        <v>50</v>
      </c>
      <c r="J387" s="3239"/>
      <c r="K387" s="3236">
        <v>40.32</v>
      </c>
      <c r="L387" s="3239"/>
      <c r="M387" s="3239"/>
      <c r="N387" s="3506"/>
      <c r="O387" s="3506"/>
      <c r="P387" s="3506"/>
      <c r="Q387" s="3239"/>
      <c r="R387" s="3239"/>
    </row>
    <row r="388" spans="1:18">
      <c r="A388" s="3236">
        <v>385</v>
      </c>
      <c r="B388" s="3236">
        <v>1</v>
      </c>
      <c r="C388" s="3236">
        <v>1</v>
      </c>
      <c r="D388" s="3237">
        <v>1130</v>
      </c>
      <c r="E388" s="3239">
        <v>1</v>
      </c>
      <c r="F388" s="3239">
        <v>1</v>
      </c>
      <c r="G388" s="3239">
        <v>1</v>
      </c>
      <c r="H388" s="3237" t="s">
        <v>3295</v>
      </c>
      <c r="I388" s="3237">
        <v>50</v>
      </c>
      <c r="J388" s="3239"/>
      <c r="K388" s="3236">
        <v>40.32</v>
      </c>
      <c r="L388" s="3239"/>
      <c r="M388" s="3239"/>
      <c r="N388" s="3506"/>
      <c r="O388" s="3506"/>
      <c r="P388" s="3506"/>
      <c r="Q388" s="3239"/>
      <c r="R388" s="3239"/>
    </row>
    <row r="389" spans="1:18">
      <c r="A389" s="3236">
        <v>386</v>
      </c>
      <c r="B389" s="3236">
        <v>1</v>
      </c>
      <c r="C389" s="3236">
        <v>1</v>
      </c>
      <c r="D389" s="3237">
        <v>1131</v>
      </c>
      <c r="E389" s="3239">
        <v>1</v>
      </c>
      <c r="F389" s="3239">
        <v>1</v>
      </c>
      <c r="G389" s="3239">
        <v>1</v>
      </c>
      <c r="H389" s="3237" t="s">
        <v>3295</v>
      </c>
      <c r="I389" s="3237">
        <v>50</v>
      </c>
      <c r="J389" s="3239"/>
      <c r="K389" s="3236">
        <v>40.32</v>
      </c>
      <c r="L389" s="3239"/>
      <c r="M389" s="3239"/>
      <c r="N389" s="3506"/>
      <c r="O389" s="3506"/>
      <c r="P389" s="3506"/>
      <c r="Q389" s="3239"/>
      <c r="R389" s="3239"/>
    </row>
    <row r="390" spans="1:18">
      <c r="A390" s="3236">
        <v>387</v>
      </c>
      <c r="B390" s="3236">
        <v>1</v>
      </c>
      <c r="C390" s="3236">
        <v>1</v>
      </c>
      <c r="D390" s="3237">
        <v>1132</v>
      </c>
      <c r="E390" s="3239">
        <v>1</v>
      </c>
      <c r="F390" s="3239">
        <v>1</v>
      </c>
      <c r="G390" s="3239">
        <v>1</v>
      </c>
      <c r="H390" s="3237" t="s">
        <v>3295</v>
      </c>
      <c r="I390" s="3237">
        <v>50</v>
      </c>
      <c r="J390" s="3239"/>
      <c r="K390" s="3236">
        <v>40.32</v>
      </c>
      <c r="L390" s="3239"/>
      <c r="M390" s="3239"/>
      <c r="N390" s="3506"/>
      <c r="O390" s="3506"/>
      <c r="P390" s="3506"/>
      <c r="Q390" s="3239"/>
      <c r="R390" s="3239"/>
    </row>
    <row r="391" spans="1:18">
      <c r="A391" s="3236">
        <v>388</v>
      </c>
      <c r="B391" s="3236">
        <v>1</v>
      </c>
      <c r="C391" s="3236">
        <v>1</v>
      </c>
      <c r="D391" s="3237">
        <v>1133</v>
      </c>
      <c r="E391" s="3239">
        <v>1</v>
      </c>
      <c r="F391" s="3239">
        <v>1</v>
      </c>
      <c r="G391" s="3239">
        <v>1</v>
      </c>
      <c r="H391" s="3237" t="s">
        <v>3295</v>
      </c>
      <c r="I391" s="3237">
        <v>50</v>
      </c>
      <c r="J391" s="3239"/>
      <c r="K391" s="3236">
        <v>40.32</v>
      </c>
      <c r="L391" s="3239"/>
      <c r="M391" s="3239"/>
      <c r="N391" s="3506"/>
      <c r="O391" s="3506"/>
      <c r="P391" s="3506"/>
      <c r="Q391" s="3239"/>
      <c r="R391" s="3239"/>
    </row>
    <row r="392" spans="1:18">
      <c r="A392" s="3236">
        <v>389</v>
      </c>
      <c r="B392" s="3236">
        <v>1</v>
      </c>
      <c r="C392" s="3236">
        <v>1</v>
      </c>
      <c r="D392" s="3237">
        <v>1134</v>
      </c>
      <c r="E392" s="3239">
        <v>1</v>
      </c>
      <c r="F392" s="3239">
        <v>1</v>
      </c>
      <c r="G392" s="3239">
        <v>1</v>
      </c>
      <c r="H392" s="3237" t="s">
        <v>3295</v>
      </c>
      <c r="I392" s="3237">
        <v>50</v>
      </c>
      <c r="J392" s="3239"/>
      <c r="K392" s="3236">
        <v>40.32</v>
      </c>
      <c r="L392" s="3239"/>
      <c r="M392" s="3239"/>
      <c r="N392" s="3506"/>
      <c r="O392" s="3506"/>
      <c r="P392" s="3506"/>
      <c r="Q392" s="3239"/>
      <c r="R392" s="3239"/>
    </row>
    <row r="393" spans="1:18" ht="14.25" thickBot="1">
      <c r="A393" s="3236">
        <v>390</v>
      </c>
      <c r="B393" s="3236">
        <v>1</v>
      </c>
      <c r="C393" s="3236">
        <v>1</v>
      </c>
      <c r="D393" s="3244">
        <v>1135</v>
      </c>
      <c r="E393" s="3239">
        <v>1</v>
      </c>
      <c r="F393" s="3239">
        <v>1</v>
      </c>
      <c r="G393" s="3239">
        <v>1</v>
      </c>
      <c r="H393" s="3247" t="s">
        <v>3295</v>
      </c>
      <c r="I393" s="3248">
        <v>50</v>
      </c>
      <c r="J393" s="3246"/>
      <c r="K393" s="3268">
        <v>40.32</v>
      </c>
      <c r="L393" s="3246"/>
      <c r="M393" s="3246"/>
      <c r="N393" s="3507"/>
      <c r="O393" s="3507"/>
      <c r="P393" s="3507"/>
      <c r="Q393" s="3246"/>
      <c r="R393" s="3246"/>
    </row>
    <row r="394" spans="1:18" ht="14.25" thickTop="1">
      <c r="A394" s="3269">
        <v>391</v>
      </c>
      <c r="B394" s="3270">
        <v>2</v>
      </c>
      <c r="C394" s="3270">
        <v>1</v>
      </c>
      <c r="D394" s="3271">
        <v>201</v>
      </c>
      <c r="E394" s="3272">
        <v>4</v>
      </c>
      <c r="F394" s="3272">
        <v>1</v>
      </c>
      <c r="G394" s="3272">
        <v>1</v>
      </c>
      <c r="H394" s="3271" t="s">
        <v>3318</v>
      </c>
      <c r="I394" s="3271" t="s">
        <v>3317</v>
      </c>
      <c r="J394" s="3273"/>
      <c r="K394" s="3274">
        <v>75.8</v>
      </c>
      <c r="L394" s="3272"/>
      <c r="M394" s="3272"/>
      <c r="N394" s="3500">
        <v>2.9</v>
      </c>
      <c r="O394" s="3500" t="s">
        <v>3297</v>
      </c>
      <c r="P394" s="3500" t="s">
        <v>3298</v>
      </c>
      <c r="Q394" s="3272"/>
      <c r="R394" s="3272"/>
    </row>
    <row r="395" spans="1:18">
      <c r="A395" s="3269">
        <v>392</v>
      </c>
      <c r="B395" s="3270">
        <v>2</v>
      </c>
      <c r="C395" s="3270">
        <v>1</v>
      </c>
      <c r="D395" s="3275">
        <v>202</v>
      </c>
      <c r="E395" s="3276">
        <v>1</v>
      </c>
      <c r="F395" s="3276">
        <v>1</v>
      </c>
      <c r="G395" s="3276">
        <v>1</v>
      </c>
      <c r="H395" s="3275" t="s">
        <v>3300</v>
      </c>
      <c r="I395" s="3275" t="s">
        <v>3324</v>
      </c>
      <c r="J395" s="3269"/>
      <c r="K395" s="3277">
        <v>41.22</v>
      </c>
      <c r="L395" s="3276"/>
      <c r="M395" s="3276"/>
      <c r="N395" s="3501"/>
      <c r="O395" s="3503"/>
      <c r="P395" s="3503"/>
      <c r="Q395" s="3276"/>
      <c r="R395" s="3276"/>
    </row>
    <row r="396" spans="1:18">
      <c r="A396" s="3269">
        <v>393</v>
      </c>
      <c r="B396" s="3270">
        <v>2</v>
      </c>
      <c r="C396" s="3270">
        <v>1</v>
      </c>
      <c r="D396" s="3275">
        <v>203</v>
      </c>
      <c r="E396" s="3276">
        <v>1</v>
      </c>
      <c r="F396" s="3276">
        <v>1</v>
      </c>
      <c r="G396" s="3276">
        <v>1</v>
      </c>
      <c r="H396" s="3275" t="s">
        <v>3300</v>
      </c>
      <c r="I396" s="3275" t="s">
        <v>3325</v>
      </c>
      <c r="J396" s="3269"/>
      <c r="K396" s="3269">
        <v>39.869999999999997</v>
      </c>
      <c r="L396" s="3276"/>
      <c r="M396" s="3276"/>
      <c r="N396" s="3501"/>
      <c r="O396" s="3503"/>
      <c r="P396" s="3503"/>
      <c r="Q396" s="3276"/>
      <c r="R396" s="3276"/>
    </row>
    <row r="397" spans="1:18">
      <c r="A397" s="3269">
        <v>394</v>
      </c>
      <c r="B397" s="3270">
        <v>2</v>
      </c>
      <c r="C397" s="3270">
        <v>1</v>
      </c>
      <c r="D397" s="3275">
        <v>204</v>
      </c>
      <c r="E397" s="3276">
        <v>1</v>
      </c>
      <c r="F397" s="3276">
        <v>1</v>
      </c>
      <c r="G397" s="3276">
        <v>1</v>
      </c>
      <c r="H397" s="3275" t="s">
        <v>3300</v>
      </c>
      <c r="I397" s="3275" t="s">
        <v>3326</v>
      </c>
      <c r="J397" s="3269"/>
      <c r="K397" s="3269">
        <v>40.32</v>
      </c>
      <c r="L397" s="3276"/>
      <c r="M397" s="3276"/>
      <c r="N397" s="3501"/>
      <c r="O397" s="3503"/>
      <c r="P397" s="3503"/>
      <c r="Q397" s="3276"/>
      <c r="R397" s="3276"/>
    </row>
    <row r="398" spans="1:18">
      <c r="A398" s="3269">
        <v>395</v>
      </c>
      <c r="B398" s="3270">
        <v>2</v>
      </c>
      <c r="C398" s="3270">
        <v>1</v>
      </c>
      <c r="D398" s="3275">
        <v>205</v>
      </c>
      <c r="E398" s="3276">
        <v>1</v>
      </c>
      <c r="F398" s="3276">
        <v>1</v>
      </c>
      <c r="G398" s="3276">
        <v>1</v>
      </c>
      <c r="H398" s="3275" t="s">
        <v>3300</v>
      </c>
      <c r="I398" s="3275" t="s">
        <v>3326</v>
      </c>
      <c r="J398" s="3269"/>
      <c r="K398" s="3269">
        <v>40.32</v>
      </c>
      <c r="L398" s="3276"/>
      <c r="M398" s="3276"/>
      <c r="N398" s="3501"/>
      <c r="O398" s="3503"/>
      <c r="P398" s="3503"/>
      <c r="Q398" s="3276"/>
      <c r="R398" s="3276"/>
    </row>
    <row r="399" spans="1:18">
      <c r="A399" s="3269">
        <v>396</v>
      </c>
      <c r="B399" s="3270">
        <v>2</v>
      </c>
      <c r="C399" s="3270">
        <v>1</v>
      </c>
      <c r="D399" s="3275">
        <v>206</v>
      </c>
      <c r="E399" s="3276">
        <v>1</v>
      </c>
      <c r="F399" s="3276">
        <v>1</v>
      </c>
      <c r="G399" s="3276">
        <v>1</v>
      </c>
      <c r="H399" s="3275" t="s">
        <v>3300</v>
      </c>
      <c r="I399" s="3275" t="s">
        <v>3327</v>
      </c>
      <c r="J399" s="3269"/>
      <c r="K399" s="3269">
        <v>39.97</v>
      </c>
      <c r="L399" s="3276"/>
      <c r="M399" s="3276"/>
      <c r="N399" s="3501"/>
      <c r="O399" s="3503"/>
      <c r="P399" s="3503"/>
      <c r="Q399" s="3276"/>
      <c r="R399" s="3276"/>
    </row>
    <row r="400" spans="1:18">
      <c r="A400" s="3269">
        <v>397</v>
      </c>
      <c r="B400" s="3270">
        <v>2</v>
      </c>
      <c r="C400" s="3270">
        <v>1</v>
      </c>
      <c r="D400" s="3275">
        <v>207</v>
      </c>
      <c r="E400" s="3276">
        <v>2</v>
      </c>
      <c r="F400" s="3276">
        <v>1</v>
      </c>
      <c r="G400" s="3276">
        <v>1</v>
      </c>
      <c r="H400" s="3275" t="s">
        <v>3300</v>
      </c>
      <c r="I400" s="3275" t="s">
        <v>3313</v>
      </c>
      <c r="J400" s="3269"/>
      <c r="K400" s="3277">
        <v>67.27</v>
      </c>
      <c r="L400" s="3276"/>
      <c r="M400" s="3276"/>
      <c r="N400" s="3501"/>
      <c r="O400" s="3503"/>
      <c r="P400" s="3503"/>
      <c r="Q400" s="3276"/>
      <c r="R400" s="3276"/>
    </row>
    <row r="401" spans="1:18">
      <c r="A401" s="3269">
        <v>398</v>
      </c>
      <c r="B401" s="3270">
        <v>2</v>
      </c>
      <c r="C401" s="3270">
        <v>1</v>
      </c>
      <c r="D401" s="3275">
        <v>208</v>
      </c>
      <c r="E401" s="3276">
        <v>1</v>
      </c>
      <c r="F401" s="3276">
        <v>1</v>
      </c>
      <c r="G401" s="3276">
        <v>1</v>
      </c>
      <c r="H401" s="3275" t="s">
        <v>3302</v>
      </c>
      <c r="I401" s="3275" t="s">
        <v>3311</v>
      </c>
      <c r="J401" s="3269"/>
      <c r="K401" s="3277">
        <v>38.54</v>
      </c>
      <c r="L401" s="3276"/>
      <c r="M401" s="3276"/>
      <c r="N401" s="3501"/>
      <c r="O401" s="3503"/>
      <c r="P401" s="3503"/>
      <c r="Q401" s="3276"/>
      <c r="R401" s="3276"/>
    </row>
    <row r="402" spans="1:18">
      <c r="A402" s="3269">
        <v>399</v>
      </c>
      <c r="B402" s="3270">
        <v>2</v>
      </c>
      <c r="C402" s="3270">
        <v>1</v>
      </c>
      <c r="D402" s="3275">
        <v>209</v>
      </c>
      <c r="E402" s="3276">
        <v>1</v>
      </c>
      <c r="F402" s="3276">
        <v>1</v>
      </c>
      <c r="G402" s="3276">
        <v>1</v>
      </c>
      <c r="H402" s="3275" t="s">
        <v>3304</v>
      </c>
      <c r="I402" s="3275" t="s">
        <v>3328</v>
      </c>
      <c r="J402" s="3269"/>
      <c r="K402" s="3277">
        <v>39.96</v>
      </c>
      <c r="L402" s="3276"/>
      <c r="M402" s="3276"/>
      <c r="N402" s="3501"/>
      <c r="O402" s="3503"/>
      <c r="P402" s="3503"/>
      <c r="Q402" s="3276"/>
      <c r="R402" s="3276"/>
    </row>
    <row r="403" spans="1:18">
      <c r="A403" s="3269">
        <v>400</v>
      </c>
      <c r="B403" s="3270">
        <v>2</v>
      </c>
      <c r="C403" s="3270">
        <v>1</v>
      </c>
      <c r="D403" s="3275">
        <v>210</v>
      </c>
      <c r="E403" s="3276">
        <v>1</v>
      </c>
      <c r="F403" s="3276">
        <v>1</v>
      </c>
      <c r="G403" s="3276">
        <v>1</v>
      </c>
      <c r="H403" s="3275" t="s">
        <v>3304</v>
      </c>
      <c r="I403" s="3275" t="s">
        <v>3325</v>
      </c>
      <c r="J403" s="3269"/>
      <c r="K403" s="3269">
        <v>39.869999999999997</v>
      </c>
      <c r="L403" s="3276"/>
      <c r="M403" s="3276"/>
      <c r="N403" s="3501"/>
      <c r="O403" s="3503"/>
      <c r="P403" s="3503"/>
      <c r="Q403" s="3276"/>
      <c r="R403" s="3276"/>
    </row>
    <row r="404" spans="1:18">
      <c r="A404" s="3269">
        <v>401</v>
      </c>
      <c r="B404" s="3270">
        <v>2</v>
      </c>
      <c r="C404" s="3270">
        <v>1</v>
      </c>
      <c r="D404" s="3275">
        <v>211</v>
      </c>
      <c r="E404" s="3276">
        <v>1</v>
      </c>
      <c r="F404" s="3276">
        <v>0</v>
      </c>
      <c r="G404" s="3276">
        <v>1</v>
      </c>
      <c r="H404" s="3275" t="s">
        <v>3304</v>
      </c>
      <c r="I404" s="3275" t="s">
        <v>3329</v>
      </c>
      <c r="J404" s="3269"/>
      <c r="K404" s="3269">
        <v>31.98</v>
      </c>
      <c r="L404" s="3276"/>
      <c r="M404" s="3276"/>
      <c r="N404" s="3501"/>
      <c r="O404" s="3503"/>
      <c r="P404" s="3503"/>
      <c r="Q404" s="3276"/>
      <c r="R404" s="3276"/>
    </row>
    <row r="405" spans="1:18">
      <c r="A405" s="3269">
        <v>402</v>
      </c>
      <c r="B405" s="3270">
        <v>2</v>
      </c>
      <c r="C405" s="3270">
        <v>1</v>
      </c>
      <c r="D405" s="3275">
        <v>212</v>
      </c>
      <c r="E405" s="3276">
        <v>1</v>
      </c>
      <c r="F405" s="3276">
        <v>0</v>
      </c>
      <c r="G405" s="3276">
        <v>1</v>
      </c>
      <c r="H405" s="3275" t="s">
        <v>3304</v>
      </c>
      <c r="I405" s="3275" t="s">
        <v>3330</v>
      </c>
      <c r="J405" s="3269"/>
      <c r="K405" s="3269">
        <v>31.54</v>
      </c>
      <c r="L405" s="3276"/>
      <c r="M405" s="3276"/>
      <c r="N405" s="3501"/>
      <c r="O405" s="3503"/>
      <c r="P405" s="3503"/>
      <c r="Q405" s="3276"/>
      <c r="R405" s="3276"/>
    </row>
    <row r="406" spans="1:18">
      <c r="A406" s="3269">
        <v>403</v>
      </c>
      <c r="B406" s="3270">
        <v>2</v>
      </c>
      <c r="C406" s="3270">
        <v>1</v>
      </c>
      <c r="D406" s="3275">
        <v>213</v>
      </c>
      <c r="E406" s="3276">
        <v>1</v>
      </c>
      <c r="F406" s="3276">
        <v>0</v>
      </c>
      <c r="G406" s="3276">
        <v>1</v>
      </c>
      <c r="H406" s="3275" t="s">
        <v>3304</v>
      </c>
      <c r="I406" s="3275" t="s">
        <v>3330</v>
      </c>
      <c r="J406" s="3269"/>
      <c r="K406" s="3269">
        <v>31.54</v>
      </c>
      <c r="L406" s="3276"/>
      <c r="M406" s="3276"/>
      <c r="N406" s="3501"/>
      <c r="O406" s="3503"/>
      <c r="P406" s="3503"/>
      <c r="Q406" s="3276"/>
      <c r="R406" s="3276"/>
    </row>
    <row r="407" spans="1:18">
      <c r="A407" s="3269">
        <v>404</v>
      </c>
      <c r="B407" s="3270">
        <v>2</v>
      </c>
      <c r="C407" s="3270">
        <v>1</v>
      </c>
      <c r="D407" s="3275">
        <v>214</v>
      </c>
      <c r="E407" s="3276">
        <v>1</v>
      </c>
      <c r="F407" s="3276">
        <v>0</v>
      </c>
      <c r="G407" s="3276">
        <v>1</v>
      </c>
      <c r="H407" s="3275" t="s">
        <v>3304</v>
      </c>
      <c r="I407" s="3275" t="s">
        <v>3330</v>
      </c>
      <c r="J407" s="3269"/>
      <c r="K407" s="3269">
        <v>31.54</v>
      </c>
      <c r="L407" s="3276"/>
      <c r="M407" s="3276"/>
      <c r="N407" s="3501"/>
      <c r="O407" s="3503"/>
      <c r="P407" s="3503"/>
      <c r="Q407" s="3276"/>
      <c r="R407" s="3276"/>
    </row>
    <row r="408" spans="1:18">
      <c r="A408" s="3269">
        <v>405</v>
      </c>
      <c r="B408" s="3270">
        <v>2</v>
      </c>
      <c r="C408" s="3270">
        <v>1</v>
      </c>
      <c r="D408" s="3275">
        <v>215</v>
      </c>
      <c r="E408" s="3276">
        <v>1</v>
      </c>
      <c r="F408" s="3276">
        <v>0</v>
      </c>
      <c r="G408" s="3276">
        <v>1</v>
      </c>
      <c r="H408" s="3275" t="s">
        <v>3304</v>
      </c>
      <c r="I408" s="3275" t="s">
        <v>3330</v>
      </c>
      <c r="J408" s="3269"/>
      <c r="K408" s="3269">
        <v>31.54</v>
      </c>
      <c r="L408" s="3276"/>
      <c r="M408" s="3276"/>
      <c r="N408" s="3501"/>
      <c r="O408" s="3503"/>
      <c r="P408" s="3503"/>
      <c r="Q408" s="3276"/>
      <c r="R408" s="3276"/>
    </row>
    <row r="409" spans="1:18">
      <c r="A409" s="3269">
        <v>406</v>
      </c>
      <c r="B409" s="3270">
        <v>2</v>
      </c>
      <c r="C409" s="3270">
        <v>1</v>
      </c>
      <c r="D409" s="3275">
        <v>216</v>
      </c>
      <c r="E409" s="3276">
        <v>1</v>
      </c>
      <c r="F409" s="3276">
        <v>0</v>
      </c>
      <c r="G409" s="3276">
        <v>1</v>
      </c>
      <c r="H409" s="3278" t="s">
        <v>3304</v>
      </c>
      <c r="I409" s="3275" t="s">
        <v>3330</v>
      </c>
      <c r="J409" s="3269"/>
      <c r="K409" s="3269">
        <v>31.54</v>
      </c>
      <c r="L409" s="3276"/>
      <c r="M409" s="3276"/>
      <c r="N409" s="3501"/>
      <c r="O409" s="3503"/>
      <c r="P409" s="3503"/>
      <c r="Q409" s="3276"/>
      <c r="R409" s="3276"/>
    </row>
    <row r="410" spans="1:18">
      <c r="A410" s="3269">
        <v>407</v>
      </c>
      <c r="B410" s="3270">
        <v>2</v>
      </c>
      <c r="C410" s="3270">
        <v>1</v>
      </c>
      <c r="D410" s="3275">
        <v>217</v>
      </c>
      <c r="E410" s="3276">
        <v>1</v>
      </c>
      <c r="F410" s="3276">
        <v>0</v>
      </c>
      <c r="G410" s="3276">
        <v>1</v>
      </c>
      <c r="H410" s="3278" t="s">
        <v>3304</v>
      </c>
      <c r="I410" s="3275" t="s">
        <v>3331</v>
      </c>
      <c r="J410" s="3269"/>
      <c r="K410" s="3269">
        <v>32.26</v>
      </c>
      <c r="L410" s="3276"/>
      <c r="M410" s="3276"/>
      <c r="N410" s="3501"/>
      <c r="O410" s="3503"/>
      <c r="P410" s="3503"/>
      <c r="Q410" s="3276"/>
      <c r="R410" s="3276"/>
    </row>
    <row r="411" spans="1:18">
      <c r="A411" s="3269">
        <v>408</v>
      </c>
      <c r="B411" s="3270">
        <v>2</v>
      </c>
      <c r="C411" s="3270">
        <v>1</v>
      </c>
      <c r="D411" s="3275">
        <v>218</v>
      </c>
      <c r="E411" s="3276">
        <v>1</v>
      </c>
      <c r="F411" s="3276">
        <v>0</v>
      </c>
      <c r="G411" s="3276">
        <v>1</v>
      </c>
      <c r="H411" s="3278" t="s">
        <v>3304</v>
      </c>
      <c r="I411" s="3275" t="s">
        <v>3331</v>
      </c>
      <c r="J411" s="3269"/>
      <c r="K411" s="3269">
        <v>32.26</v>
      </c>
      <c r="L411" s="3276"/>
      <c r="M411" s="3276"/>
      <c r="N411" s="3501"/>
      <c r="O411" s="3503"/>
      <c r="P411" s="3503"/>
      <c r="Q411" s="3276"/>
      <c r="R411" s="3276"/>
    </row>
    <row r="412" spans="1:18">
      <c r="A412" s="3269">
        <v>409</v>
      </c>
      <c r="B412" s="3270">
        <v>2</v>
      </c>
      <c r="C412" s="3270">
        <v>1</v>
      </c>
      <c r="D412" s="3275">
        <v>219</v>
      </c>
      <c r="E412" s="3276">
        <v>1</v>
      </c>
      <c r="F412" s="3276">
        <v>0</v>
      </c>
      <c r="G412" s="3276">
        <v>1</v>
      </c>
      <c r="H412" s="3278" t="s">
        <v>3304</v>
      </c>
      <c r="I412" s="3275" t="s">
        <v>3330</v>
      </c>
      <c r="J412" s="3269"/>
      <c r="K412" s="3269">
        <v>31.54</v>
      </c>
      <c r="L412" s="3276"/>
      <c r="M412" s="3276"/>
      <c r="N412" s="3501"/>
      <c r="O412" s="3503"/>
      <c r="P412" s="3503"/>
      <c r="Q412" s="3276"/>
      <c r="R412" s="3276"/>
    </row>
    <row r="413" spans="1:18">
      <c r="A413" s="3269">
        <v>410</v>
      </c>
      <c r="B413" s="3270">
        <v>2</v>
      </c>
      <c r="C413" s="3270">
        <v>1</v>
      </c>
      <c r="D413" s="3275">
        <v>220</v>
      </c>
      <c r="E413" s="3276">
        <v>1</v>
      </c>
      <c r="F413" s="3276">
        <v>0</v>
      </c>
      <c r="G413" s="3276">
        <v>1</v>
      </c>
      <c r="H413" s="3278" t="s">
        <v>3304</v>
      </c>
      <c r="I413" s="3275" t="s">
        <v>3330</v>
      </c>
      <c r="J413" s="3269"/>
      <c r="K413" s="3269">
        <v>31.54</v>
      </c>
      <c r="L413" s="3276"/>
      <c r="M413" s="3276"/>
      <c r="N413" s="3501"/>
      <c r="O413" s="3503"/>
      <c r="P413" s="3503"/>
      <c r="Q413" s="3276"/>
      <c r="R413" s="3276"/>
    </row>
    <row r="414" spans="1:18">
      <c r="A414" s="3269">
        <v>411</v>
      </c>
      <c r="B414" s="3270">
        <v>2</v>
      </c>
      <c r="C414" s="3270">
        <v>1</v>
      </c>
      <c r="D414" s="3275">
        <v>221</v>
      </c>
      <c r="E414" s="3276">
        <v>1</v>
      </c>
      <c r="F414" s="3276">
        <v>1</v>
      </c>
      <c r="G414" s="3276">
        <v>1</v>
      </c>
      <c r="H414" s="3275" t="s">
        <v>3310</v>
      </c>
      <c r="I414" s="3275" t="s">
        <v>3303</v>
      </c>
      <c r="J414" s="3269"/>
      <c r="K414" s="3277">
        <v>40.520000000000003</v>
      </c>
      <c r="L414" s="3276"/>
      <c r="M414" s="3276"/>
      <c r="N414" s="3501"/>
      <c r="O414" s="3503"/>
      <c r="P414" s="3503"/>
      <c r="Q414" s="3276"/>
      <c r="R414" s="3276"/>
    </row>
    <row r="415" spans="1:18">
      <c r="A415" s="3269">
        <v>412</v>
      </c>
      <c r="B415" s="3270">
        <v>2</v>
      </c>
      <c r="C415" s="3270">
        <v>1</v>
      </c>
      <c r="D415" s="3275">
        <v>222</v>
      </c>
      <c r="E415" s="3276">
        <v>1</v>
      </c>
      <c r="F415" s="3276">
        <v>0</v>
      </c>
      <c r="G415" s="3276">
        <v>1</v>
      </c>
      <c r="H415" s="3275" t="s">
        <v>3312</v>
      </c>
      <c r="I415" s="3275" t="s">
        <v>3323</v>
      </c>
      <c r="J415" s="3269"/>
      <c r="K415" s="3277">
        <v>32.42</v>
      </c>
      <c r="L415" s="3276"/>
      <c r="M415" s="3276"/>
      <c r="N415" s="3501"/>
      <c r="O415" s="3503"/>
      <c r="P415" s="3503"/>
      <c r="Q415" s="3276"/>
      <c r="R415" s="3276"/>
    </row>
    <row r="416" spans="1:18">
      <c r="A416" s="3269">
        <v>413</v>
      </c>
      <c r="B416" s="3270">
        <v>2</v>
      </c>
      <c r="C416" s="3270">
        <v>1</v>
      </c>
      <c r="D416" s="3275">
        <v>223</v>
      </c>
      <c r="E416" s="3276">
        <v>1</v>
      </c>
      <c r="F416" s="3276">
        <v>0</v>
      </c>
      <c r="G416" s="3276">
        <v>1</v>
      </c>
      <c r="H416" s="3275" t="s">
        <v>3332</v>
      </c>
      <c r="I416" s="3275" t="s">
        <v>3333</v>
      </c>
      <c r="J416" s="3269"/>
      <c r="K416" s="3269">
        <v>35.26</v>
      </c>
      <c r="L416" s="3276"/>
      <c r="M416" s="3276"/>
      <c r="N416" s="3501"/>
      <c r="O416" s="3503"/>
      <c r="P416" s="3503"/>
      <c r="Q416" s="3276"/>
      <c r="R416" s="3276"/>
    </row>
    <row r="417" spans="1:18">
      <c r="A417" s="3269">
        <v>414</v>
      </c>
      <c r="B417" s="3270">
        <v>2</v>
      </c>
      <c r="C417" s="3270">
        <v>1</v>
      </c>
      <c r="D417" s="3275">
        <v>224</v>
      </c>
      <c r="E417" s="3276">
        <v>1</v>
      </c>
      <c r="F417" s="3276">
        <v>0</v>
      </c>
      <c r="G417" s="3276">
        <v>1</v>
      </c>
      <c r="H417" s="3275" t="s">
        <v>3332</v>
      </c>
      <c r="I417" s="3275" t="s">
        <v>3334</v>
      </c>
      <c r="J417" s="3269"/>
      <c r="K417" s="3269">
        <v>34.5</v>
      </c>
      <c r="L417" s="3276"/>
      <c r="M417" s="3276"/>
      <c r="N417" s="3501"/>
      <c r="O417" s="3503"/>
      <c r="P417" s="3503"/>
      <c r="Q417" s="3276"/>
      <c r="R417" s="3276"/>
    </row>
    <row r="418" spans="1:18">
      <c r="A418" s="3269">
        <v>415</v>
      </c>
      <c r="B418" s="3270">
        <v>2</v>
      </c>
      <c r="C418" s="3270">
        <v>1</v>
      </c>
      <c r="D418" s="3275">
        <v>225</v>
      </c>
      <c r="E418" s="3276">
        <v>1</v>
      </c>
      <c r="F418" s="3276">
        <v>1</v>
      </c>
      <c r="G418" s="3276">
        <v>1</v>
      </c>
      <c r="H418" s="3275" t="s">
        <v>3332</v>
      </c>
      <c r="I418" s="3275" t="s">
        <v>3335</v>
      </c>
      <c r="J418" s="3269"/>
      <c r="K418" s="3269">
        <v>40.32</v>
      </c>
      <c r="L418" s="3276"/>
      <c r="M418" s="3276"/>
      <c r="N418" s="3501"/>
      <c r="O418" s="3503"/>
      <c r="P418" s="3503"/>
      <c r="Q418" s="3276"/>
      <c r="R418" s="3276"/>
    </row>
    <row r="419" spans="1:18">
      <c r="A419" s="3269">
        <v>416</v>
      </c>
      <c r="B419" s="3270">
        <v>2</v>
      </c>
      <c r="C419" s="3270">
        <v>1</v>
      </c>
      <c r="D419" s="3275">
        <v>226</v>
      </c>
      <c r="E419" s="3276">
        <v>1</v>
      </c>
      <c r="F419" s="3276">
        <v>1</v>
      </c>
      <c r="G419" s="3276">
        <v>1</v>
      </c>
      <c r="H419" s="3275" t="s">
        <v>3332</v>
      </c>
      <c r="I419" s="3275" t="s">
        <v>3335</v>
      </c>
      <c r="J419" s="3269"/>
      <c r="K419" s="3269">
        <v>40.32</v>
      </c>
      <c r="L419" s="3276"/>
      <c r="M419" s="3276"/>
      <c r="N419" s="3501"/>
      <c r="O419" s="3503"/>
      <c r="P419" s="3503"/>
      <c r="Q419" s="3276"/>
      <c r="R419" s="3276"/>
    </row>
    <row r="420" spans="1:18">
      <c r="A420" s="3269">
        <v>417</v>
      </c>
      <c r="B420" s="3270">
        <v>2</v>
      </c>
      <c r="C420" s="3270">
        <v>1</v>
      </c>
      <c r="D420" s="3275">
        <v>227</v>
      </c>
      <c r="E420" s="3276">
        <v>1</v>
      </c>
      <c r="F420" s="3276">
        <v>1</v>
      </c>
      <c r="G420" s="3276">
        <v>1</v>
      </c>
      <c r="H420" s="3275" t="s">
        <v>3332</v>
      </c>
      <c r="I420" s="3275" t="s">
        <v>3335</v>
      </c>
      <c r="J420" s="3269"/>
      <c r="K420" s="3269">
        <v>40.32</v>
      </c>
      <c r="L420" s="3276"/>
      <c r="M420" s="3276"/>
      <c r="N420" s="3501"/>
      <c r="O420" s="3503"/>
      <c r="P420" s="3503"/>
      <c r="Q420" s="3276"/>
      <c r="R420" s="3276"/>
    </row>
    <row r="421" spans="1:18">
      <c r="A421" s="3269">
        <v>418</v>
      </c>
      <c r="B421" s="3270">
        <v>2</v>
      </c>
      <c r="C421" s="3270">
        <v>1</v>
      </c>
      <c r="D421" s="3275">
        <v>228</v>
      </c>
      <c r="E421" s="3276">
        <v>1</v>
      </c>
      <c r="F421" s="3276">
        <v>1</v>
      </c>
      <c r="G421" s="3276">
        <v>1</v>
      </c>
      <c r="H421" s="3275" t="s">
        <v>3332</v>
      </c>
      <c r="I421" s="3275" t="s">
        <v>3335</v>
      </c>
      <c r="J421" s="3269"/>
      <c r="K421" s="3269">
        <v>40.32</v>
      </c>
      <c r="L421" s="3276"/>
      <c r="M421" s="3276"/>
      <c r="N421" s="3501"/>
      <c r="O421" s="3503"/>
      <c r="P421" s="3503"/>
      <c r="Q421" s="3276"/>
      <c r="R421" s="3276"/>
    </row>
    <row r="422" spans="1:18">
      <c r="A422" s="3269">
        <v>419</v>
      </c>
      <c r="B422" s="3270">
        <v>2</v>
      </c>
      <c r="C422" s="3270">
        <v>1</v>
      </c>
      <c r="D422" s="3275">
        <v>229</v>
      </c>
      <c r="E422" s="3276">
        <v>1</v>
      </c>
      <c r="F422" s="3276">
        <v>1</v>
      </c>
      <c r="G422" s="3276">
        <v>1</v>
      </c>
      <c r="H422" s="3275" t="s">
        <v>3332</v>
      </c>
      <c r="I422" s="3275" t="s">
        <v>3335</v>
      </c>
      <c r="J422" s="3269"/>
      <c r="K422" s="3269">
        <v>40.32</v>
      </c>
      <c r="L422" s="3276"/>
      <c r="M422" s="3276"/>
      <c r="N422" s="3501"/>
      <c r="O422" s="3503"/>
      <c r="P422" s="3503"/>
      <c r="Q422" s="3276"/>
      <c r="R422" s="3276"/>
    </row>
    <row r="423" spans="1:18">
      <c r="A423" s="3269">
        <v>420</v>
      </c>
      <c r="B423" s="3270">
        <v>2</v>
      </c>
      <c r="C423" s="3270">
        <v>1</v>
      </c>
      <c r="D423" s="3275">
        <v>230</v>
      </c>
      <c r="E423" s="3276">
        <v>1</v>
      </c>
      <c r="F423" s="3276">
        <v>1</v>
      </c>
      <c r="G423" s="3276">
        <v>1</v>
      </c>
      <c r="H423" s="3275" t="s">
        <v>3332</v>
      </c>
      <c r="I423" s="3275" t="s">
        <v>3335</v>
      </c>
      <c r="J423" s="3269"/>
      <c r="K423" s="3269">
        <v>40.32</v>
      </c>
      <c r="L423" s="3276"/>
      <c r="M423" s="3276"/>
      <c r="N423" s="3501"/>
      <c r="O423" s="3503"/>
      <c r="P423" s="3503"/>
      <c r="Q423" s="3276"/>
      <c r="R423" s="3276"/>
    </row>
    <row r="424" spans="1:18">
      <c r="A424" s="3269">
        <v>421</v>
      </c>
      <c r="B424" s="3270">
        <v>2</v>
      </c>
      <c r="C424" s="3270">
        <v>1</v>
      </c>
      <c r="D424" s="3275">
        <v>231</v>
      </c>
      <c r="E424" s="3276">
        <v>1</v>
      </c>
      <c r="F424" s="3276">
        <v>1</v>
      </c>
      <c r="G424" s="3276">
        <v>1</v>
      </c>
      <c r="H424" s="3275" t="s">
        <v>3332</v>
      </c>
      <c r="I424" s="3275" t="s">
        <v>3335</v>
      </c>
      <c r="J424" s="3269"/>
      <c r="K424" s="3269">
        <v>40.32</v>
      </c>
      <c r="L424" s="3276"/>
      <c r="M424" s="3276"/>
      <c r="N424" s="3501"/>
      <c r="O424" s="3503"/>
      <c r="P424" s="3503"/>
      <c r="Q424" s="3276"/>
      <c r="R424" s="3276"/>
    </row>
    <row r="425" spans="1:18">
      <c r="A425" s="3269">
        <v>422</v>
      </c>
      <c r="B425" s="3270">
        <v>2</v>
      </c>
      <c r="C425" s="3270">
        <v>1</v>
      </c>
      <c r="D425" s="3275">
        <v>232</v>
      </c>
      <c r="E425" s="3276">
        <v>1</v>
      </c>
      <c r="F425" s="3276">
        <v>1</v>
      </c>
      <c r="G425" s="3276">
        <v>1</v>
      </c>
      <c r="H425" s="3275" t="s">
        <v>3332</v>
      </c>
      <c r="I425" s="3275" t="s">
        <v>3335</v>
      </c>
      <c r="J425" s="3269"/>
      <c r="K425" s="3269">
        <v>40.32</v>
      </c>
      <c r="L425" s="3276"/>
      <c r="M425" s="3276"/>
      <c r="N425" s="3501"/>
      <c r="O425" s="3503"/>
      <c r="P425" s="3503"/>
      <c r="Q425" s="3276"/>
      <c r="R425" s="3276"/>
    </row>
    <row r="426" spans="1:18">
      <c r="A426" s="3269">
        <v>423</v>
      </c>
      <c r="B426" s="3270">
        <v>2</v>
      </c>
      <c r="C426" s="3270">
        <v>1</v>
      </c>
      <c r="D426" s="3275">
        <v>233</v>
      </c>
      <c r="E426" s="3276">
        <v>1</v>
      </c>
      <c r="F426" s="3276">
        <v>1</v>
      </c>
      <c r="G426" s="3276">
        <v>1</v>
      </c>
      <c r="H426" s="3275" t="s">
        <v>3332</v>
      </c>
      <c r="I426" s="3275" t="s">
        <v>3335</v>
      </c>
      <c r="J426" s="3269"/>
      <c r="K426" s="3269">
        <v>40.32</v>
      </c>
      <c r="L426" s="3276"/>
      <c r="M426" s="3276"/>
      <c r="N426" s="3501"/>
      <c r="O426" s="3503"/>
      <c r="P426" s="3503"/>
      <c r="Q426" s="3276"/>
      <c r="R426" s="3276"/>
    </row>
    <row r="427" spans="1:18">
      <c r="A427" s="3269">
        <v>424</v>
      </c>
      <c r="B427" s="3270">
        <v>2</v>
      </c>
      <c r="C427" s="3270">
        <v>1</v>
      </c>
      <c r="D427" s="3275">
        <v>234</v>
      </c>
      <c r="E427" s="3276">
        <v>1</v>
      </c>
      <c r="F427" s="3276">
        <v>1</v>
      </c>
      <c r="G427" s="3276">
        <v>1</v>
      </c>
      <c r="H427" s="3275" t="s">
        <v>3332</v>
      </c>
      <c r="I427" s="3275" t="s">
        <v>3335</v>
      </c>
      <c r="J427" s="3269"/>
      <c r="K427" s="3269">
        <v>40.32</v>
      </c>
      <c r="L427" s="3276"/>
      <c r="M427" s="3276"/>
      <c r="N427" s="3501"/>
      <c r="O427" s="3503"/>
      <c r="P427" s="3503"/>
      <c r="Q427" s="3276"/>
      <c r="R427" s="3276"/>
    </row>
    <row r="428" spans="1:18">
      <c r="A428" s="3269">
        <v>425</v>
      </c>
      <c r="B428" s="3270">
        <v>2</v>
      </c>
      <c r="C428" s="3270">
        <v>1</v>
      </c>
      <c r="D428" s="3275">
        <v>235</v>
      </c>
      <c r="E428" s="3276">
        <v>1</v>
      </c>
      <c r="F428" s="3276">
        <v>1</v>
      </c>
      <c r="G428" s="3276">
        <v>1</v>
      </c>
      <c r="H428" s="3275" t="s">
        <v>3332</v>
      </c>
      <c r="I428" s="3275" t="s">
        <v>3336</v>
      </c>
      <c r="J428" s="3269"/>
      <c r="K428" s="3269">
        <v>42.56</v>
      </c>
      <c r="L428" s="3276"/>
      <c r="M428" s="3276"/>
      <c r="N428" s="3501"/>
      <c r="O428" s="3503"/>
      <c r="P428" s="3503"/>
      <c r="Q428" s="3276"/>
      <c r="R428" s="3276"/>
    </row>
    <row r="429" spans="1:18">
      <c r="A429" s="3269">
        <v>426</v>
      </c>
      <c r="B429" s="3270">
        <v>2</v>
      </c>
      <c r="C429" s="3270">
        <v>1</v>
      </c>
      <c r="D429" s="3275">
        <v>236</v>
      </c>
      <c r="E429" s="3276">
        <v>1</v>
      </c>
      <c r="F429" s="3276">
        <v>1</v>
      </c>
      <c r="G429" s="3276">
        <v>1</v>
      </c>
      <c r="H429" s="3275" t="s">
        <v>3312</v>
      </c>
      <c r="I429" s="3275" t="s">
        <v>3337</v>
      </c>
      <c r="J429" s="3269"/>
      <c r="K429" s="3269">
        <v>40.42</v>
      </c>
      <c r="L429" s="3276"/>
      <c r="M429" s="3276"/>
      <c r="N429" s="3501"/>
      <c r="O429" s="3503"/>
      <c r="P429" s="3503"/>
      <c r="Q429" s="3276"/>
      <c r="R429" s="3276"/>
    </row>
    <row r="430" spans="1:18">
      <c r="A430" s="3269">
        <v>427</v>
      </c>
      <c r="B430" s="3270">
        <v>2</v>
      </c>
      <c r="C430" s="3270">
        <v>1</v>
      </c>
      <c r="D430" s="3275">
        <v>237</v>
      </c>
      <c r="E430" s="3276">
        <v>1</v>
      </c>
      <c r="F430" s="3276">
        <v>1</v>
      </c>
      <c r="G430" s="3276">
        <v>1</v>
      </c>
      <c r="H430" s="3275" t="s">
        <v>3312</v>
      </c>
      <c r="I430" s="3275" t="s">
        <v>3335</v>
      </c>
      <c r="J430" s="3269"/>
      <c r="K430" s="3269">
        <v>40.32</v>
      </c>
      <c r="L430" s="3276"/>
      <c r="M430" s="3276"/>
      <c r="N430" s="3501"/>
      <c r="O430" s="3503"/>
      <c r="P430" s="3503"/>
      <c r="Q430" s="3276"/>
      <c r="R430" s="3276"/>
    </row>
    <row r="431" spans="1:18">
      <c r="A431" s="3269">
        <v>428</v>
      </c>
      <c r="B431" s="3270">
        <v>2</v>
      </c>
      <c r="C431" s="3270">
        <v>1</v>
      </c>
      <c r="D431" s="3275">
        <v>238</v>
      </c>
      <c r="E431" s="3276">
        <v>1</v>
      </c>
      <c r="F431" s="3276">
        <v>1</v>
      </c>
      <c r="G431" s="3276">
        <v>1</v>
      </c>
      <c r="H431" s="3275" t="s">
        <v>3312</v>
      </c>
      <c r="I431" s="3275" t="s">
        <v>3338</v>
      </c>
      <c r="J431" s="3269"/>
      <c r="K431" s="3269">
        <v>32.26</v>
      </c>
      <c r="L431" s="3276"/>
      <c r="M431" s="3276"/>
      <c r="N431" s="3501"/>
      <c r="O431" s="3503"/>
      <c r="P431" s="3503"/>
      <c r="Q431" s="3276"/>
      <c r="R431" s="3276"/>
    </row>
    <row r="432" spans="1:18" ht="14.25" thickBot="1">
      <c r="A432" s="3269">
        <v>429</v>
      </c>
      <c r="B432" s="3270">
        <v>2</v>
      </c>
      <c r="C432" s="3270">
        <v>1</v>
      </c>
      <c r="D432" s="3279">
        <v>239</v>
      </c>
      <c r="E432" s="3280">
        <v>4</v>
      </c>
      <c r="F432" s="3280">
        <v>1</v>
      </c>
      <c r="G432" s="3280">
        <v>1</v>
      </c>
      <c r="H432" s="3279" t="s">
        <v>3316</v>
      </c>
      <c r="I432" s="3279" t="s">
        <v>3319</v>
      </c>
      <c r="J432" s="3281"/>
      <c r="K432" s="3282">
        <v>75.8</v>
      </c>
      <c r="L432" s="3280"/>
      <c r="M432" s="3280"/>
      <c r="N432" s="3502"/>
      <c r="O432" s="3504"/>
      <c r="P432" s="3504"/>
      <c r="Q432" s="3280"/>
      <c r="R432" s="3280"/>
    </row>
    <row r="433" spans="1:18" ht="14.25" thickTop="1">
      <c r="A433" s="3269">
        <v>430</v>
      </c>
      <c r="B433" s="3270">
        <v>2</v>
      </c>
      <c r="C433" s="3270">
        <v>1</v>
      </c>
      <c r="D433" s="3271">
        <v>301</v>
      </c>
      <c r="E433" s="3272">
        <v>4</v>
      </c>
      <c r="F433" s="3272">
        <v>1</v>
      </c>
      <c r="G433" s="3272">
        <v>1</v>
      </c>
      <c r="H433" s="3271" t="s">
        <v>3318</v>
      </c>
      <c r="I433" s="3271" t="s">
        <v>3317</v>
      </c>
      <c r="J433" s="3273"/>
      <c r="K433" s="3274">
        <v>75.8</v>
      </c>
      <c r="L433" s="3272"/>
      <c r="M433" s="3272"/>
      <c r="N433" s="3500">
        <v>2.9</v>
      </c>
      <c r="O433" s="3500" t="s">
        <v>3297</v>
      </c>
      <c r="P433" s="3500" t="s">
        <v>3298</v>
      </c>
      <c r="Q433" s="3272"/>
      <c r="R433" s="3272"/>
    </row>
    <row r="434" spans="1:18">
      <c r="A434" s="3269">
        <v>431</v>
      </c>
      <c r="B434" s="3270">
        <v>2</v>
      </c>
      <c r="C434" s="3270">
        <v>1</v>
      </c>
      <c r="D434" s="3275">
        <v>302</v>
      </c>
      <c r="E434" s="3276">
        <v>1</v>
      </c>
      <c r="F434" s="3276">
        <v>1</v>
      </c>
      <c r="G434" s="3276">
        <v>1</v>
      </c>
      <c r="H434" s="3275" t="s">
        <v>3300</v>
      </c>
      <c r="I434" s="3275" t="s">
        <v>3324</v>
      </c>
      <c r="J434" s="3269"/>
      <c r="K434" s="3277">
        <v>41.22</v>
      </c>
      <c r="L434" s="3276"/>
      <c r="M434" s="3276"/>
      <c r="N434" s="3501"/>
      <c r="O434" s="3503"/>
      <c r="P434" s="3503"/>
      <c r="Q434" s="3276"/>
      <c r="R434" s="3276"/>
    </row>
    <row r="435" spans="1:18">
      <c r="A435" s="3269">
        <v>432</v>
      </c>
      <c r="B435" s="3270">
        <v>2</v>
      </c>
      <c r="C435" s="3270">
        <v>1</v>
      </c>
      <c r="D435" s="3275">
        <v>303</v>
      </c>
      <c r="E435" s="3276">
        <v>1</v>
      </c>
      <c r="F435" s="3276">
        <v>1</v>
      </c>
      <c r="G435" s="3276">
        <v>1</v>
      </c>
      <c r="H435" s="3275" t="s">
        <v>3300</v>
      </c>
      <c r="I435" s="3275" t="s">
        <v>3325</v>
      </c>
      <c r="J435" s="3269"/>
      <c r="K435" s="3269">
        <v>39.869999999999997</v>
      </c>
      <c r="L435" s="3276"/>
      <c r="M435" s="3276"/>
      <c r="N435" s="3501"/>
      <c r="O435" s="3503"/>
      <c r="P435" s="3503"/>
      <c r="Q435" s="3276"/>
      <c r="R435" s="3276"/>
    </row>
    <row r="436" spans="1:18">
      <c r="A436" s="3269">
        <v>433</v>
      </c>
      <c r="B436" s="3270">
        <v>2</v>
      </c>
      <c r="C436" s="3270">
        <v>1</v>
      </c>
      <c r="D436" s="3275">
        <v>304</v>
      </c>
      <c r="E436" s="3276">
        <v>1</v>
      </c>
      <c r="F436" s="3276">
        <v>1</v>
      </c>
      <c r="G436" s="3276">
        <v>1</v>
      </c>
      <c r="H436" s="3275" t="s">
        <v>3300</v>
      </c>
      <c r="I436" s="3275" t="s">
        <v>3326</v>
      </c>
      <c r="J436" s="3269"/>
      <c r="K436" s="3269">
        <v>40.32</v>
      </c>
      <c r="L436" s="3276"/>
      <c r="M436" s="3276"/>
      <c r="N436" s="3501"/>
      <c r="O436" s="3503"/>
      <c r="P436" s="3503"/>
      <c r="Q436" s="3276"/>
      <c r="R436" s="3276"/>
    </row>
    <row r="437" spans="1:18">
      <c r="A437" s="3269">
        <v>434</v>
      </c>
      <c r="B437" s="3270">
        <v>2</v>
      </c>
      <c r="C437" s="3270">
        <v>1</v>
      </c>
      <c r="D437" s="3275">
        <v>305</v>
      </c>
      <c r="E437" s="3276">
        <v>1</v>
      </c>
      <c r="F437" s="3276">
        <v>1</v>
      </c>
      <c r="G437" s="3276">
        <v>1</v>
      </c>
      <c r="H437" s="3275" t="s">
        <v>3300</v>
      </c>
      <c r="I437" s="3275" t="s">
        <v>3326</v>
      </c>
      <c r="J437" s="3269"/>
      <c r="K437" s="3269">
        <v>40.32</v>
      </c>
      <c r="L437" s="3276"/>
      <c r="M437" s="3276"/>
      <c r="N437" s="3501"/>
      <c r="O437" s="3503"/>
      <c r="P437" s="3503"/>
      <c r="Q437" s="3276"/>
      <c r="R437" s="3276"/>
    </row>
    <row r="438" spans="1:18">
      <c r="A438" s="3269">
        <v>435</v>
      </c>
      <c r="B438" s="3270">
        <v>2</v>
      </c>
      <c r="C438" s="3270">
        <v>1</v>
      </c>
      <c r="D438" s="3275">
        <v>306</v>
      </c>
      <c r="E438" s="3276">
        <v>1</v>
      </c>
      <c r="F438" s="3276">
        <v>1</v>
      </c>
      <c r="G438" s="3276">
        <v>1</v>
      </c>
      <c r="H438" s="3275" t="s">
        <v>3300</v>
      </c>
      <c r="I438" s="3275" t="s">
        <v>3327</v>
      </c>
      <c r="J438" s="3269"/>
      <c r="K438" s="3269">
        <v>39.97</v>
      </c>
      <c r="L438" s="3276"/>
      <c r="M438" s="3276"/>
      <c r="N438" s="3501"/>
      <c r="O438" s="3503"/>
      <c r="P438" s="3503"/>
      <c r="Q438" s="3276"/>
      <c r="R438" s="3276"/>
    </row>
    <row r="439" spans="1:18">
      <c r="A439" s="3269">
        <v>436</v>
      </c>
      <c r="B439" s="3270">
        <v>2</v>
      </c>
      <c r="C439" s="3270">
        <v>1</v>
      </c>
      <c r="D439" s="3275">
        <v>307</v>
      </c>
      <c r="E439" s="3276">
        <v>2</v>
      </c>
      <c r="F439" s="3276">
        <v>1</v>
      </c>
      <c r="G439" s="3276">
        <v>1</v>
      </c>
      <c r="H439" s="3275" t="s">
        <v>3300</v>
      </c>
      <c r="I439" s="3275" t="s">
        <v>3313</v>
      </c>
      <c r="J439" s="3269"/>
      <c r="K439" s="3277">
        <v>67.27</v>
      </c>
      <c r="L439" s="3276"/>
      <c r="M439" s="3276"/>
      <c r="N439" s="3501"/>
      <c r="O439" s="3503"/>
      <c r="P439" s="3503"/>
      <c r="Q439" s="3276"/>
      <c r="R439" s="3276"/>
    </row>
    <row r="440" spans="1:18">
      <c r="A440" s="3269">
        <v>437</v>
      </c>
      <c r="B440" s="3270">
        <v>2</v>
      </c>
      <c r="C440" s="3270">
        <v>1</v>
      </c>
      <c r="D440" s="3275">
        <v>308</v>
      </c>
      <c r="E440" s="3276">
        <v>1</v>
      </c>
      <c r="F440" s="3276">
        <v>1</v>
      </c>
      <c r="G440" s="3276">
        <v>1</v>
      </c>
      <c r="H440" s="3275" t="s">
        <v>3302</v>
      </c>
      <c r="I440" s="3275" t="s">
        <v>3311</v>
      </c>
      <c r="J440" s="3269"/>
      <c r="K440" s="3277">
        <v>38.54</v>
      </c>
      <c r="L440" s="3276"/>
      <c r="M440" s="3276"/>
      <c r="N440" s="3501"/>
      <c r="O440" s="3503"/>
      <c r="P440" s="3503"/>
      <c r="Q440" s="3276"/>
      <c r="R440" s="3276"/>
    </row>
    <row r="441" spans="1:18">
      <c r="A441" s="3269">
        <v>438</v>
      </c>
      <c r="B441" s="3270">
        <v>2</v>
      </c>
      <c r="C441" s="3270">
        <v>1</v>
      </c>
      <c r="D441" s="3275">
        <v>309</v>
      </c>
      <c r="E441" s="3276">
        <v>1</v>
      </c>
      <c r="F441" s="3276">
        <v>1</v>
      </c>
      <c r="G441" s="3276">
        <v>1</v>
      </c>
      <c r="H441" s="3275" t="s">
        <v>3304</v>
      </c>
      <c r="I441" s="3275" t="s">
        <v>3328</v>
      </c>
      <c r="J441" s="3269"/>
      <c r="K441" s="3277">
        <v>39.96</v>
      </c>
      <c r="L441" s="3276"/>
      <c r="M441" s="3276"/>
      <c r="N441" s="3501"/>
      <c r="O441" s="3503"/>
      <c r="P441" s="3503"/>
      <c r="Q441" s="3276"/>
      <c r="R441" s="3276"/>
    </row>
    <row r="442" spans="1:18">
      <c r="A442" s="3269">
        <v>439</v>
      </c>
      <c r="B442" s="3270">
        <v>2</v>
      </c>
      <c r="C442" s="3270">
        <v>1</v>
      </c>
      <c r="D442" s="3275">
        <v>310</v>
      </c>
      <c r="E442" s="3276">
        <v>1</v>
      </c>
      <c r="F442" s="3276">
        <v>1</v>
      </c>
      <c r="G442" s="3276">
        <v>1</v>
      </c>
      <c r="H442" s="3275" t="s">
        <v>3304</v>
      </c>
      <c r="I442" s="3275" t="s">
        <v>3325</v>
      </c>
      <c r="J442" s="3269"/>
      <c r="K442" s="3269">
        <v>39.869999999999997</v>
      </c>
      <c r="L442" s="3276"/>
      <c r="M442" s="3276"/>
      <c r="N442" s="3501"/>
      <c r="O442" s="3503"/>
      <c r="P442" s="3503"/>
      <c r="Q442" s="3276"/>
      <c r="R442" s="3276"/>
    </row>
    <row r="443" spans="1:18">
      <c r="A443" s="3269">
        <v>440</v>
      </c>
      <c r="B443" s="3270">
        <v>2</v>
      </c>
      <c r="C443" s="3270">
        <v>1</v>
      </c>
      <c r="D443" s="3275">
        <v>311</v>
      </c>
      <c r="E443" s="3276">
        <v>1</v>
      </c>
      <c r="F443" s="3276">
        <v>0</v>
      </c>
      <c r="G443" s="3276">
        <v>1</v>
      </c>
      <c r="H443" s="3275" t="s">
        <v>3304</v>
      </c>
      <c r="I443" s="3275" t="s">
        <v>3329</v>
      </c>
      <c r="J443" s="3269"/>
      <c r="K443" s="3269">
        <v>31.98</v>
      </c>
      <c r="L443" s="3276"/>
      <c r="M443" s="3276"/>
      <c r="N443" s="3501"/>
      <c r="O443" s="3503"/>
      <c r="P443" s="3503"/>
      <c r="Q443" s="3276"/>
      <c r="R443" s="3276"/>
    </row>
    <row r="444" spans="1:18">
      <c r="A444" s="3269">
        <v>441</v>
      </c>
      <c r="B444" s="3270">
        <v>2</v>
      </c>
      <c r="C444" s="3270">
        <v>1</v>
      </c>
      <c r="D444" s="3275">
        <v>312</v>
      </c>
      <c r="E444" s="3276">
        <v>1</v>
      </c>
      <c r="F444" s="3276">
        <v>0</v>
      </c>
      <c r="G444" s="3276">
        <v>1</v>
      </c>
      <c r="H444" s="3275" t="s">
        <v>3304</v>
      </c>
      <c r="I444" s="3275" t="s">
        <v>3330</v>
      </c>
      <c r="J444" s="3269"/>
      <c r="K444" s="3269">
        <v>31.54</v>
      </c>
      <c r="L444" s="3276"/>
      <c r="M444" s="3276"/>
      <c r="N444" s="3501"/>
      <c r="O444" s="3503"/>
      <c r="P444" s="3503"/>
      <c r="Q444" s="3276"/>
      <c r="R444" s="3276"/>
    </row>
    <row r="445" spans="1:18">
      <c r="A445" s="3269">
        <v>442</v>
      </c>
      <c r="B445" s="3270">
        <v>2</v>
      </c>
      <c r="C445" s="3270">
        <v>1</v>
      </c>
      <c r="D445" s="3275">
        <v>313</v>
      </c>
      <c r="E445" s="3276">
        <v>1</v>
      </c>
      <c r="F445" s="3276">
        <v>0</v>
      </c>
      <c r="G445" s="3276">
        <v>1</v>
      </c>
      <c r="H445" s="3275" t="s">
        <v>3304</v>
      </c>
      <c r="I445" s="3275" t="s">
        <v>3330</v>
      </c>
      <c r="J445" s="3269"/>
      <c r="K445" s="3269">
        <v>31.54</v>
      </c>
      <c r="L445" s="3276"/>
      <c r="M445" s="3276"/>
      <c r="N445" s="3501"/>
      <c r="O445" s="3503"/>
      <c r="P445" s="3503"/>
      <c r="Q445" s="3276"/>
      <c r="R445" s="3276"/>
    </row>
    <row r="446" spans="1:18">
      <c r="A446" s="3269">
        <v>443</v>
      </c>
      <c r="B446" s="3270">
        <v>2</v>
      </c>
      <c r="C446" s="3270">
        <v>1</v>
      </c>
      <c r="D446" s="3275">
        <v>314</v>
      </c>
      <c r="E446" s="3276">
        <v>1</v>
      </c>
      <c r="F446" s="3276">
        <v>0</v>
      </c>
      <c r="G446" s="3276">
        <v>1</v>
      </c>
      <c r="H446" s="3275" t="s">
        <v>3304</v>
      </c>
      <c r="I446" s="3275" t="s">
        <v>3330</v>
      </c>
      <c r="J446" s="3269"/>
      <c r="K446" s="3269">
        <v>31.54</v>
      </c>
      <c r="L446" s="3276"/>
      <c r="M446" s="3276"/>
      <c r="N446" s="3501"/>
      <c r="O446" s="3503"/>
      <c r="P446" s="3503"/>
      <c r="Q446" s="3276"/>
      <c r="R446" s="3276"/>
    </row>
    <row r="447" spans="1:18">
      <c r="A447" s="3269">
        <v>444</v>
      </c>
      <c r="B447" s="3270">
        <v>2</v>
      </c>
      <c r="C447" s="3270">
        <v>1</v>
      </c>
      <c r="D447" s="3275">
        <v>315</v>
      </c>
      <c r="E447" s="3276">
        <v>1</v>
      </c>
      <c r="F447" s="3276">
        <v>0</v>
      </c>
      <c r="G447" s="3276">
        <v>1</v>
      </c>
      <c r="H447" s="3275" t="s">
        <v>3304</v>
      </c>
      <c r="I447" s="3275" t="s">
        <v>3330</v>
      </c>
      <c r="J447" s="3269"/>
      <c r="K447" s="3269">
        <v>31.54</v>
      </c>
      <c r="L447" s="3276"/>
      <c r="M447" s="3276"/>
      <c r="N447" s="3501"/>
      <c r="O447" s="3503"/>
      <c r="P447" s="3503"/>
      <c r="Q447" s="3276"/>
      <c r="R447" s="3276"/>
    </row>
    <row r="448" spans="1:18">
      <c r="A448" s="3269">
        <v>445</v>
      </c>
      <c r="B448" s="3270">
        <v>2</v>
      </c>
      <c r="C448" s="3270">
        <v>1</v>
      </c>
      <c r="D448" s="3275">
        <v>316</v>
      </c>
      <c r="E448" s="3276">
        <v>1</v>
      </c>
      <c r="F448" s="3276">
        <v>0</v>
      </c>
      <c r="G448" s="3276">
        <v>1</v>
      </c>
      <c r="H448" s="3278" t="s">
        <v>3304</v>
      </c>
      <c r="I448" s="3275" t="s">
        <v>3330</v>
      </c>
      <c r="J448" s="3269"/>
      <c r="K448" s="3269">
        <v>31.54</v>
      </c>
      <c r="L448" s="3276"/>
      <c r="M448" s="3276"/>
      <c r="N448" s="3501"/>
      <c r="O448" s="3503"/>
      <c r="P448" s="3503"/>
      <c r="Q448" s="3276"/>
      <c r="R448" s="3276"/>
    </row>
    <row r="449" spans="1:18">
      <c r="A449" s="3269">
        <v>446</v>
      </c>
      <c r="B449" s="3270">
        <v>2</v>
      </c>
      <c r="C449" s="3270">
        <v>1</v>
      </c>
      <c r="D449" s="3275">
        <v>317</v>
      </c>
      <c r="E449" s="3276">
        <v>1</v>
      </c>
      <c r="F449" s="3276">
        <v>0</v>
      </c>
      <c r="G449" s="3276">
        <v>1</v>
      </c>
      <c r="H449" s="3278" t="s">
        <v>3304</v>
      </c>
      <c r="I449" s="3275" t="s">
        <v>3331</v>
      </c>
      <c r="J449" s="3269"/>
      <c r="K449" s="3269">
        <v>32.26</v>
      </c>
      <c r="L449" s="3276"/>
      <c r="M449" s="3276"/>
      <c r="N449" s="3501"/>
      <c r="O449" s="3503"/>
      <c r="P449" s="3503"/>
      <c r="Q449" s="3276"/>
      <c r="R449" s="3276"/>
    </row>
    <row r="450" spans="1:18">
      <c r="A450" s="3269">
        <v>447</v>
      </c>
      <c r="B450" s="3270">
        <v>2</v>
      </c>
      <c r="C450" s="3270">
        <v>1</v>
      </c>
      <c r="D450" s="3275">
        <v>318</v>
      </c>
      <c r="E450" s="3276">
        <v>1</v>
      </c>
      <c r="F450" s="3276">
        <v>0</v>
      </c>
      <c r="G450" s="3276">
        <v>1</v>
      </c>
      <c r="H450" s="3278" t="s">
        <v>3304</v>
      </c>
      <c r="I450" s="3275" t="s">
        <v>3331</v>
      </c>
      <c r="J450" s="3269"/>
      <c r="K450" s="3269">
        <v>32.26</v>
      </c>
      <c r="L450" s="3276"/>
      <c r="M450" s="3276"/>
      <c r="N450" s="3501"/>
      <c r="O450" s="3503"/>
      <c r="P450" s="3503"/>
      <c r="Q450" s="3276"/>
      <c r="R450" s="3276"/>
    </row>
    <row r="451" spans="1:18">
      <c r="A451" s="3269">
        <v>448</v>
      </c>
      <c r="B451" s="3270">
        <v>2</v>
      </c>
      <c r="C451" s="3270">
        <v>1</v>
      </c>
      <c r="D451" s="3275">
        <v>319</v>
      </c>
      <c r="E451" s="3276">
        <v>1</v>
      </c>
      <c r="F451" s="3276">
        <v>0</v>
      </c>
      <c r="G451" s="3276">
        <v>1</v>
      </c>
      <c r="H451" s="3278" t="s">
        <v>3304</v>
      </c>
      <c r="I451" s="3275" t="s">
        <v>3330</v>
      </c>
      <c r="J451" s="3269"/>
      <c r="K451" s="3269">
        <v>31.54</v>
      </c>
      <c r="L451" s="3276"/>
      <c r="M451" s="3276"/>
      <c r="N451" s="3501"/>
      <c r="O451" s="3503"/>
      <c r="P451" s="3503"/>
      <c r="Q451" s="3276"/>
      <c r="R451" s="3276"/>
    </row>
    <row r="452" spans="1:18">
      <c r="A452" s="3269">
        <v>449</v>
      </c>
      <c r="B452" s="3270">
        <v>2</v>
      </c>
      <c r="C452" s="3270">
        <v>1</v>
      </c>
      <c r="D452" s="3275">
        <v>320</v>
      </c>
      <c r="E452" s="3276">
        <v>1</v>
      </c>
      <c r="F452" s="3276">
        <v>0</v>
      </c>
      <c r="G452" s="3276">
        <v>1</v>
      </c>
      <c r="H452" s="3278" t="s">
        <v>3304</v>
      </c>
      <c r="I452" s="3275" t="s">
        <v>3330</v>
      </c>
      <c r="J452" s="3269"/>
      <c r="K452" s="3269">
        <v>31.54</v>
      </c>
      <c r="L452" s="3276"/>
      <c r="M452" s="3276"/>
      <c r="N452" s="3501"/>
      <c r="O452" s="3503"/>
      <c r="P452" s="3503"/>
      <c r="Q452" s="3276"/>
      <c r="R452" s="3276"/>
    </row>
    <row r="453" spans="1:18">
      <c r="A453" s="3269">
        <v>450</v>
      </c>
      <c r="B453" s="3270">
        <v>2</v>
      </c>
      <c r="C453" s="3270">
        <v>1</v>
      </c>
      <c r="D453" s="3275">
        <v>321</v>
      </c>
      <c r="E453" s="3276">
        <v>1</v>
      </c>
      <c r="F453" s="3276">
        <v>1</v>
      </c>
      <c r="G453" s="3276">
        <v>1</v>
      </c>
      <c r="H453" s="3275" t="s">
        <v>3310</v>
      </c>
      <c r="I453" s="3275" t="s">
        <v>3303</v>
      </c>
      <c r="J453" s="3269"/>
      <c r="K453" s="3277">
        <v>40.520000000000003</v>
      </c>
      <c r="L453" s="3276"/>
      <c r="M453" s="3276"/>
      <c r="N453" s="3501"/>
      <c r="O453" s="3503"/>
      <c r="P453" s="3503"/>
      <c r="Q453" s="3276"/>
      <c r="R453" s="3276"/>
    </row>
    <row r="454" spans="1:18">
      <c r="A454" s="3269">
        <v>451</v>
      </c>
      <c r="B454" s="3270">
        <v>2</v>
      </c>
      <c r="C454" s="3270">
        <v>1</v>
      </c>
      <c r="D454" s="3275">
        <v>322</v>
      </c>
      <c r="E454" s="3276">
        <v>1</v>
      </c>
      <c r="F454" s="3276">
        <v>0</v>
      </c>
      <c r="G454" s="3276">
        <v>1</v>
      </c>
      <c r="H454" s="3275" t="s">
        <v>3312</v>
      </c>
      <c r="I454" s="3275" t="s">
        <v>3323</v>
      </c>
      <c r="J454" s="3269"/>
      <c r="K454" s="3277">
        <v>32.42</v>
      </c>
      <c r="L454" s="3276"/>
      <c r="M454" s="3276"/>
      <c r="N454" s="3501"/>
      <c r="O454" s="3503"/>
      <c r="P454" s="3503"/>
      <c r="Q454" s="3276"/>
      <c r="R454" s="3276"/>
    </row>
    <row r="455" spans="1:18">
      <c r="A455" s="3269">
        <v>452</v>
      </c>
      <c r="B455" s="3270">
        <v>2</v>
      </c>
      <c r="C455" s="3270">
        <v>1</v>
      </c>
      <c r="D455" s="3275">
        <v>323</v>
      </c>
      <c r="E455" s="3276">
        <v>1</v>
      </c>
      <c r="F455" s="3276">
        <v>0</v>
      </c>
      <c r="G455" s="3276">
        <v>1</v>
      </c>
      <c r="H455" s="3275" t="s">
        <v>3332</v>
      </c>
      <c r="I455" s="3275" t="s">
        <v>3333</v>
      </c>
      <c r="J455" s="3269"/>
      <c r="K455" s="3269">
        <v>35.26</v>
      </c>
      <c r="L455" s="3276"/>
      <c r="M455" s="3276"/>
      <c r="N455" s="3501"/>
      <c r="O455" s="3503"/>
      <c r="P455" s="3503"/>
      <c r="Q455" s="3276"/>
      <c r="R455" s="3276"/>
    </row>
    <row r="456" spans="1:18">
      <c r="A456" s="3269">
        <v>453</v>
      </c>
      <c r="B456" s="3270">
        <v>2</v>
      </c>
      <c r="C456" s="3270">
        <v>1</v>
      </c>
      <c r="D456" s="3275">
        <v>324</v>
      </c>
      <c r="E456" s="3276">
        <v>1</v>
      </c>
      <c r="F456" s="3276">
        <v>0</v>
      </c>
      <c r="G456" s="3276">
        <v>1</v>
      </c>
      <c r="H456" s="3275" t="s">
        <v>3332</v>
      </c>
      <c r="I456" s="3275" t="s">
        <v>3334</v>
      </c>
      <c r="J456" s="3269"/>
      <c r="K456" s="3269">
        <v>34.5</v>
      </c>
      <c r="L456" s="3276"/>
      <c r="M456" s="3276"/>
      <c r="N456" s="3501"/>
      <c r="O456" s="3503"/>
      <c r="P456" s="3503"/>
      <c r="Q456" s="3276"/>
      <c r="R456" s="3276"/>
    </row>
    <row r="457" spans="1:18">
      <c r="A457" s="3269">
        <v>454</v>
      </c>
      <c r="B457" s="3270">
        <v>2</v>
      </c>
      <c r="C457" s="3270">
        <v>1</v>
      </c>
      <c r="D457" s="3275">
        <v>325</v>
      </c>
      <c r="E457" s="3276">
        <v>1</v>
      </c>
      <c r="F457" s="3276">
        <v>1</v>
      </c>
      <c r="G457" s="3276">
        <v>1</v>
      </c>
      <c r="H457" s="3275" t="s">
        <v>3332</v>
      </c>
      <c r="I457" s="3275" t="s">
        <v>3335</v>
      </c>
      <c r="J457" s="3269"/>
      <c r="K457" s="3269">
        <v>40.32</v>
      </c>
      <c r="L457" s="3276"/>
      <c r="M457" s="3276"/>
      <c r="N457" s="3501"/>
      <c r="O457" s="3503"/>
      <c r="P457" s="3503"/>
      <c r="Q457" s="3276"/>
      <c r="R457" s="3276"/>
    </row>
    <row r="458" spans="1:18">
      <c r="A458" s="3269">
        <v>455</v>
      </c>
      <c r="B458" s="3270">
        <v>2</v>
      </c>
      <c r="C458" s="3270">
        <v>1</v>
      </c>
      <c r="D458" s="3275">
        <v>326</v>
      </c>
      <c r="E458" s="3276">
        <v>1</v>
      </c>
      <c r="F458" s="3276">
        <v>1</v>
      </c>
      <c r="G458" s="3276">
        <v>1</v>
      </c>
      <c r="H458" s="3275" t="s">
        <v>3332</v>
      </c>
      <c r="I458" s="3275" t="s">
        <v>3335</v>
      </c>
      <c r="J458" s="3269"/>
      <c r="K458" s="3269">
        <v>40.32</v>
      </c>
      <c r="L458" s="3276"/>
      <c r="M458" s="3276"/>
      <c r="N458" s="3501"/>
      <c r="O458" s="3503"/>
      <c r="P458" s="3503"/>
      <c r="Q458" s="3276"/>
      <c r="R458" s="3276"/>
    </row>
    <row r="459" spans="1:18">
      <c r="A459" s="3269">
        <v>456</v>
      </c>
      <c r="B459" s="3270">
        <v>2</v>
      </c>
      <c r="C459" s="3270">
        <v>1</v>
      </c>
      <c r="D459" s="3275">
        <v>327</v>
      </c>
      <c r="E459" s="3276">
        <v>1</v>
      </c>
      <c r="F459" s="3276">
        <v>1</v>
      </c>
      <c r="G459" s="3276">
        <v>1</v>
      </c>
      <c r="H459" s="3275" t="s">
        <v>3332</v>
      </c>
      <c r="I459" s="3275" t="s">
        <v>3335</v>
      </c>
      <c r="J459" s="3269"/>
      <c r="K459" s="3269">
        <v>40.32</v>
      </c>
      <c r="L459" s="3276"/>
      <c r="M459" s="3276"/>
      <c r="N459" s="3501"/>
      <c r="O459" s="3503"/>
      <c r="P459" s="3503"/>
      <c r="Q459" s="3276"/>
      <c r="R459" s="3276"/>
    </row>
    <row r="460" spans="1:18">
      <c r="A460" s="3269">
        <v>457</v>
      </c>
      <c r="B460" s="3270">
        <v>2</v>
      </c>
      <c r="C460" s="3270">
        <v>1</v>
      </c>
      <c r="D460" s="3275">
        <v>328</v>
      </c>
      <c r="E460" s="3276">
        <v>1</v>
      </c>
      <c r="F460" s="3276">
        <v>1</v>
      </c>
      <c r="G460" s="3276">
        <v>1</v>
      </c>
      <c r="H460" s="3275" t="s">
        <v>3332</v>
      </c>
      <c r="I460" s="3275" t="s">
        <v>3335</v>
      </c>
      <c r="J460" s="3269"/>
      <c r="K460" s="3269">
        <v>40.32</v>
      </c>
      <c r="L460" s="3276"/>
      <c r="M460" s="3276"/>
      <c r="N460" s="3501"/>
      <c r="O460" s="3503"/>
      <c r="P460" s="3503"/>
      <c r="Q460" s="3276"/>
      <c r="R460" s="3276"/>
    </row>
    <row r="461" spans="1:18">
      <c r="A461" s="3269">
        <v>458</v>
      </c>
      <c r="B461" s="3270">
        <v>2</v>
      </c>
      <c r="C461" s="3270">
        <v>1</v>
      </c>
      <c r="D461" s="3275">
        <v>329</v>
      </c>
      <c r="E461" s="3276">
        <v>1</v>
      </c>
      <c r="F461" s="3276">
        <v>1</v>
      </c>
      <c r="G461" s="3276">
        <v>1</v>
      </c>
      <c r="H461" s="3275" t="s">
        <v>3332</v>
      </c>
      <c r="I461" s="3275" t="s">
        <v>3335</v>
      </c>
      <c r="J461" s="3269"/>
      <c r="K461" s="3269">
        <v>40.32</v>
      </c>
      <c r="L461" s="3276"/>
      <c r="M461" s="3276"/>
      <c r="N461" s="3501"/>
      <c r="O461" s="3503"/>
      <c r="P461" s="3503"/>
      <c r="Q461" s="3276"/>
      <c r="R461" s="3276"/>
    </row>
    <row r="462" spans="1:18">
      <c r="A462" s="3269">
        <v>459</v>
      </c>
      <c r="B462" s="3270">
        <v>2</v>
      </c>
      <c r="C462" s="3270">
        <v>1</v>
      </c>
      <c r="D462" s="3275">
        <v>330</v>
      </c>
      <c r="E462" s="3276">
        <v>1</v>
      </c>
      <c r="F462" s="3276">
        <v>1</v>
      </c>
      <c r="G462" s="3276">
        <v>1</v>
      </c>
      <c r="H462" s="3275" t="s">
        <v>3332</v>
      </c>
      <c r="I462" s="3275" t="s">
        <v>3335</v>
      </c>
      <c r="J462" s="3269"/>
      <c r="K462" s="3269">
        <v>40.32</v>
      </c>
      <c r="L462" s="3276"/>
      <c r="M462" s="3276"/>
      <c r="N462" s="3501"/>
      <c r="O462" s="3503"/>
      <c r="P462" s="3503"/>
      <c r="Q462" s="3276"/>
      <c r="R462" s="3276"/>
    </row>
    <row r="463" spans="1:18">
      <c r="A463" s="3269">
        <v>460</v>
      </c>
      <c r="B463" s="3270">
        <v>2</v>
      </c>
      <c r="C463" s="3270">
        <v>1</v>
      </c>
      <c r="D463" s="3275">
        <v>331</v>
      </c>
      <c r="E463" s="3276">
        <v>1</v>
      </c>
      <c r="F463" s="3276">
        <v>1</v>
      </c>
      <c r="G463" s="3276">
        <v>1</v>
      </c>
      <c r="H463" s="3275" t="s">
        <v>3332</v>
      </c>
      <c r="I463" s="3275" t="s">
        <v>3335</v>
      </c>
      <c r="J463" s="3269"/>
      <c r="K463" s="3269">
        <v>40.32</v>
      </c>
      <c r="L463" s="3276"/>
      <c r="M463" s="3276"/>
      <c r="N463" s="3501"/>
      <c r="O463" s="3503"/>
      <c r="P463" s="3503"/>
      <c r="Q463" s="3276"/>
      <c r="R463" s="3276"/>
    </row>
    <row r="464" spans="1:18">
      <c r="A464" s="3269">
        <v>461</v>
      </c>
      <c r="B464" s="3270">
        <v>2</v>
      </c>
      <c r="C464" s="3270">
        <v>1</v>
      </c>
      <c r="D464" s="3275">
        <v>332</v>
      </c>
      <c r="E464" s="3276">
        <v>1</v>
      </c>
      <c r="F464" s="3276">
        <v>1</v>
      </c>
      <c r="G464" s="3276">
        <v>1</v>
      </c>
      <c r="H464" s="3275" t="s">
        <v>3332</v>
      </c>
      <c r="I464" s="3275" t="s">
        <v>3335</v>
      </c>
      <c r="J464" s="3269"/>
      <c r="K464" s="3269">
        <v>40.32</v>
      </c>
      <c r="L464" s="3276"/>
      <c r="M464" s="3276"/>
      <c r="N464" s="3501"/>
      <c r="O464" s="3503"/>
      <c r="P464" s="3503"/>
      <c r="Q464" s="3276"/>
      <c r="R464" s="3276"/>
    </row>
    <row r="465" spans="1:18">
      <c r="A465" s="3269">
        <v>462</v>
      </c>
      <c r="B465" s="3270">
        <v>2</v>
      </c>
      <c r="C465" s="3270">
        <v>1</v>
      </c>
      <c r="D465" s="3275">
        <v>333</v>
      </c>
      <c r="E465" s="3276">
        <v>1</v>
      </c>
      <c r="F465" s="3276">
        <v>1</v>
      </c>
      <c r="G465" s="3276">
        <v>1</v>
      </c>
      <c r="H465" s="3275" t="s">
        <v>3332</v>
      </c>
      <c r="I465" s="3275" t="s">
        <v>3335</v>
      </c>
      <c r="J465" s="3269"/>
      <c r="K465" s="3269">
        <v>40.32</v>
      </c>
      <c r="L465" s="3276"/>
      <c r="M465" s="3276"/>
      <c r="N465" s="3501"/>
      <c r="O465" s="3503"/>
      <c r="P465" s="3503"/>
      <c r="Q465" s="3276"/>
      <c r="R465" s="3276"/>
    </row>
    <row r="466" spans="1:18">
      <c r="A466" s="3269">
        <v>463</v>
      </c>
      <c r="B466" s="3270">
        <v>2</v>
      </c>
      <c r="C466" s="3270">
        <v>1</v>
      </c>
      <c r="D466" s="3275">
        <v>334</v>
      </c>
      <c r="E466" s="3276">
        <v>1</v>
      </c>
      <c r="F466" s="3276">
        <v>1</v>
      </c>
      <c r="G466" s="3276">
        <v>1</v>
      </c>
      <c r="H466" s="3275" t="s">
        <v>3332</v>
      </c>
      <c r="I466" s="3275" t="s">
        <v>3335</v>
      </c>
      <c r="J466" s="3269"/>
      <c r="K466" s="3269">
        <v>40.32</v>
      </c>
      <c r="L466" s="3276"/>
      <c r="M466" s="3276"/>
      <c r="N466" s="3501"/>
      <c r="O466" s="3503"/>
      <c r="P466" s="3503"/>
      <c r="Q466" s="3276"/>
      <c r="R466" s="3276"/>
    </row>
    <row r="467" spans="1:18">
      <c r="A467" s="3269">
        <v>464</v>
      </c>
      <c r="B467" s="3270">
        <v>2</v>
      </c>
      <c r="C467" s="3270">
        <v>1</v>
      </c>
      <c r="D467" s="3275">
        <v>335</v>
      </c>
      <c r="E467" s="3276">
        <v>1</v>
      </c>
      <c r="F467" s="3276">
        <v>1</v>
      </c>
      <c r="G467" s="3276">
        <v>1</v>
      </c>
      <c r="H467" s="3275" t="s">
        <v>3332</v>
      </c>
      <c r="I467" s="3275" t="s">
        <v>3336</v>
      </c>
      <c r="J467" s="3269"/>
      <c r="K467" s="3269">
        <v>42.56</v>
      </c>
      <c r="L467" s="3276"/>
      <c r="M467" s="3276"/>
      <c r="N467" s="3501"/>
      <c r="O467" s="3503"/>
      <c r="P467" s="3503"/>
      <c r="Q467" s="3276"/>
      <c r="R467" s="3276"/>
    </row>
    <row r="468" spans="1:18">
      <c r="A468" s="3269">
        <v>465</v>
      </c>
      <c r="B468" s="3270">
        <v>2</v>
      </c>
      <c r="C468" s="3270">
        <v>1</v>
      </c>
      <c r="D468" s="3275">
        <v>336</v>
      </c>
      <c r="E468" s="3276">
        <v>1</v>
      </c>
      <c r="F468" s="3276">
        <v>1</v>
      </c>
      <c r="G468" s="3276">
        <v>1</v>
      </c>
      <c r="H468" s="3275" t="s">
        <v>3312</v>
      </c>
      <c r="I468" s="3275" t="s">
        <v>3337</v>
      </c>
      <c r="J468" s="3269"/>
      <c r="K468" s="3269">
        <v>40.42</v>
      </c>
      <c r="L468" s="3276"/>
      <c r="M468" s="3276"/>
      <c r="N468" s="3501"/>
      <c r="O468" s="3503"/>
      <c r="P468" s="3503"/>
      <c r="Q468" s="3276"/>
      <c r="R468" s="3276"/>
    </row>
    <row r="469" spans="1:18">
      <c r="A469" s="3269">
        <v>466</v>
      </c>
      <c r="B469" s="3270">
        <v>2</v>
      </c>
      <c r="C469" s="3270">
        <v>1</v>
      </c>
      <c r="D469" s="3275">
        <v>337</v>
      </c>
      <c r="E469" s="3276">
        <v>1</v>
      </c>
      <c r="F469" s="3276">
        <v>1</v>
      </c>
      <c r="G469" s="3276">
        <v>1</v>
      </c>
      <c r="H469" s="3275" t="s">
        <v>3312</v>
      </c>
      <c r="I469" s="3275" t="s">
        <v>3335</v>
      </c>
      <c r="J469" s="3269"/>
      <c r="K469" s="3269">
        <v>40.32</v>
      </c>
      <c r="L469" s="3276"/>
      <c r="M469" s="3276"/>
      <c r="N469" s="3501"/>
      <c r="O469" s="3503"/>
      <c r="P469" s="3503"/>
      <c r="Q469" s="3276"/>
      <c r="R469" s="3276"/>
    </row>
    <row r="470" spans="1:18">
      <c r="A470" s="3269">
        <v>467</v>
      </c>
      <c r="B470" s="3270">
        <v>2</v>
      </c>
      <c r="C470" s="3270">
        <v>1</v>
      </c>
      <c r="D470" s="3275">
        <v>338</v>
      </c>
      <c r="E470" s="3276">
        <v>1</v>
      </c>
      <c r="F470" s="3276">
        <v>1</v>
      </c>
      <c r="G470" s="3276">
        <v>1</v>
      </c>
      <c r="H470" s="3275" t="s">
        <v>3312</v>
      </c>
      <c r="I470" s="3275" t="s">
        <v>3338</v>
      </c>
      <c r="J470" s="3269"/>
      <c r="K470" s="3269">
        <v>32.26</v>
      </c>
      <c r="L470" s="3276"/>
      <c r="M470" s="3276"/>
      <c r="N470" s="3501"/>
      <c r="O470" s="3503"/>
      <c r="P470" s="3503"/>
      <c r="Q470" s="3276"/>
      <c r="R470" s="3276"/>
    </row>
    <row r="471" spans="1:18" ht="14.25" thickBot="1">
      <c r="A471" s="3269">
        <v>468</v>
      </c>
      <c r="B471" s="3270">
        <v>2</v>
      </c>
      <c r="C471" s="3270">
        <v>1</v>
      </c>
      <c r="D471" s="3283">
        <v>339</v>
      </c>
      <c r="E471" s="3280">
        <v>4</v>
      </c>
      <c r="F471" s="3280">
        <v>1</v>
      </c>
      <c r="G471" s="3280">
        <v>1</v>
      </c>
      <c r="H471" s="3279" t="s">
        <v>3316</v>
      </c>
      <c r="I471" s="3279" t="s">
        <v>3319</v>
      </c>
      <c r="J471" s="3281"/>
      <c r="K471" s="3282">
        <v>75.8</v>
      </c>
      <c r="L471" s="3280"/>
      <c r="M471" s="3280"/>
      <c r="N471" s="3502"/>
      <c r="O471" s="3504"/>
      <c r="P471" s="3504"/>
      <c r="Q471" s="3280"/>
      <c r="R471" s="3280"/>
    </row>
    <row r="472" spans="1:18" ht="14.25" thickTop="1">
      <c r="A472" s="3269">
        <v>469</v>
      </c>
      <c r="B472" s="3270">
        <v>2</v>
      </c>
      <c r="C472" s="3270">
        <v>1</v>
      </c>
      <c r="D472" s="3271">
        <v>401</v>
      </c>
      <c r="E472" s="3272">
        <v>4</v>
      </c>
      <c r="F472" s="3272">
        <v>1</v>
      </c>
      <c r="G472" s="3272">
        <v>1</v>
      </c>
      <c r="H472" s="3271" t="s">
        <v>3318</v>
      </c>
      <c r="I472" s="3271" t="s">
        <v>3317</v>
      </c>
      <c r="J472" s="3273"/>
      <c r="K472" s="3274">
        <v>75.8</v>
      </c>
      <c r="L472" s="3272"/>
      <c r="M472" s="3272"/>
      <c r="N472" s="3500">
        <v>2.9</v>
      </c>
      <c r="O472" s="3500" t="s">
        <v>3297</v>
      </c>
      <c r="P472" s="3500" t="s">
        <v>3298</v>
      </c>
      <c r="Q472" s="3272"/>
      <c r="R472" s="3272"/>
    </row>
    <row r="473" spans="1:18">
      <c r="A473" s="3269">
        <v>470</v>
      </c>
      <c r="B473" s="3270">
        <v>2</v>
      </c>
      <c r="C473" s="3270">
        <v>1</v>
      </c>
      <c r="D473" s="3275">
        <v>402</v>
      </c>
      <c r="E473" s="3276">
        <v>1</v>
      </c>
      <c r="F473" s="3276">
        <v>1</v>
      </c>
      <c r="G473" s="3276">
        <v>1</v>
      </c>
      <c r="H473" s="3275" t="s">
        <v>3300</v>
      </c>
      <c r="I473" s="3275" t="s">
        <v>3324</v>
      </c>
      <c r="J473" s="3269"/>
      <c r="K473" s="3277">
        <v>41.22</v>
      </c>
      <c r="L473" s="3276"/>
      <c r="M473" s="3276"/>
      <c r="N473" s="3501"/>
      <c r="O473" s="3503"/>
      <c r="P473" s="3503"/>
      <c r="Q473" s="3276"/>
      <c r="R473" s="3276"/>
    </row>
    <row r="474" spans="1:18">
      <c r="A474" s="3269">
        <v>471</v>
      </c>
      <c r="B474" s="3270">
        <v>2</v>
      </c>
      <c r="C474" s="3270">
        <v>1</v>
      </c>
      <c r="D474" s="3275">
        <v>403</v>
      </c>
      <c r="E474" s="3276">
        <v>1</v>
      </c>
      <c r="F474" s="3276">
        <v>1</v>
      </c>
      <c r="G474" s="3276">
        <v>1</v>
      </c>
      <c r="H474" s="3275" t="s">
        <v>3300</v>
      </c>
      <c r="I474" s="3275" t="s">
        <v>3325</v>
      </c>
      <c r="J474" s="3269"/>
      <c r="K474" s="3269">
        <v>39.869999999999997</v>
      </c>
      <c r="L474" s="3276"/>
      <c r="M474" s="3276"/>
      <c r="N474" s="3501"/>
      <c r="O474" s="3503"/>
      <c r="P474" s="3503"/>
      <c r="Q474" s="3276"/>
      <c r="R474" s="3276"/>
    </row>
    <row r="475" spans="1:18">
      <c r="A475" s="3269">
        <v>472</v>
      </c>
      <c r="B475" s="3270">
        <v>2</v>
      </c>
      <c r="C475" s="3270">
        <v>1</v>
      </c>
      <c r="D475" s="3275">
        <v>404</v>
      </c>
      <c r="E475" s="3276">
        <v>1</v>
      </c>
      <c r="F475" s="3276">
        <v>1</v>
      </c>
      <c r="G475" s="3276">
        <v>1</v>
      </c>
      <c r="H475" s="3275" t="s">
        <v>3300</v>
      </c>
      <c r="I475" s="3275" t="s">
        <v>3326</v>
      </c>
      <c r="J475" s="3269"/>
      <c r="K475" s="3269">
        <v>40.32</v>
      </c>
      <c r="L475" s="3276"/>
      <c r="M475" s="3276"/>
      <c r="N475" s="3501"/>
      <c r="O475" s="3503"/>
      <c r="P475" s="3503"/>
      <c r="Q475" s="3276"/>
      <c r="R475" s="3276"/>
    </row>
    <row r="476" spans="1:18">
      <c r="A476" s="3269">
        <v>473</v>
      </c>
      <c r="B476" s="3270">
        <v>2</v>
      </c>
      <c r="C476" s="3270">
        <v>1</v>
      </c>
      <c r="D476" s="3275">
        <v>405</v>
      </c>
      <c r="E476" s="3276">
        <v>1</v>
      </c>
      <c r="F476" s="3276">
        <v>1</v>
      </c>
      <c r="G476" s="3276">
        <v>1</v>
      </c>
      <c r="H476" s="3275" t="s">
        <v>3300</v>
      </c>
      <c r="I476" s="3275" t="s">
        <v>3326</v>
      </c>
      <c r="J476" s="3269"/>
      <c r="K476" s="3269">
        <v>40.32</v>
      </c>
      <c r="L476" s="3276"/>
      <c r="M476" s="3276"/>
      <c r="N476" s="3501"/>
      <c r="O476" s="3503"/>
      <c r="P476" s="3503"/>
      <c r="Q476" s="3276"/>
      <c r="R476" s="3276"/>
    </row>
    <row r="477" spans="1:18">
      <c r="A477" s="3269">
        <v>474</v>
      </c>
      <c r="B477" s="3270">
        <v>2</v>
      </c>
      <c r="C477" s="3270">
        <v>1</v>
      </c>
      <c r="D477" s="3275">
        <v>406</v>
      </c>
      <c r="E477" s="3276">
        <v>1</v>
      </c>
      <c r="F477" s="3276">
        <v>1</v>
      </c>
      <c r="G477" s="3276">
        <v>1</v>
      </c>
      <c r="H477" s="3275" t="s">
        <v>3300</v>
      </c>
      <c r="I477" s="3275" t="s">
        <v>3327</v>
      </c>
      <c r="J477" s="3269"/>
      <c r="K477" s="3269">
        <v>39.97</v>
      </c>
      <c r="L477" s="3276"/>
      <c r="M477" s="3276"/>
      <c r="N477" s="3501"/>
      <c r="O477" s="3503"/>
      <c r="P477" s="3503"/>
      <c r="Q477" s="3276"/>
      <c r="R477" s="3276"/>
    </row>
    <row r="478" spans="1:18">
      <c r="A478" s="3269">
        <v>475</v>
      </c>
      <c r="B478" s="3270">
        <v>2</v>
      </c>
      <c r="C478" s="3270">
        <v>1</v>
      </c>
      <c r="D478" s="3275">
        <v>407</v>
      </c>
      <c r="E478" s="3276">
        <v>2</v>
      </c>
      <c r="F478" s="3276">
        <v>1</v>
      </c>
      <c r="G478" s="3276">
        <v>1</v>
      </c>
      <c r="H478" s="3275" t="s">
        <v>3300</v>
      </c>
      <c r="I478" s="3275" t="s">
        <v>3313</v>
      </c>
      <c r="J478" s="3269"/>
      <c r="K478" s="3277">
        <v>67.27</v>
      </c>
      <c r="L478" s="3276"/>
      <c r="M478" s="3276"/>
      <c r="N478" s="3501"/>
      <c r="O478" s="3503"/>
      <c r="P478" s="3503"/>
      <c r="Q478" s="3276"/>
      <c r="R478" s="3276"/>
    </row>
    <row r="479" spans="1:18">
      <c r="A479" s="3269">
        <v>476</v>
      </c>
      <c r="B479" s="3270">
        <v>2</v>
      </c>
      <c r="C479" s="3270">
        <v>1</v>
      </c>
      <c r="D479" s="3275">
        <v>408</v>
      </c>
      <c r="E479" s="3276">
        <v>1</v>
      </c>
      <c r="F479" s="3276">
        <v>1</v>
      </c>
      <c r="G479" s="3276">
        <v>1</v>
      </c>
      <c r="H479" s="3275" t="s">
        <v>3302</v>
      </c>
      <c r="I479" s="3275" t="s">
        <v>3311</v>
      </c>
      <c r="J479" s="3269"/>
      <c r="K479" s="3277">
        <v>38.54</v>
      </c>
      <c r="L479" s="3276"/>
      <c r="M479" s="3276"/>
      <c r="N479" s="3501"/>
      <c r="O479" s="3503"/>
      <c r="P479" s="3503"/>
      <c r="Q479" s="3276"/>
      <c r="R479" s="3276"/>
    </row>
    <row r="480" spans="1:18">
      <c r="A480" s="3269">
        <v>477</v>
      </c>
      <c r="B480" s="3270">
        <v>2</v>
      </c>
      <c r="C480" s="3270">
        <v>1</v>
      </c>
      <c r="D480" s="3275">
        <v>409</v>
      </c>
      <c r="E480" s="3276">
        <v>1</v>
      </c>
      <c r="F480" s="3276">
        <v>1</v>
      </c>
      <c r="G480" s="3276">
        <v>1</v>
      </c>
      <c r="H480" s="3275" t="s">
        <v>3304</v>
      </c>
      <c r="I480" s="3275" t="s">
        <v>3328</v>
      </c>
      <c r="J480" s="3269"/>
      <c r="K480" s="3277">
        <v>39.96</v>
      </c>
      <c r="L480" s="3276"/>
      <c r="M480" s="3276"/>
      <c r="N480" s="3501"/>
      <c r="O480" s="3503"/>
      <c r="P480" s="3503"/>
      <c r="Q480" s="3276"/>
      <c r="R480" s="3276"/>
    </row>
    <row r="481" spans="1:18">
      <c r="A481" s="3269">
        <v>478</v>
      </c>
      <c r="B481" s="3270">
        <v>2</v>
      </c>
      <c r="C481" s="3270">
        <v>1</v>
      </c>
      <c r="D481" s="3275">
        <v>410</v>
      </c>
      <c r="E481" s="3276">
        <v>1</v>
      </c>
      <c r="F481" s="3276">
        <v>1</v>
      </c>
      <c r="G481" s="3276">
        <v>1</v>
      </c>
      <c r="H481" s="3275" t="s">
        <v>3304</v>
      </c>
      <c r="I481" s="3275" t="s">
        <v>3325</v>
      </c>
      <c r="J481" s="3269"/>
      <c r="K481" s="3269">
        <v>39.869999999999997</v>
      </c>
      <c r="L481" s="3276"/>
      <c r="M481" s="3276"/>
      <c r="N481" s="3501"/>
      <c r="O481" s="3503"/>
      <c r="P481" s="3503"/>
      <c r="Q481" s="3276"/>
      <c r="R481" s="3276"/>
    </row>
    <row r="482" spans="1:18">
      <c r="A482" s="3269">
        <v>479</v>
      </c>
      <c r="B482" s="3270">
        <v>2</v>
      </c>
      <c r="C482" s="3270">
        <v>1</v>
      </c>
      <c r="D482" s="3275">
        <v>411</v>
      </c>
      <c r="E482" s="3276">
        <v>1</v>
      </c>
      <c r="F482" s="3276">
        <v>0</v>
      </c>
      <c r="G482" s="3276">
        <v>1</v>
      </c>
      <c r="H482" s="3275" t="s">
        <v>3304</v>
      </c>
      <c r="I482" s="3275" t="s">
        <v>3329</v>
      </c>
      <c r="J482" s="3269"/>
      <c r="K482" s="3269">
        <v>31.98</v>
      </c>
      <c r="L482" s="3276"/>
      <c r="M482" s="3276"/>
      <c r="N482" s="3501"/>
      <c r="O482" s="3503"/>
      <c r="P482" s="3503"/>
      <c r="Q482" s="3276"/>
      <c r="R482" s="3276"/>
    </row>
    <row r="483" spans="1:18">
      <c r="A483" s="3269">
        <v>480</v>
      </c>
      <c r="B483" s="3270">
        <v>2</v>
      </c>
      <c r="C483" s="3270">
        <v>1</v>
      </c>
      <c r="D483" s="3275">
        <v>412</v>
      </c>
      <c r="E483" s="3276">
        <v>1</v>
      </c>
      <c r="F483" s="3276">
        <v>0</v>
      </c>
      <c r="G483" s="3276">
        <v>1</v>
      </c>
      <c r="H483" s="3275" t="s">
        <v>3304</v>
      </c>
      <c r="I483" s="3275" t="s">
        <v>3330</v>
      </c>
      <c r="J483" s="3269"/>
      <c r="K483" s="3269">
        <v>31.54</v>
      </c>
      <c r="L483" s="3276"/>
      <c r="M483" s="3276"/>
      <c r="N483" s="3501"/>
      <c r="O483" s="3503"/>
      <c r="P483" s="3503"/>
      <c r="Q483" s="3276"/>
      <c r="R483" s="3276"/>
    </row>
    <row r="484" spans="1:18">
      <c r="A484" s="3269">
        <v>481</v>
      </c>
      <c r="B484" s="3270">
        <v>2</v>
      </c>
      <c r="C484" s="3270">
        <v>1</v>
      </c>
      <c r="D484" s="3275">
        <v>413</v>
      </c>
      <c r="E484" s="3276">
        <v>1</v>
      </c>
      <c r="F484" s="3276">
        <v>0</v>
      </c>
      <c r="G484" s="3276">
        <v>1</v>
      </c>
      <c r="H484" s="3275" t="s">
        <v>3304</v>
      </c>
      <c r="I484" s="3275" t="s">
        <v>3330</v>
      </c>
      <c r="J484" s="3269"/>
      <c r="K484" s="3269">
        <v>31.54</v>
      </c>
      <c r="L484" s="3276"/>
      <c r="M484" s="3276"/>
      <c r="N484" s="3501"/>
      <c r="O484" s="3503"/>
      <c r="P484" s="3503"/>
      <c r="Q484" s="3276"/>
      <c r="R484" s="3276"/>
    </row>
    <row r="485" spans="1:18">
      <c r="A485" s="3269">
        <v>482</v>
      </c>
      <c r="B485" s="3270">
        <v>2</v>
      </c>
      <c r="C485" s="3270">
        <v>1</v>
      </c>
      <c r="D485" s="3275">
        <v>414</v>
      </c>
      <c r="E485" s="3276">
        <v>1</v>
      </c>
      <c r="F485" s="3276">
        <v>0</v>
      </c>
      <c r="G485" s="3276">
        <v>1</v>
      </c>
      <c r="H485" s="3275" t="s">
        <v>3304</v>
      </c>
      <c r="I485" s="3275" t="s">
        <v>3330</v>
      </c>
      <c r="J485" s="3269"/>
      <c r="K485" s="3269">
        <v>31.54</v>
      </c>
      <c r="L485" s="3276"/>
      <c r="M485" s="3276"/>
      <c r="N485" s="3501"/>
      <c r="O485" s="3503"/>
      <c r="P485" s="3503"/>
      <c r="Q485" s="3276"/>
      <c r="R485" s="3276"/>
    </row>
    <row r="486" spans="1:18">
      <c r="A486" s="3269">
        <v>483</v>
      </c>
      <c r="B486" s="3270">
        <v>2</v>
      </c>
      <c r="C486" s="3270">
        <v>1</v>
      </c>
      <c r="D486" s="3275">
        <v>415</v>
      </c>
      <c r="E486" s="3276">
        <v>1</v>
      </c>
      <c r="F486" s="3276">
        <v>0</v>
      </c>
      <c r="G486" s="3276">
        <v>1</v>
      </c>
      <c r="H486" s="3275" t="s">
        <v>3304</v>
      </c>
      <c r="I486" s="3275" t="s">
        <v>3330</v>
      </c>
      <c r="J486" s="3269"/>
      <c r="K486" s="3269">
        <v>31.54</v>
      </c>
      <c r="L486" s="3276"/>
      <c r="M486" s="3276"/>
      <c r="N486" s="3501"/>
      <c r="O486" s="3503"/>
      <c r="P486" s="3503"/>
      <c r="Q486" s="3276"/>
      <c r="R486" s="3276"/>
    </row>
    <row r="487" spans="1:18">
      <c r="A487" s="3269">
        <v>484</v>
      </c>
      <c r="B487" s="3270">
        <v>2</v>
      </c>
      <c r="C487" s="3270">
        <v>1</v>
      </c>
      <c r="D487" s="3275">
        <v>416</v>
      </c>
      <c r="E487" s="3276">
        <v>1</v>
      </c>
      <c r="F487" s="3276">
        <v>0</v>
      </c>
      <c r="G487" s="3276">
        <v>1</v>
      </c>
      <c r="H487" s="3278" t="s">
        <v>3304</v>
      </c>
      <c r="I487" s="3275" t="s">
        <v>3330</v>
      </c>
      <c r="J487" s="3269"/>
      <c r="K487" s="3269">
        <v>31.54</v>
      </c>
      <c r="L487" s="3276"/>
      <c r="M487" s="3276"/>
      <c r="N487" s="3501"/>
      <c r="O487" s="3503"/>
      <c r="P487" s="3503"/>
      <c r="Q487" s="3276"/>
      <c r="R487" s="3276"/>
    </row>
    <row r="488" spans="1:18">
      <c r="A488" s="3269">
        <v>485</v>
      </c>
      <c r="B488" s="3270">
        <v>2</v>
      </c>
      <c r="C488" s="3270">
        <v>1</v>
      </c>
      <c r="D488" s="3275">
        <v>417</v>
      </c>
      <c r="E488" s="3276">
        <v>1</v>
      </c>
      <c r="F488" s="3276">
        <v>0</v>
      </c>
      <c r="G488" s="3276">
        <v>1</v>
      </c>
      <c r="H488" s="3278" t="s">
        <v>3304</v>
      </c>
      <c r="I488" s="3275" t="s">
        <v>3331</v>
      </c>
      <c r="J488" s="3269"/>
      <c r="K488" s="3269">
        <v>32.26</v>
      </c>
      <c r="L488" s="3276"/>
      <c r="M488" s="3276"/>
      <c r="N488" s="3501"/>
      <c r="O488" s="3503"/>
      <c r="P488" s="3503"/>
      <c r="Q488" s="3276"/>
      <c r="R488" s="3276"/>
    </row>
    <row r="489" spans="1:18">
      <c r="A489" s="3269">
        <v>486</v>
      </c>
      <c r="B489" s="3270">
        <v>2</v>
      </c>
      <c r="C489" s="3270">
        <v>1</v>
      </c>
      <c r="D489" s="3275">
        <v>418</v>
      </c>
      <c r="E489" s="3276">
        <v>1</v>
      </c>
      <c r="F489" s="3276">
        <v>0</v>
      </c>
      <c r="G489" s="3276">
        <v>1</v>
      </c>
      <c r="H489" s="3278" t="s">
        <v>3304</v>
      </c>
      <c r="I489" s="3275" t="s">
        <v>3331</v>
      </c>
      <c r="J489" s="3269"/>
      <c r="K489" s="3269">
        <v>32.26</v>
      </c>
      <c r="L489" s="3276"/>
      <c r="M489" s="3276"/>
      <c r="N489" s="3501"/>
      <c r="O489" s="3503"/>
      <c r="P489" s="3503"/>
      <c r="Q489" s="3276"/>
      <c r="R489" s="3276"/>
    </row>
    <row r="490" spans="1:18">
      <c r="A490" s="3269">
        <v>487</v>
      </c>
      <c r="B490" s="3270">
        <v>2</v>
      </c>
      <c r="C490" s="3270">
        <v>1</v>
      </c>
      <c r="D490" s="3275">
        <v>419</v>
      </c>
      <c r="E490" s="3276">
        <v>1</v>
      </c>
      <c r="F490" s="3276">
        <v>0</v>
      </c>
      <c r="G490" s="3276">
        <v>1</v>
      </c>
      <c r="H490" s="3278" t="s">
        <v>3304</v>
      </c>
      <c r="I490" s="3275" t="s">
        <v>3330</v>
      </c>
      <c r="J490" s="3269"/>
      <c r="K490" s="3269">
        <v>31.54</v>
      </c>
      <c r="L490" s="3276"/>
      <c r="M490" s="3276"/>
      <c r="N490" s="3501"/>
      <c r="O490" s="3503"/>
      <c r="P490" s="3503"/>
      <c r="Q490" s="3276"/>
      <c r="R490" s="3276"/>
    </row>
    <row r="491" spans="1:18">
      <c r="A491" s="3269">
        <v>488</v>
      </c>
      <c r="B491" s="3270">
        <v>2</v>
      </c>
      <c r="C491" s="3270">
        <v>1</v>
      </c>
      <c r="D491" s="3275">
        <v>420</v>
      </c>
      <c r="E491" s="3276">
        <v>1</v>
      </c>
      <c r="F491" s="3276">
        <v>0</v>
      </c>
      <c r="G491" s="3276">
        <v>1</v>
      </c>
      <c r="H491" s="3278" t="s">
        <v>3304</v>
      </c>
      <c r="I491" s="3275" t="s">
        <v>3330</v>
      </c>
      <c r="J491" s="3269"/>
      <c r="K491" s="3269">
        <v>31.54</v>
      </c>
      <c r="L491" s="3276"/>
      <c r="M491" s="3276"/>
      <c r="N491" s="3501"/>
      <c r="O491" s="3503"/>
      <c r="P491" s="3503"/>
      <c r="Q491" s="3276"/>
      <c r="R491" s="3276"/>
    </row>
    <row r="492" spans="1:18">
      <c r="A492" s="3269">
        <v>489</v>
      </c>
      <c r="B492" s="3270">
        <v>2</v>
      </c>
      <c r="C492" s="3270">
        <v>1</v>
      </c>
      <c r="D492" s="3275">
        <v>421</v>
      </c>
      <c r="E492" s="3276">
        <v>1</v>
      </c>
      <c r="F492" s="3276">
        <v>1</v>
      </c>
      <c r="G492" s="3276">
        <v>1</v>
      </c>
      <c r="H492" s="3275" t="s">
        <v>3310</v>
      </c>
      <c r="I492" s="3275" t="s">
        <v>3303</v>
      </c>
      <c r="J492" s="3269"/>
      <c r="K492" s="3277">
        <v>40.520000000000003</v>
      </c>
      <c r="L492" s="3276"/>
      <c r="M492" s="3276"/>
      <c r="N492" s="3501"/>
      <c r="O492" s="3503"/>
      <c r="P492" s="3503"/>
      <c r="Q492" s="3276"/>
      <c r="R492" s="3276"/>
    </row>
    <row r="493" spans="1:18">
      <c r="A493" s="3269">
        <v>490</v>
      </c>
      <c r="B493" s="3270">
        <v>2</v>
      </c>
      <c r="C493" s="3270">
        <v>1</v>
      </c>
      <c r="D493" s="3275">
        <v>422</v>
      </c>
      <c r="E493" s="3276">
        <v>1</v>
      </c>
      <c r="F493" s="3276">
        <v>0</v>
      </c>
      <c r="G493" s="3276">
        <v>1</v>
      </c>
      <c r="H493" s="3275" t="s">
        <v>3312</v>
      </c>
      <c r="I493" s="3275" t="s">
        <v>3323</v>
      </c>
      <c r="J493" s="3269"/>
      <c r="K493" s="3277">
        <v>32.42</v>
      </c>
      <c r="L493" s="3276"/>
      <c r="M493" s="3276"/>
      <c r="N493" s="3501"/>
      <c r="O493" s="3503"/>
      <c r="P493" s="3503"/>
      <c r="Q493" s="3276"/>
      <c r="R493" s="3276"/>
    </row>
    <row r="494" spans="1:18">
      <c r="A494" s="3269">
        <v>491</v>
      </c>
      <c r="B494" s="3270">
        <v>2</v>
      </c>
      <c r="C494" s="3270">
        <v>1</v>
      </c>
      <c r="D494" s="3275">
        <v>423</v>
      </c>
      <c r="E494" s="3276">
        <v>1</v>
      </c>
      <c r="F494" s="3276">
        <v>0</v>
      </c>
      <c r="G494" s="3276">
        <v>1</v>
      </c>
      <c r="H494" s="3275" t="s">
        <v>3332</v>
      </c>
      <c r="I494" s="3275" t="s">
        <v>3333</v>
      </c>
      <c r="J494" s="3269"/>
      <c r="K494" s="3269">
        <v>35.26</v>
      </c>
      <c r="L494" s="3276"/>
      <c r="M494" s="3276"/>
      <c r="N494" s="3501"/>
      <c r="O494" s="3503"/>
      <c r="P494" s="3503"/>
      <c r="Q494" s="3276"/>
      <c r="R494" s="3276"/>
    </row>
    <row r="495" spans="1:18">
      <c r="A495" s="3269">
        <v>492</v>
      </c>
      <c r="B495" s="3270">
        <v>2</v>
      </c>
      <c r="C495" s="3270">
        <v>1</v>
      </c>
      <c r="D495" s="3275">
        <v>424</v>
      </c>
      <c r="E495" s="3276">
        <v>1</v>
      </c>
      <c r="F495" s="3276">
        <v>0</v>
      </c>
      <c r="G495" s="3276">
        <v>1</v>
      </c>
      <c r="H495" s="3275" t="s">
        <v>3332</v>
      </c>
      <c r="I495" s="3275" t="s">
        <v>3334</v>
      </c>
      <c r="J495" s="3269"/>
      <c r="K495" s="3269">
        <v>34.5</v>
      </c>
      <c r="L495" s="3276"/>
      <c r="M495" s="3276"/>
      <c r="N495" s="3501"/>
      <c r="O495" s="3503"/>
      <c r="P495" s="3503"/>
      <c r="Q495" s="3276"/>
      <c r="R495" s="3276"/>
    </row>
    <row r="496" spans="1:18">
      <c r="A496" s="3269">
        <v>493</v>
      </c>
      <c r="B496" s="3270">
        <v>2</v>
      </c>
      <c r="C496" s="3270">
        <v>1</v>
      </c>
      <c r="D496" s="3275">
        <v>425</v>
      </c>
      <c r="E496" s="3276">
        <v>1</v>
      </c>
      <c r="F496" s="3276">
        <v>1</v>
      </c>
      <c r="G496" s="3276">
        <v>1</v>
      </c>
      <c r="H496" s="3275" t="s">
        <v>3332</v>
      </c>
      <c r="I496" s="3275" t="s">
        <v>3335</v>
      </c>
      <c r="J496" s="3269"/>
      <c r="K496" s="3269">
        <v>40.32</v>
      </c>
      <c r="L496" s="3276"/>
      <c r="M496" s="3276"/>
      <c r="N496" s="3501"/>
      <c r="O496" s="3503"/>
      <c r="P496" s="3503"/>
      <c r="Q496" s="3276"/>
      <c r="R496" s="3276"/>
    </row>
    <row r="497" spans="1:18">
      <c r="A497" s="3269">
        <v>494</v>
      </c>
      <c r="B497" s="3270">
        <v>2</v>
      </c>
      <c r="C497" s="3270">
        <v>1</v>
      </c>
      <c r="D497" s="3275">
        <v>426</v>
      </c>
      <c r="E497" s="3276">
        <v>1</v>
      </c>
      <c r="F497" s="3276">
        <v>1</v>
      </c>
      <c r="G497" s="3276">
        <v>1</v>
      </c>
      <c r="H497" s="3275" t="s">
        <v>3332</v>
      </c>
      <c r="I497" s="3275" t="s">
        <v>3335</v>
      </c>
      <c r="J497" s="3269"/>
      <c r="K497" s="3269">
        <v>40.32</v>
      </c>
      <c r="L497" s="3276"/>
      <c r="M497" s="3276"/>
      <c r="N497" s="3501"/>
      <c r="O497" s="3503"/>
      <c r="P497" s="3503"/>
      <c r="Q497" s="3276"/>
      <c r="R497" s="3276"/>
    </row>
    <row r="498" spans="1:18">
      <c r="A498" s="3269">
        <v>495</v>
      </c>
      <c r="B498" s="3270">
        <v>2</v>
      </c>
      <c r="C498" s="3270">
        <v>1</v>
      </c>
      <c r="D498" s="3275">
        <v>427</v>
      </c>
      <c r="E498" s="3276">
        <v>1</v>
      </c>
      <c r="F498" s="3276">
        <v>1</v>
      </c>
      <c r="G498" s="3276">
        <v>1</v>
      </c>
      <c r="H498" s="3275" t="s">
        <v>3332</v>
      </c>
      <c r="I498" s="3275" t="s">
        <v>3335</v>
      </c>
      <c r="J498" s="3269"/>
      <c r="K498" s="3269">
        <v>40.32</v>
      </c>
      <c r="L498" s="3276"/>
      <c r="M498" s="3276"/>
      <c r="N498" s="3501"/>
      <c r="O498" s="3503"/>
      <c r="P498" s="3503"/>
      <c r="Q498" s="3276"/>
      <c r="R498" s="3276"/>
    </row>
    <row r="499" spans="1:18">
      <c r="A499" s="3269">
        <v>496</v>
      </c>
      <c r="B499" s="3270">
        <v>2</v>
      </c>
      <c r="C499" s="3270">
        <v>1</v>
      </c>
      <c r="D499" s="3275">
        <v>428</v>
      </c>
      <c r="E499" s="3276">
        <v>1</v>
      </c>
      <c r="F499" s="3276">
        <v>1</v>
      </c>
      <c r="G499" s="3276">
        <v>1</v>
      </c>
      <c r="H499" s="3275" t="s">
        <v>3332</v>
      </c>
      <c r="I499" s="3275" t="s">
        <v>3335</v>
      </c>
      <c r="J499" s="3269"/>
      <c r="K499" s="3269">
        <v>40.32</v>
      </c>
      <c r="L499" s="3276"/>
      <c r="M499" s="3276"/>
      <c r="N499" s="3501"/>
      <c r="O499" s="3503"/>
      <c r="P499" s="3503"/>
      <c r="Q499" s="3276"/>
      <c r="R499" s="3276"/>
    </row>
    <row r="500" spans="1:18">
      <c r="A500" s="3269">
        <v>497</v>
      </c>
      <c r="B500" s="3270">
        <v>2</v>
      </c>
      <c r="C500" s="3270">
        <v>1</v>
      </c>
      <c r="D500" s="3275">
        <v>429</v>
      </c>
      <c r="E500" s="3276">
        <v>1</v>
      </c>
      <c r="F500" s="3276">
        <v>1</v>
      </c>
      <c r="G500" s="3276">
        <v>1</v>
      </c>
      <c r="H500" s="3275" t="s">
        <v>3332</v>
      </c>
      <c r="I500" s="3275" t="s">
        <v>3335</v>
      </c>
      <c r="J500" s="3269"/>
      <c r="K500" s="3269">
        <v>40.32</v>
      </c>
      <c r="L500" s="3276"/>
      <c r="M500" s="3276"/>
      <c r="N500" s="3501"/>
      <c r="O500" s="3503"/>
      <c r="P500" s="3503"/>
      <c r="Q500" s="3276"/>
      <c r="R500" s="3276"/>
    </row>
    <row r="501" spans="1:18">
      <c r="A501" s="3269">
        <v>498</v>
      </c>
      <c r="B501" s="3270">
        <v>2</v>
      </c>
      <c r="C501" s="3270">
        <v>1</v>
      </c>
      <c r="D501" s="3275">
        <v>430</v>
      </c>
      <c r="E501" s="3276">
        <v>1</v>
      </c>
      <c r="F501" s="3276">
        <v>1</v>
      </c>
      <c r="G501" s="3276">
        <v>1</v>
      </c>
      <c r="H501" s="3275" t="s">
        <v>3332</v>
      </c>
      <c r="I501" s="3275" t="s">
        <v>3335</v>
      </c>
      <c r="J501" s="3269"/>
      <c r="K501" s="3269">
        <v>40.32</v>
      </c>
      <c r="L501" s="3276"/>
      <c r="M501" s="3276"/>
      <c r="N501" s="3501"/>
      <c r="O501" s="3503"/>
      <c r="P501" s="3503"/>
      <c r="Q501" s="3276"/>
      <c r="R501" s="3276"/>
    </row>
    <row r="502" spans="1:18">
      <c r="A502" s="3269">
        <v>499</v>
      </c>
      <c r="B502" s="3270">
        <v>2</v>
      </c>
      <c r="C502" s="3270">
        <v>1</v>
      </c>
      <c r="D502" s="3275">
        <v>431</v>
      </c>
      <c r="E502" s="3276">
        <v>1</v>
      </c>
      <c r="F502" s="3276">
        <v>1</v>
      </c>
      <c r="G502" s="3276">
        <v>1</v>
      </c>
      <c r="H502" s="3275" t="s">
        <v>3332</v>
      </c>
      <c r="I502" s="3275" t="s">
        <v>3335</v>
      </c>
      <c r="J502" s="3269"/>
      <c r="K502" s="3269">
        <v>40.32</v>
      </c>
      <c r="L502" s="3276"/>
      <c r="M502" s="3276"/>
      <c r="N502" s="3501"/>
      <c r="O502" s="3503"/>
      <c r="P502" s="3503"/>
      <c r="Q502" s="3276"/>
      <c r="R502" s="3276"/>
    </row>
    <row r="503" spans="1:18">
      <c r="A503" s="3269">
        <v>500</v>
      </c>
      <c r="B503" s="3270">
        <v>2</v>
      </c>
      <c r="C503" s="3270">
        <v>1</v>
      </c>
      <c r="D503" s="3275">
        <v>432</v>
      </c>
      <c r="E503" s="3276">
        <v>1</v>
      </c>
      <c r="F503" s="3276">
        <v>1</v>
      </c>
      <c r="G503" s="3276">
        <v>1</v>
      </c>
      <c r="H503" s="3275" t="s">
        <v>3332</v>
      </c>
      <c r="I503" s="3275" t="s">
        <v>3335</v>
      </c>
      <c r="J503" s="3269"/>
      <c r="K503" s="3269">
        <v>40.32</v>
      </c>
      <c r="L503" s="3276"/>
      <c r="M503" s="3276"/>
      <c r="N503" s="3501"/>
      <c r="O503" s="3503"/>
      <c r="P503" s="3503"/>
      <c r="Q503" s="3276"/>
      <c r="R503" s="3276"/>
    </row>
    <row r="504" spans="1:18">
      <c r="A504" s="3269">
        <v>501</v>
      </c>
      <c r="B504" s="3270">
        <v>2</v>
      </c>
      <c r="C504" s="3270">
        <v>1</v>
      </c>
      <c r="D504" s="3275">
        <v>433</v>
      </c>
      <c r="E504" s="3276">
        <v>1</v>
      </c>
      <c r="F504" s="3276">
        <v>1</v>
      </c>
      <c r="G504" s="3276">
        <v>1</v>
      </c>
      <c r="H504" s="3275" t="s">
        <v>3332</v>
      </c>
      <c r="I504" s="3275" t="s">
        <v>3335</v>
      </c>
      <c r="J504" s="3269"/>
      <c r="K504" s="3269">
        <v>40.32</v>
      </c>
      <c r="L504" s="3276"/>
      <c r="M504" s="3276"/>
      <c r="N504" s="3501"/>
      <c r="O504" s="3503"/>
      <c r="P504" s="3503"/>
      <c r="Q504" s="3276"/>
      <c r="R504" s="3276"/>
    </row>
    <row r="505" spans="1:18">
      <c r="A505" s="3269">
        <v>502</v>
      </c>
      <c r="B505" s="3270">
        <v>2</v>
      </c>
      <c r="C505" s="3270">
        <v>1</v>
      </c>
      <c r="D505" s="3275">
        <v>434</v>
      </c>
      <c r="E505" s="3276">
        <v>1</v>
      </c>
      <c r="F505" s="3276">
        <v>1</v>
      </c>
      <c r="G505" s="3276">
        <v>1</v>
      </c>
      <c r="H505" s="3275" t="s">
        <v>3332</v>
      </c>
      <c r="I505" s="3275" t="s">
        <v>3335</v>
      </c>
      <c r="J505" s="3269"/>
      <c r="K505" s="3269">
        <v>40.32</v>
      </c>
      <c r="L505" s="3276"/>
      <c r="M505" s="3276"/>
      <c r="N505" s="3501"/>
      <c r="O505" s="3503"/>
      <c r="P505" s="3503"/>
      <c r="Q505" s="3276"/>
      <c r="R505" s="3276"/>
    </row>
    <row r="506" spans="1:18">
      <c r="A506" s="3269">
        <v>503</v>
      </c>
      <c r="B506" s="3270">
        <v>2</v>
      </c>
      <c r="C506" s="3270">
        <v>1</v>
      </c>
      <c r="D506" s="3275">
        <v>435</v>
      </c>
      <c r="E506" s="3276">
        <v>1</v>
      </c>
      <c r="F506" s="3276">
        <v>1</v>
      </c>
      <c r="G506" s="3276">
        <v>1</v>
      </c>
      <c r="H506" s="3275" t="s">
        <v>3332</v>
      </c>
      <c r="I506" s="3275" t="s">
        <v>3336</v>
      </c>
      <c r="J506" s="3269"/>
      <c r="K506" s="3269">
        <v>42.56</v>
      </c>
      <c r="L506" s="3276"/>
      <c r="M506" s="3276"/>
      <c r="N506" s="3501"/>
      <c r="O506" s="3503"/>
      <c r="P506" s="3503"/>
      <c r="Q506" s="3276"/>
      <c r="R506" s="3276"/>
    </row>
    <row r="507" spans="1:18">
      <c r="A507" s="3269">
        <v>504</v>
      </c>
      <c r="B507" s="3270">
        <v>2</v>
      </c>
      <c r="C507" s="3270">
        <v>1</v>
      </c>
      <c r="D507" s="3275">
        <v>436</v>
      </c>
      <c r="E507" s="3276">
        <v>1</v>
      </c>
      <c r="F507" s="3276">
        <v>1</v>
      </c>
      <c r="G507" s="3276">
        <v>1</v>
      </c>
      <c r="H507" s="3275" t="s">
        <v>3312</v>
      </c>
      <c r="I507" s="3275" t="s">
        <v>3337</v>
      </c>
      <c r="J507" s="3269"/>
      <c r="K507" s="3269">
        <v>40.42</v>
      </c>
      <c r="L507" s="3276"/>
      <c r="M507" s="3276"/>
      <c r="N507" s="3501"/>
      <c r="O507" s="3503"/>
      <c r="P507" s="3503"/>
      <c r="Q507" s="3276"/>
      <c r="R507" s="3276"/>
    </row>
    <row r="508" spans="1:18">
      <c r="A508" s="3269">
        <v>505</v>
      </c>
      <c r="B508" s="3270">
        <v>2</v>
      </c>
      <c r="C508" s="3270">
        <v>1</v>
      </c>
      <c r="D508" s="3275">
        <v>437</v>
      </c>
      <c r="E508" s="3276">
        <v>1</v>
      </c>
      <c r="F508" s="3276">
        <v>1</v>
      </c>
      <c r="G508" s="3276">
        <v>1</v>
      </c>
      <c r="H508" s="3275" t="s">
        <v>3312</v>
      </c>
      <c r="I508" s="3275" t="s">
        <v>3335</v>
      </c>
      <c r="J508" s="3269"/>
      <c r="K508" s="3269">
        <v>40.32</v>
      </c>
      <c r="L508" s="3276"/>
      <c r="M508" s="3276"/>
      <c r="N508" s="3501"/>
      <c r="O508" s="3503"/>
      <c r="P508" s="3503"/>
      <c r="Q508" s="3276"/>
      <c r="R508" s="3276"/>
    </row>
    <row r="509" spans="1:18">
      <c r="A509" s="3269">
        <v>506</v>
      </c>
      <c r="B509" s="3270">
        <v>2</v>
      </c>
      <c r="C509" s="3270">
        <v>1</v>
      </c>
      <c r="D509" s="3275">
        <v>438</v>
      </c>
      <c r="E509" s="3276">
        <v>1</v>
      </c>
      <c r="F509" s="3276">
        <v>1</v>
      </c>
      <c r="G509" s="3276">
        <v>1</v>
      </c>
      <c r="H509" s="3275" t="s">
        <v>3312</v>
      </c>
      <c r="I509" s="3275" t="s">
        <v>3338</v>
      </c>
      <c r="J509" s="3269"/>
      <c r="K509" s="3269">
        <v>32.26</v>
      </c>
      <c r="L509" s="3276"/>
      <c r="M509" s="3276"/>
      <c r="N509" s="3501"/>
      <c r="O509" s="3503"/>
      <c r="P509" s="3503"/>
      <c r="Q509" s="3276"/>
      <c r="R509" s="3276"/>
    </row>
    <row r="510" spans="1:18" ht="14.25" thickBot="1">
      <c r="A510" s="3269">
        <v>507</v>
      </c>
      <c r="B510" s="3270">
        <v>2</v>
      </c>
      <c r="C510" s="3270">
        <v>1</v>
      </c>
      <c r="D510" s="3279">
        <v>439</v>
      </c>
      <c r="E510" s="3284">
        <v>4</v>
      </c>
      <c r="F510" s="3280">
        <v>1</v>
      </c>
      <c r="G510" s="3280">
        <v>1</v>
      </c>
      <c r="H510" s="3279" t="s">
        <v>3316</v>
      </c>
      <c r="I510" s="3279" t="s">
        <v>3319</v>
      </c>
      <c r="J510" s="3281"/>
      <c r="K510" s="3282">
        <v>75.8</v>
      </c>
      <c r="L510" s="3280"/>
      <c r="M510" s="3280"/>
      <c r="N510" s="3502"/>
      <c r="O510" s="3504"/>
      <c r="P510" s="3504"/>
      <c r="Q510" s="3280"/>
      <c r="R510" s="3280"/>
    </row>
    <row r="511" spans="1:18" ht="14.25" thickTop="1">
      <c r="A511" s="3269">
        <v>508</v>
      </c>
      <c r="B511" s="3270">
        <v>2</v>
      </c>
      <c r="C511" s="3270">
        <v>1</v>
      </c>
      <c r="D511" s="3271">
        <v>501</v>
      </c>
      <c r="E511" s="3272">
        <v>4</v>
      </c>
      <c r="F511" s="3272">
        <v>1</v>
      </c>
      <c r="G511" s="3272">
        <v>1</v>
      </c>
      <c r="H511" s="3271" t="s">
        <v>3318</v>
      </c>
      <c r="I511" s="3271" t="s">
        <v>3317</v>
      </c>
      <c r="J511" s="3273"/>
      <c r="K511" s="3274">
        <v>75.8</v>
      </c>
      <c r="L511" s="3272"/>
      <c r="M511" s="3272"/>
      <c r="N511" s="3500">
        <v>2.9</v>
      </c>
      <c r="O511" s="3500" t="s">
        <v>3297</v>
      </c>
      <c r="P511" s="3500" t="s">
        <v>3298</v>
      </c>
      <c r="Q511" s="3272"/>
      <c r="R511" s="3272"/>
    </row>
    <row r="512" spans="1:18">
      <c r="A512" s="3269">
        <v>509</v>
      </c>
      <c r="B512" s="3270">
        <v>2</v>
      </c>
      <c r="C512" s="3270">
        <v>1</v>
      </c>
      <c r="D512" s="3275">
        <v>502</v>
      </c>
      <c r="E512" s="3276">
        <v>1</v>
      </c>
      <c r="F512" s="3276">
        <v>1</v>
      </c>
      <c r="G512" s="3276">
        <v>1</v>
      </c>
      <c r="H512" s="3275" t="s">
        <v>3300</v>
      </c>
      <c r="I512" s="3275" t="s">
        <v>3324</v>
      </c>
      <c r="J512" s="3269"/>
      <c r="K512" s="3277">
        <v>41.22</v>
      </c>
      <c r="L512" s="3276"/>
      <c r="M512" s="3276"/>
      <c r="N512" s="3501"/>
      <c r="O512" s="3503"/>
      <c r="P512" s="3503"/>
      <c r="Q512" s="3276"/>
      <c r="R512" s="3276"/>
    </row>
    <row r="513" spans="1:18">
      <c r="A513" s="3269">
        <v>510</v>
      </c>
      <c r="B513" s="3270">
        <v>2</v>
      </c>
      <c r="C513" s="3270">
        <v>1</v>
      </c>
      <c r="D513" s="3275">
        <v>503</v>
      </c>
      <c r="E513" s="3276">
        <v>1</v>
      </c>
      <c r="F513" s="3276">
        <v>1</v>
      </c>
      <c r="G513" s="3276">
        <v>1</v>
      </c>
      <c r="H513" s="3275" t="s">
        <v>3300</v>
      </c>
      <c r="I513" s="3275" t="s">
        <v>3325</v>
      </c>
      <c r="J513" s="3269"/>
      <c r="K513" s="3269">
        <v>39.869999999999997</v>
      </c>
      <c r="L513" s="3276"/>
      <c r="M513" s="3276"/>
      <c r="N513" s="3501"/>
      <c r="O513" s="3503"/>
      <c r="P513" s="3503"/>
      <c r="Q513" s="3276"/>
      <c r="R513" s="3276"/>
    </row>
    <row r="514" spans="1:18">
      <c r="A514" s="3269">
        <v>511</v>
      </c>
      <c r="B514" s="3270">
        <v>2</v>
      </c>
      <c r="C514" s="3270">
        <v>1</v>
      </c>
      <c r="D514" s="3275">
        <v>504</v>
      </c>
      <c r="E514" s="3276">
        <v>1</v>
      </c>
      <c r="F514" s="3276">
        <v>1</v>
      </c>
      <c r="G514" s="3276">
        <v>1</v>
      </c>
      <c r="H514" s="3275" t="s">
        <v>3300</v>
      </c>
      <c r="I514" s="3275" t="s">
        <v>3326</v>
      </c>
      <c r="J514" s="3269"/>
      <c r="K514" s="3269">
        <v>40.32</v>
      </c>
      <c r="L514" s="3276"/>
      <c r="M514" s="3276"/>
      <c r="N514" s="3501"/>
      <c r="O514" s="3503"/>
      <c r="P514" s="3503"/>
      <c r="Q514" s="3276"/>
      <c r="R514" s="3276"/>
    </row>
    <row r="515" spans="1:18">
      <c r="A515" s="3269">
        <v>512</v>
      </c>
      <c r="B515" s="3270">
        <v>2</v>
      </c>
      <c r="C515" s="3270">
        <v>1</v>
      </c>
      <c r="D515" s="3275">
        <v>505</v>
      </c>
      <c r="E515" s="3276">
        <v>1</v>
      </c>
      <c r="F515" s="3276">
        <v>1</v>
      </c>
      <c r="G515" s="3276">
        <v>1</v>
      </c>
      <c r="H515" s="3275" t="s">
        <v>3300</v>
      </c>
      <c r="I515" s="3275" t="s">
        <v>3326</v>
      </c>
      <c r="J515" s="3269"/>
      <c r="K515" s="3269">
        <v>40.32</v>
      </c>
      <c r="L515" s="3276"/>
      <c r="M515" s="3276"/>
      <c r="N515" s="3501"/>
      <c r="O515" s="3503"/>
      <c r="P515" s="3503"/>
      <c r="Q515" s="3276"/>
      <c r="R515" s="3276"/>
    </row>
    <row r="516" spans="1:18">
      <c r="A516" s="3269">
        <v>513</v>
      </c>
      <c r="B516" s="3270">
        <v>2</v>
      </c>
      <c r="C516" s="3270">
        <v>1</v>
      </c>
      <c r="D516" s="3275">
        <v>506</v>
      </c>
      <c r="E516" s="3276">
        <v>1</v>
      </c>
      <c r="F516" s="3276">
        <v>1</v>
      </c>
      <c r="G516" s="3276">
        <v>1</v>
      </c>
      <c r="H516" s="3275" t="s">
        <v>3300</v>
      </c>
      <c r="I516" s="3275" t="s">
        <v>3327</v>
      </c>
      <c r="J516" s="3269"/>
      <c r="K516" s="3269">
        <v>39.97</v>
      </c>
      <c r="L516" s="3276"/>
      <c r="M516" s="3276"/>
      <c r="N516" s="3501"/>
      <c r="O516" s="3503"/>
      <c r="P516" s="3503"/>
      <c r="Q516" s="3276"/>
      <c r="R516" s="3276"/>
    </row>
    <row r="517" spans="1:18">
      <c r="A517" s="3269">
        <v>514</v>
      </c>
      <c r="B517" s="3270">
        <v>2</v>
      </c>
      <c r="C517" s="3270">
        <v>1</v>
      </c>
      <c r="D517" s="3275">
        <v>507</v>
      </c>
      <c r="E517" s="3276">
        <v>2</v>
      </c>
      <c r="F517" s="3276">
        <v>1</v>
      </c>
      <c r="G517" s="3276">
        <v>1</v>
      </c>
      <c r="H517" s="3275" t="s">
        <v>3300</v>
      </c>
      <c r="I517" s="3275" t="s">
        <v>3313</v>
      </c>
      <c r="J517" s="3269"/>
      <c r="K517" s="3277">
        <v>67.27</v>
      </c>
      <c r="L517" s="3276"/>
      <c r="M517" s="3276"/>
      <c r="N517" s="3501"/>
      <c r="O517" s="3503"/>
      <c r="P517" s="3503"/>
      <c r="Q517" s="3276"/>
      <c r="R517" s="3276"/>
    </row>
    <row r="518" spans="1:18">
      <c r="A518" s="3269">
        <v>515</v>
      </c>
      <c r="B518" s="3270">
        <v>2</v>
      </c>
      <c r="C518" s="3270">
        <v>1</v>
      </c>
      <c r="D518" s="3275">
        <v>508</v>
      </c>
      <c r="E518" s="3276">
        <v>1</v>
      </c>
      <c r="F518" s="3276">
        <v>1</v>
      </c>
      <c r="G518" s="3276">
        <v>1</v>
      </c>
      <c r="H518" s="3275" t="s">
        <v>3302</v>
      </c>
      <c r="I518" s="3275" t="s">
        <v>3311</v>
      </c>
      <c r="J518" s="3269"/>
      <c r="K518" s="3277">
        <v>38.54</v>
      </c>
      <c r="L518" s="3276"/>
      <c r="M518" s="3276"/>
      <c r="N518" s="3501"/>
      <c r="O518" s="3503"/>
      <c r="P518" s="3503"/>
      <c r="Q518" s="3276"/>
      <c r="R518" s="3276"/>
    </row>
    <row r="519" spans="1:18">
      <c r="A519" s="3269">
        <v>516</v>
      </c>
      <c r="B519" s="3270">
        <v>2</v>
      </c>
      <c r="C519" s="3270">
        <v>1</v>
      </c>
      <c r="D519" s="3275">
        <v>509</v>
      </c>
      <c r="E519" s="3276">
        <v>1</v>
      </c>
      <c r="F519" s="3276">
        <v>1</v>
      </c>
      <c r="G519" s="3276">
        <v>1</v>
      </c>
      <c r="H519" s="3275" t="s">
        <v>3304</v>
      </c>
      <c r="I519" s="3275" t="s">
        <v>3328</v>
      </c>
      <c r="J519" s="3269"/>
      <c r="K519" s="3277">
        <v>39.96</v>
      </c>
      <c r="L519" s="3276"/>
      <c r="M519" s="3276"/>
      <c r="N519" s="3501"/>
      <c r="O519" s="3503"/>
      <c r="P519" s="3503"/>
      <c r="Q519" s="3276"/>
      <c r="R519" s="3276"/>
    </row>
    <row r="520" spans="1:18">
      <c r="A520" s="3269">
        <v>517</v>
      </c>
      <c r="B520" s="3270">
        <v>2</v>
      </c>
      <c r="C520" s="3270">
        <v>1</v>
      </c>
      <c r="D520" s="3275">
        <v>510</v>
      </c>
      <c r="E520" s="3276">
        <v>1</v>
      </c>
      <c r="F520" s="3276">
        <v>1</v>
      </c>
      <c r="G520" s="3276">
        <v>1</v>
      </c>
      <c r="H520" s="3275" t="s">
        <v>3304</v>
      </c>
      <c r="I520" s="3275" t="s">
        <v>3325</v>
      </c>
      <c r="J520" s="3269"/>
      <c r="K520" s="3269">
        <v>39.869999999999997</v>
      </c>
      <c r="L520" s="3276"/>
      <c r="M520" s="3276"/>
      <c r="N520" s="3501"/>
      <c r="O520" s="3503"/>
      <c r="P520" s="3503"/>
      <c r="Q520" s="3276"/>
      <c r="R520" s="3276"/>
    </row>
    <row r="521" spans="1:18">
      <c r="A521" s="3269">
        <v>518</v>
      </c>
      <c r="B521" s="3270">
        <v>2</v>
      </c>
      <c r="C521" s="3270">
        <v>1</v>
      </c>
      <c r="D521" s="3275">
        <v>511</v>
      </c>
      <c r="E521" s="3276">
        <v>1</v>
      </c>
      <c r="F521" s="3276">
        <v>0</v>
      </c>
      <c r="G521" s="3276">
        <v>1</v>
      </c>
      <c r="H521" s="3275" t="s">
        <v>3304</v>
      </c>
      <c r="I521" s="3275" t="s">
        <v>3329</v>
      </c>
      <c r="J521" s="3269"/>
      <c r="K521" s="3269">
        <v>31.98</v>
      </c>
      <c r="L521" s="3276"/>
      <c r="M521" s="3276"/>
      <c r="N521" s="3501"/>
      <c r="O521" s="3503"/>
      <c r="P521" s="3503"/>
      <c r="Q521" s="3276"/>
      <c r="R521" s="3276"/>
    </row>
    <row r="522" spans="1:18">
      <c r="A522" s="3269">
        <v>519</v>
      </c>
      <c r="B522" s="3270">
        <v>2</v>
      </c>
      <c r="C522" s="3270">
        <v>1</v>
      </c>
      <c r="D522" s="3275">
        <v>512</v>
      </c>
      <c r="E522" s="3276">
        <v>1</v>
      </c>
      <c r="F522" s="3276">
        <v>0</v>
      </c>
      <c r="G522" s="3276">
        <v>1</v>
      </c>
      <c r="H522" s="3275" t="s">
        <v>3304</v>
      </c>
      <c r="I522" s="3275" t="s">
        <v>3330</v>
      </c>
      <c r="J522" s="3269"/>
      <c r="K522" s="3269">
        <v>31.54</v>
      </c>
      <c r="L522" s="3276"/>
      <c r="M522" s="3276"/>
      <c r="N522" s="3501"/>
      <c r="O522" s="3503"/>
      <c r="P522" s="3503"/>
      <c r="Q522" s="3276"/>
      <c r="R522" s="3276"/>
    </row>
    <row r="523" spans="1:18">
      <c r="A523" s="3269">
        <v>520</v>
      </c>
      <c r="B523" s="3270">
        <v>2</v>
      </c>
      <c r="C523" s="3270">
        <v>1</v>
      </c>
      <c r="D523" s="3275">
        <v>513</v>
      </c>
      <c r="E523" s="3276">
        <v>1</v>
      </c>
      <c r="F523" s="3276">
        <v>0</v>
      </c>
      <c r="G523" s="3276">
        <v>1</v>
      </c>
      <c r="H523" s="3275" t="s">
        <v>3304</v>
      </c>
      <c r="I523" s="3275" t="s">
        <v>3330</v>
      </c>
      <c r="J523" s="3269"/>
      <c r="K523" s="3269">
        <v>31.54</v>
      </c>
      <c r="L523" s="3276"/>
      <c r="M523" s="3276"/>
      <c r="N523" s="3501"/>
      <c r="O523" s="3503"/>
      <c r="P523" s="3503"/>
      <c r="Q523" s="3276"/>
      <c r="R523" s="3276"/>
    </row>
    <row r="524" spans="1:18">
      <c r="A524" s="3269">
        <v>521</v>
      </c>
      <c r="B524" s="3270">
        <v>2</v>
      </c>
      <c r="C524" s="3270">
        <v>1</v>
      </c>
      <c r="D524" s="3275">
        <v>514</v>
      </c>
      <c r="E524" s="3276">
        <v>1</v>
      </c>
      <c r="F524" s="3276">
        <v>0</v>
      </c>
      <c r="G524" s="3276">
        <v>1</v>
      </c>
      <c r="H524" s="3275" t="s">
        <v>3304</v>
      </c>
      <c r="I524" s="3275" t="s">
        <v>3330</v>
      </c>
      <c r="J524" s="3269"/>
      <c r="K524" s="3269">
        <v>31.54</v>
      </c>
      <c r="L524" s="3276"/>
      <c r="M524" s="3276"/>
      <c r="N524" s="3501"/>
      <c r="O524" s="3503"/>
      <c r="P524" s="3503"/>
      <c r="Q524" s="3276"/>
      <c r="R524" s="3276"/>
    </row>
    <row r="525" spans="1:18">
      <c r="A525" s="3269">
        <v>522</v>
      </c>
      <c r="B525" s="3270">
        <v>2</v>
      </c>
      <c r="C525" s="3270">
        <v>1</v>
      </c>
      <c r="D525" s="3275">
        <v>515</v>
      </c>
      <c r="E525" s="3276">
        <v>1</v>
      </c>
      <c r="F525" s="3276">
        <v>0</v>
      </c>
      <c r="G525" s="3276">
        <v>1</v>
      </c>
      <c r="H525" s="3275" t="s">
        <v>3304</v>
      </c>
      <c r="I525" s="3275" t="s">
        <v>3330</v>
      </c>
      <c r="J525" s="3269"/>
      <c r="K525" s="3269">
        <v>31.54</v>
      </c>
      <c r="L525" s="3276"/>
      <c r="M525" s="3276"/>
      <c r="N525" s="3501"/>
      <c r="O525" s="3503"/>
      <c r="P525" s="3503"/>
      <c r="Q525" s="3276"/>
      <c r="R525" s="3276"/>
    </row>
    <row r="526" spans="1:18">
      <c r="A526" s="3269">
        <v>523</v>
      </c>
      <c r="B526" s="3270">
        <v>2</v>
      </c>
      <c r="C526" s="3270">
        <v>1</v>
      </c>
      <c r="D526" s="3275">
        <v>516</v>
      </c>
      <c r="E526" s="3276">
        <v>1</v>
      </c>
      <c r="F526" s="3276">
        <v>0</v>
      </c>
      <c r="G526" s="3276">
        <v>1</v>
      </c>
      <c r="H526" s="3278" t="s">
        <v>3304</v>
      </c>
      <c r="I526" s="3275" t="s">
        <v>3330</v>
      </c>
      <c r="J526" s="3269"/>
      <c r="K526" s="3269">
        <v>31.54</v>
      </c>
      <c r="L526" s="3276"/>
      <c r="M526" s="3276"/>
      <c r="N526" s="3501"/>
      <c r="O526" s="3503"/>
      <c r="P526" s="3503"/>
      <c r="Q526" s="3276"/>
      <c r="R526" s="3276"/>
    </row>
    <row r="527" spans="1:18">
      <c r="A527" s="3269">
        <v>524</v>
      </c>
      <c r="B527" s="3270">
        <v>2</v>
      </c>
      <c r="C527" s="3270">
        <v>1</v>
      </c>
      <c r="D527" s="3275">
        <v>517</v>
      </c>
      <c r="E527" s="3276">
        <v>1</v>
      </c>
      <c r="F527" s="3276">
        <v>0</v>
      </c>
      <c r="G527" s="3276">
        <v>1</v>
      </c>
      <c r="H527" s="3278" t="s">
        <v>3304</v>
      </c>
      <c r="I527" s="3275" t="s">
        <v>3331</v>
      </c>
      <c r="J527" s="3269"/>
      <c r="K527" s="3269">
        <v>32.26</v>
      </c>
      <c r="L527" s="3276"/>
      <c r="M527" s="3276"/>
      <c r="N527" s="3501"/>
      <c r="O527" s="3503"/>
      <c r="P527" s="3503"/>
      <c r="Q527" s="3276"/>
      <c r="R527" s="3276"/>
    </row>
    <row r="528" spans="1:18">
      <c r="A528" s="3269">
        <v>525</v>
      </c>
      <c r="B528" s="3270">
        <v>2</v>
      </c>
      <c r="C528" s="3270">
        <v>1</v>
      </c>
      <c r="D528" s="3275">
        <v>518</v>
      </c>
      <c r="E528" s="3276">
        <v>1</v>
      </c>
      <c r="F528" s="3276">
        <v>0</v>
      </c>
      <c r="G528" s="3276">
        <v>1</v>
      </c>
      <c r="H528" s="3278" t="s">
        <v>3304</v>
      </c>
      <c r="I528" s="3275" t="s">
        <v>3331</v>
      </c>
      <c r="J528" s="3269"/>
      <c r="K528" s="3269">
        <v>32.26</v>
      </c>
      <c r="L528" s="3276"/>
      <c r="M528" s="3276"/>
      <c r="N528" s="3501"/>
      <c r="O528" s="3503"/>
      <c r="P528" s="3503"/>
      <c r="Q528" s="3276"/>
      <c r="R528" s="3276"/>
    </row>
    <row r="529" spans="1:18">
      <c r="A529" s="3269">
        <v>526</v>
      </c>
      <c r="B529" s="3270">
        <v>2</v>
      </c>
      <c r="C529" s="3270">
        <v>1</v>
      </c>
      <c r="D529" s="3275">
        <v>519</v>
      </c>
      <c r="E529" s="3276">
        <v>1</v>
      </c>
      <c r="F529" s="3276">
        <v>0</v>
      </c>
      <c r="G529" s="3276">
        <v>1</v>
      </c>
      <c r="H529" s="3278" t="s">
        <v>3304</v>
      </c>
      <c r="I529" s="3275" t="s">
        <v>3330</v>
      </c>
      <c r="J529" s="3269"/>
      <c r="K529" s="3269">
        <v>31.54</v>
      </c>
      <c r="L529" s="3276"/>
      <c r="M529" s="3276"/>
      <c r="N529" s="3501"/>
      <c r="O529" s="3503"/>
      <c r="P529" s="3503"/>
      <c r="Q529" s="3276"/>
      <c r="R529" s="3276"/>
    </row>
    <row r="530" spans="1:18">
      <c r="A530" s="3269">
        <v>527</v>
      </c>
      <c r="B530" s="3270">
        <v>2</v>
      </c>
      <c r="C530" s="3270">
        <v>1</v>
      </c>
      <c r="D530" s="3275">
        <v>520</v>
      </c>
      <c r="E530" s="3276">
        <v>1</v>
      </c>
      <c r="F530" s="3276">
        <v>0</v>
      </c>
      <c r="G530" s="3276">
        <v>1</v>
      </c>
      <c r="H530" s="3278" t="s">
        <v>3304</v>
      </c>
      <c r="I530" s="3275" t="s">
        <v>3330</v>
      </c>
      <c r="J530" s="3269"/>
      <c r="K530" s="3269">
        <v>31.54</v>
      </c>
      <c r="L530" s="3276"/>
      <c r="M530" s="3276"/>
      <c r="N530" s="3501"/>
      <c r="O530" s="3503"/>
      <c r="P530" s="3503"/>
      <c r="Q530" s="3276"/>
      <c r="R530" s="3276"/>
    </row>
    <row r="531" spans="1:18">
      <c r="A531" s="3269">
        <v>528</v>
      </c>
      <c r="B531" s="3270">
        <v>2</v>
      </c>
      <c r="C531" s="3270">
        <v>1</v>
      </c>
      <c r="D531" s="3275">
        <v>521</v>
      </c>
      <c r="E531" s="3276">
        <v>1</v>
      </c>
      <c r="F531" s="3276">
        <v>1</v>
      </c>
      <c r="G531" s="3276">
        <v>1</v>
      </c>
      <c r="H531" s="3275" t="s">
        <v>3310</v>
      </c>
      <c r="I531" s="3275" t="s">
        <v>3303</v>
      </c>
      <c r="J531" s="3269"/>
      <c r="K531" s="3277">
        <v>40.520000000000003</v>
      </c>
      <c r="L531" s="3276"/>
      <c r="M531" s="3276"/>
      <c r="N531" s="3501"/>
      <c r="O531" s="3503"/>
      <c r="P531" s="3503"/>
      <c r="Q531" s="3276"/>
      <c r="R531" s="3276"/>
    </row>
    <row r="532" spans="1:18">
      <c r="A532" s="3269">
        <v>529</v>
      </c>
      <c r="B532" s="3270">
        <v>2</v>
      </c>
      <c r="C532" s="3270">
        <v>1</v>
      </c>
      <c r="D532" s="3275">
        <v>522</v>
      </c>
      <c r="E532" s="3276">
        <v>1</v>
      </c>
      <c r="F532" s="3276">
        <v>0</v>
      </c>
      <c r="G532" s="3276">
        <v>1</v>
      </c>
      <c r="H532" s="3275" t="s">
        <v>3312</v>
      </c>
      <c r="I532" s="3275" t="s">
        <v>3323</v>
      </c>
      <c r="J532" s="3269"/>
      <c r="K532" s="3277">
        <v>32.42</v>
      </c>
      <c r="L532" s="3276"/>
      <c r="M532" s="3276"/>
      <c r="N532" s="3501"/>
      <c r="O532" s="3503"/>
      <c r="P532" s="3503"/>
      <c r="Q532" s="3276"/>
      <c r="R532" s="3276"/>
    </row>
    <row r="533" spans="1:18">
      <c r="A533" s="3269">
        <v>530</v>
      </c>
      <c r="B533" s="3270">
        <v>2</v>
      </c>
      <c r="C533" s="3270">
        <v>1</v>
      </c>
      <c r="D533" s="3275">
        <v>523</v>
      </c>
      <c r="E533" s="3276">
        <v>1</v>
      </c>
      <c r="F533" s="3276">
        <v>0</v>
      </c>
      <c r="G533" s="3276">
        <v>1</v>
      </c>
      <c r="H533" s="3275" t="s">
        <v>3332</v>
      </c>
      <c r="I533" s="3275" t="s">
        <v>3333</v>
      </c>
      <c r="J533" s="3269"/>
      <c r="K533" s="3269">
        <v>35.26</v>
      </c>
      <c r="L533" s="3276"/>
      <c r="M533" s="3276"/>
      <c r="N533" s="3501"/>
      <c r="O533" s="3503"/>
      <c r="P533" s="3503"/>
      <c r="Q533" s="3276"/>
      <c r="R533" s="3276"/>
    </row>
    <row r="534" spans="1:18">
      <c r="A534" s="3269">
        <v>531</v>
      </c>
      <c r="B534" s="3270">
        <v>2</v>
      </c>
      <c r="C534" s="3270">
        <v>1</v>
      </c>
      <c r="D534" s="3275">
        <v>524</v>
      </c>
      <c r="E534" s="3276">
        <v>1</v>
      </c>
      <c r="F534" s="3276">
        <v>0</v>
      </c>
      <c r="G534" s="3276">
        <v>1</v>
      </c>
      <c r="H534" s="3275" t="s">
        <v>3332</v>
      </c>
      <c r="I534" s="3275" t="s">
        <v>3334</v>
      </c>
      <c r="J534" s="3269"/>
      <c r="K534" s="3269">
        <v>34.5</v>
      </c>
      <c r="L534" s="3276"/>
      <c r="M534" s="3276"/>
      <c r="N534" s="3501"/>
      <c r="O534" s="3503"/>
      <c r="P534" s="3503"/>
      <c r="Q534" s="3276"/>
      <c r="R534" s="3276"/>
    </row>
    <row r="535" spans="1:18">
      <c r="A535" s="3269">
        <v>532</v>
      </c>
      <c r="B535" s="3270">
        <v>2</v>
      </c>
      <c r="C535" s="3270">
        <v>1</v>
      </c>
      <c r="D535" s="3275">
        <v>525</v>
      </c>
      <c r="E535" s="3276">
        <v>1</v>
      </c>
      <c r="F535" s="3276">
        <v>1</v>
      </c>
      <c r="G535" s="3276">
        <v>1</v>
      </c>
      <c r="H535" s="3275" t="s">
        <v>3332</v>
      </c>
      <c r="I535" s="3275" t="s">
        <v>3335</v>
      </c>
      <c r="J535" s="3269"/>
      <c r="K535" s="3269">
        <v>40.32</v>
      </c>
      <c r="L535" s="3276"/>
      <c r="M535" s="3276"/>
      <c r="N535" s="3501"/>
      <c r="O535" s="3503"/>
      <c r="P535" s="3503"/>
      <c r="Q535" s="3276"/>
      <c r="R535" s="3276"/>
    </row>
    <row r="536" spans="1:18">
      <c r="A536" s="3269">
        <v>533</v>
      </c>
      <c r="B536" s="3270">
        <v>2</v>
      </c>
      <c r="C536" s="3270">
        <v>1</v>
      </c>
      <c r="D536" s="3275">
        <v>526</v>
      </c>
      <c r="E536" s="3276">
        <v>1</v>
      </c>
      <c r="F536" s="3276">
        <v>1</v>
      </c>
      <c r="G536" s="3276">
        <v>1</v>
      </c>
      <c r="H536" s="3275" t="s">
        <v>3332</v>
      </c>
      <c r="I536" s="3275" t="s">
        <v>3335</v>
      </c>
      <c r="J536" s="3269"/>
      <c r="K536" s="3269">
        <v>40.32</v>
      </c>
      <c r="L536" s="3276"/>
      <c r="M536" s="3276"/>
      <c r="N536" s="3501"/>
      <c r="O536" s="3503"/>
      <c r="P536" s="3503"/>
      <c r="Q536" s="3276"/>
      <c r="R536" s="3276"/>
    </row>
    <row r="537" spans="1:18">
      <c r="A537" s="3269">
        <v>534</v>
      </c>
      <c r="B537" s="3270">
        <v>2</v>
      </c>
      <c r="C537" s="3270">
        <v>1</v>
      </c>
      <c r="D537" s="3275">
        <v>527</v>
      </c>
      <c r="E537" s="3276">
        <v>1</v>
      </c>
      <c r="F537" s="3276">
        <v>1</v>
      </c>
      <c r="G537" s="3276">
        <v>1</v>
      </c>
      <c r="H537" s="3275" t="s">
        <v>3332</v>
      </c>
      <c r="I537" s="3275" t="s">
        <v>3335</v>
      </c>
      <c r="J537" s="3269"/>
      <c r="K537" s="3269">
        <v>40.32</v>
      </c>
      <c r="L537" s="3276"/>
      <c r="M537" s="3276"/>
      <c r="N537" s="3501"/>
      <c r="O537" s="3503"/>
      <c r="P537" s="3503"/>
      <c r="Q537" s="3276"/>
      <c r="R537" s="3276"/>
    </row>
    <row r="538" spans="1:18">
      <c r="A538" s="3269">
        <v>535</v>
      </c>
      <c r="B538" s="3270">
        <v>2</v>
      </c>
      <c r="C538" s="3270">
        <v>1</v>
      </c>
      <c r="D538" s="3275">
        <v>528</v>
      </c>
      <c r="E538" s="3276">
        <v>1</v>
      </c>
      <c r="F538" s="3276">
        <v>1</v>
      </c>
      <c r="G538" s="3276">
        <v>1</v>
      </c>
      <c r="H538" s="3275" t="s">
        <v>3332</v>
      </c>
      <c r="I538" s="3275" t="s">
        <v>3335</v>
      </c>
      <c r="J538" s="3269"/>
      <c r="K538" s="3269">
        <v>40.32</v>
      </c>
      <c r="L538" s="3276"/>
      <c r="M538" s="3276"/>
      <c r="N538" s="3501"/>
      <c r="O538" s="3503"/>
      <c r="P538" s="3503"/>
      <c r="Q538" s="3276"/>
      <c r="R538" s="3276"/>
    </row>
    <row r="539" spans="1:18">
      <c r="A539" s="3269">
        <v>536</v>
      </c>
      <c r="B539" s="3270">
        <v>2</v>
      </c>
      <c r="C539" s="3270">
        <v>1</v>
      </c>
      <c r="D539" s="3275">
        <v>529</v>
      </c>
      <c r="E539" s="3276">
        <v>1</v>
      </c>
      <c r="F539" s="3276">
        <v>1</v>
      </c>
      <c r="G539" s="3276">
        <v>1</v>
      </c>
      <c r="H539" s="3275" t="s">
        <v>3332</v>
      </c>
      <c r="I539" s="3275" t="s">
        <v>3335</v>
      </c>
      <c r="J539" s="3269"/>
      <c r="K539" s="3269">
        <v>40.32</v>
      </c>
      <c r="L539" s="3276"/>
      <c r="M539" s="3276"/>
      <c r="N539" s="3501"/>
      <c r="O539" s="3503"/>
      <c r="P539" s="3503"/>
      <c r="Q539" s="3276"/>
      <c r="R539" s="3276"/>
    </row>
    <row r="540" spans="1:18">
      <c r="A540" s="3269">
        <v>537</v>
      </c>
      <c r="B540" s="3270">
        <v>2</v>
      </c>
      <c r="C540" s="3270">
        <v>1</v>
      </c>
      <c r="D540" s="3275">
        <v>530</v>
      </c>
      <c r="E540" s="3276">
        <v>1</v>
      </c>
      <c r="F540" s="3276">
        <v>1</v>
      </c>
      <c r="G540" s="3276">
        <v>1</v>
      </c>
      <c r="H540" s="3275" t="s">
        <v>3332</v>
      </c>
      <c r="I540" s="3275" t="s">
        <v>3335</v>
      </c>
      <c r="J540" s="3269"/>
      <c r="K540" s="3269">
        <v>40.32</v>
      </c>
      <c r="L540" s="3276"/>
      <c r="M540" s="3276"/>
      <c r="N540" s="3501"/>
      <c r="O540" s="3503"/>
      <c r="P540" s="3503"/>
      <c r="Q540" s="3276"/>
      <c r="R540" s="3276"/>
    </row>
    <row r="541" spans="1:18">
      <c r="A541" s="3269">
        <v>538</v>
      </c>
      <c r="B541" s="3270">
        <v>2</v>
      </c>
      <c r="C541" s="3270">
        <v>1</v>
      </c>
      <c r="D541" s="3275">
        <v>531</v>
      </c>
      <c r="E541" s="3276">
        <v>1</v>
      </c>
      <c r="F541" s="3276">
        <v>1</v>
      </c>
      <c r="G541" s="3276">
        <v>1</v>
      </c>
      <c r="H541" s="3275" t="s">
        <v>3332</v>
      </c>
      <c r="I541" s="3275" t="s">
        <v>3335</v>
      </c>
      <c r="J541" s="3269"/>
      <c r="K541" s="3269">
        <v>40.32</v>
      </c>
      <c r="L541" s="3276"/>
      <c r="M541" s="3276"/>
      <c r="N541" s="3501"/>
      <c r="O541" s="3503"/>
      <c r="P541" s="3503"/>
      <c r="Q541" s="3276"/>
      <c r="R541" s="3276"/>
    </row>
    <row r="542" spans="1:18">
      <c r="A542" s="3269">
        <v>539</v>
      </c>
      <c r="B542" s="3270">
        <v>2</v>
      </c>
      <c r="C542" s="3270">
        <v>1</v>
      </c>
      <c r="D542" s="3275">
        <v>532</v>
      </c>
      <c r="E542" s="3276">
        <v>1</v>
      </c>
      <c r="F542" s="3276">
        <v>1</v>
      </c>
      <c r="G542" s="3276">
        <v>1</v>
      </c>
      <c r="H542" s="3275" t="s">
        <v>3332</v>
      </c>
      <c r="I542" s="3275" t="s">
        <v>3335</v>
      </c>
      <c r="J542" s="3269"/>
      <c r="K542" s="3269">
        <v>40.32</v>
      </c>
      <c r="L542" s="3276"/>
      <c r="M542" s="3276"/>
      <c r="N542" s="3501"/>
      <c r="O542" s="3503"/>
      <c r="P542" s="3503"/>
      <c r="Q542" s="3276"/>
      <c r="R542" s="3276"/>
    </row>
    <row r="543" spans="1:18">
      <c r="A543" s="3269">
        <v>540</v>
      </c>
      <c r="B543" s="3270">
        <v>2</v>
      </c>
      <c r="C543" s="3270">
        <v>1</v>
      </c>
      <c r="D543" s="3275">
        <v>533</v>
      </c>
      <c r="E543" s="3276">
        <v>1</v>
      </c>
      <c r="F543" s="3276">
        <v>1</v>
      </c>
      <c r="G543" s="3276">
        <v>1</v>
      </c>
      <c r="H543" s="3275" t="s">
        <v>3332</v>
      </c>
      <c r="I543" s="3275" t="s">
        <v>3335</v>
      </c>
      <c r="J543" s="3269"/>
      <c r="K543" s="3269">
        <v>40.32</v>
      </c>
      <c r="L543" s="3276"/>
      <c r="M543" s="3276"/>
      <c r="N543" s="3501"/>
      <c r="O543" s="3503"/>
      <c r="P543" s="3503"/>
      <c r="Q543" s="3276"/>
      <c r="R543" s="3276"/>
    </row>
    <row r="544" spans="1:18">
      <c r="A544" s="3269">
        <v>541</v>
      </c>
      <c r="B544" s="3270">
        <v>2</v>
      </c>
      <c r="C544" s="3270">
        <v>1</v>
      </c>
      <c r="D544" s="3275">
        <v>534</v>
      </c>
      <c r="E544" s="3276">
        <v>1</v>
      </c>
      <c r="F544" s="3276">
        <v>1</v>
      </c>
      <c r="G544" s="3276">
        <v>1</v>
      </c>
      <c r="H544" s="3275" t="s">
        <v>3332</v>
      </c>
      <c r="I544" s="3275" t="s">
        <v>3335</v>
      </c>
      <c r="J544" s="3269"/>
      <c r="K544" s="3269">
        <v>40.32</v>
      </c>
      <c r="L544" s="3276"/>
      <c r="M544" s="3276"/>
      <c r="N544" s="3501"/>
      <c r="O544" s="3503"/>
      <c r="P544" s="3503"/>
      <c r="Q544" s="3276"/>
      <c r="R544" s="3276"/>
    </row>
    <row r="545" spans="1:18">
      <c r="A545" s="3269">
        <v>542</v>
      </c>
      <c r="B545" s="3270">
        <v>2</v>
      </c>
      <c r="C545" s="3270">
        <v>1</v>
      </c>
      <c r="D545" s="3275">
        <v>535</v>
      </c>
      <c r="E545" s="3276">
        <v>1</v>
      </c>
      <c r="F545" s="3276">
        <v>1</v>
      </c>
      <c r="G545" s="3276">
        <v>1</v>
      </c>
      <c r="H545" s="3275" t="s">
        <v>3332</v>
      </c>
      <c r="I545" s="3275" t="s">
        <v>3336</v>
      </c>
      <c r="J545" s="3269"/>
      <c r="K545" s="3269">
        <v>42.56</v>
      </c>
      <c r="L545" s="3276"/>
      <c r="M545" s="3276"/>
      <c r="N545" s="3501"/>
      <c r="O545" s="3503"/>
      <c r="P545" s="3503"/>
      <c r="Q545" s="3276"/>
      <c r="R545" s="3276"/>
    </row>
    <row r="546" spans="1:18">
      <c r="A546" s="3269">
        <v>543</v>
      </c>
      <c r="B546" s="3270">
        <v>2</v>
      </c>
      <c r="C546" s="3270">
        <v>1</v>
      </c>
      <c r="D546" s="3275">
        <v>536</v>
      </c>
      <c r="E546" s="3276">
        <v>1</v>
      </c>
      <c r="F546" s="3276">
        <v>1</v>
      </c>
      <c r="G546" s="3276">
        <v>1</v>
      </c>
      <c r="H546" s="3275" t="s">
        <v>3312</v>
      </c>
      <c r="I546" s="3275" t="s">
        <v>3337</v>
      </c>
      <c r="J546" s="3269"/>
      <c r="K546" s="3269">
        <v>40.42</v>
      </c>
      <c r="L546" s="3276"/>
      <c r="M546" s="3276"/>
      <c r="N546" s="3501"/>
      <c r="O546" s="3503"/>
      <c r="P546" s="3503"/>
      <c r="Q546" s="3276"/>
      <c r="R546" s="3276"/>
    </row>
    <row r="547" spans="1:18">
      <c r="A547" s="3269">
        <v>544</v>
      </c>
      <c r="B547" s="3270">
        <v>2</v>
      </c>
      <c r="C547" s="3270">
        <v>1</v>
      </c>
      <c r="D547" s="3275">
        <v>537</v>
      </c>
      <c r="E547" s="3276">
        <v>1</v>
      </c>
      <c r="F547" s="3276">
        <v>1</v>
      </c>
      <c r="G547" s="3276">
        <v>1</v>
      </c>
      <c r="H547" s="3275" t="s">
        <v>3312</v>
      </c>
      <c r="I547" s="3275" t="s">
        <v>3335</v>
      </c>
      <c r="J547" s="3269"/>
      <c r="K547" s="3269">
        <v>40.32</v>
      </c>
      <c r="L547" s="3276"/>
      <c r="M547" s="3276"/>
      <c r="N547" s="3501"/>
      <c r="O547" s="3503"/>
      <c r="P547" s="3503"/>
      <c r="Q547" s="3276"/>
      <c r="R547" s="3276"/>
    </row>
    <row r="548" spans="1:18">
      <c r="A548" s="3269">
        <v>545</v>
      </c>
      <c r="B548" s="3270">
        <v>2</v>
      </c>
      <c r="C548" s="3270">
        <v>1</v>
      </c>
      <c r="D548" s="3275">
        <v>538</v>
      </c>
      <c r="E548" s="3276">
        <v>1</v>
      </c>
      <c r="F548" s="3276">
        <v>1</v>
      </c>
      <c r="G548" s="3276">
        <v>1</v>
      </c>
      <c r="H548" s="3275" t="s">
        <v>3312</v>
      </c>
      <c r="I548" s="3275" t="s">
        <v>3338</v>
      </c>
      <c r="J548" s="3269"/>
      <c r="K548" s="3269">
        <v>32.26</v>
      </c>
      <c r="L548" s="3276"/>
      <c r="M548" s="3276"/>
      <c r="N548" s="3501"/>
      <c r="O548" s="3503"/>
      <c r="P548" s="3503"/>
      <c r="Q548" s="3276"/>
      <c r="R548" s="3276"/>
    </row>
    <row r="549" spans="1:18" ht="14.25" thickBot="1">
      <c r="A549" s="3269">
        <v>546</v>
      </c>
      <c r="B549" s="3270">
        <v>2</v>
      </c>
      <c r="C549" s="3270">
        <v>1</v>
      </c>
      <c r="D549" s="3279">
        <v>539</v>
      </c>
      <c r="E549" s="3284">
        <v>4</v>
      </c>
      <c r="F549" s="3280">
        <v>1</v>
      </c>
      <c r="G549" s="3280">
        <v>1</v>
      </c>
      <c r="H549" s="3279" t="s">
        <v>3316</v>
      </c>
      <c r="I549" s="3279" t="s">
        <v>3319</v>
      </c>
      <c r="J549" s="3281"/>
      <c r="K549" s="3282">
        <v>75.8</v>
      </c>
      <c r="L549" s="3280"/>
      <c r="M549" s="3280"/>
      <c r="N549" s="3502"/>
      <c r="O549" s="3504"/>
      <c r="P549" s="3504"/>
      <c r="Q549" s="3280"/>
      <c r="R549" s="3280"/>
    </row>
    <row r="550" spans="1:18" ht="14.25" thickTop="1">
      <c r="A550" s="3269">
        <v>547</v>
      </c>
      <c r="B550" s="3270">
        <v>2</v>
      </c>
      <c r="C550" s="3270">
        <v>1</v>
      </c>
      <c r="D550" s="3271">
        <v>601</v>
      </c>
      <c r="E550" s="3272">
        <v>4</v>
      </c>
      <c r="F550" s="3272">
        <v>1</v>
      </c>
      <c r="G550" s="3272">
        <v>1</v>
      </c>
      <c r="H550" s="3271" t="s">
        <v>3318</v>
      </c>
      <c r="I550" s="3271" t="s">
        <v>3317</v>
      </c>
      <c r="J550" s="3273"/>
      <c r="K550" s="3274">
        <v>75.8</v>
      </c>
      <c r="L550" s="3272"/>
      <c r="M550" s="3272"/>
      <c r="N550" s="3500">
        <v>2.9</v>
      </c>
      <c r="O550" s="3500" t="s">
        <v>3297</v>
      </c>
      <c r="P550" s="3500" t="s">
        <v>3298</v>
      </c>
      <c r="Q550" s="3272"/>
      <c r="R550" s="3272"/>
    </row>
    <row r="551" spans="1:18">
      <c r="A551" s="3269">
        <v>548</v>
      </c>
      <c r="B551" s="3270">
        <v>2</v>
      </c>
      <c r="C551" s="3270">
        <v>1</v>
      </c>
      <c r="D551" s="3275">
        <v>602</v>
      </c>
      <c r="E551" s="3276">
        <v>1</v>
      </c>
      <c r="F551" s="3276">
        <v>1</v>
      </c>
      <c r="G551" s="3276">
        <v>1</v>
      </c>
      <c r="H551" s="3275" t="s">
        <v>3300</v>
      </c>
      <c r="I551" s="3275" t="s">
        <v>3324</v>
      </c>
      <c r="J551" s="3269"/>
      <c r="K551" s="3277">
        <v>41.22</v>
      </c>
      <c r="L551" s="3276"/>
      <c r="M551" s="3276"/>
      <c r="N551" s="3501"/>
      <c r="O551" s="3503"/>
      <c r="P551" s="3503"/>
      <c r="Q551" s="3276"/>
      <c r="R551" s="3276"/>
    </row>
    <row r="552" spans="1:18">
      <c r="A552" s="3269">
        <v>549</v>
      </c>
      <c r="B552" s="3270">
        <v>2</v>
      </c>
      <c r="C552" s="3270">
        <v>1</v>
      </c>
      <c r="D552" s="3275">
        <v>603</v>
      </c>
      <c r="E552" s="3276">
        <v>1</v>
      </c>
      <c r="F552" s="3276">
        <v>1</v>
      </c>
      <c r="G552" s="3276">
        <v>1</v>
      </c>
      <c r="H552" s="3275" t="s">
        <v>3300</v>
      </c>
      <c r="I552" s="3275" t="s">
        <v>3325</v>
      </c>
      <c r="J552" s="3269"/>
      <c r="K552" s="3269">
        <v>39.869999999999997</v>
      </c>
      <c r="L552" s="3276"/>
      <c r="M552" s="3276"/>
      <c r="N552" s="3501"/>
      <c r="O552" s="3503"/>
      <c r="P552" s="3503"/>
      <c r="Q552" s="3276"/>
      <c r="R552" s="3276"/>
    </row>
    <row r="553" spans="1:18">
      <c r="A553" s="3269">
        <v>550</v>
      </c>
      <c r="B553" s="3270">
        <v>2</v>
      </c>
      <c r="C553" s="3270">
        <v>1</v>
      </c>
      <c r="D553" s="3275">
        <v>604</v>
      </c>
      <c r="E553" s="3276">
        <v>1</v>
      </c>
      <c r="F553" s="3276">
        <v>1</v>
      </c>
      <c r="G553" s="3276">
        <v>1</v>
      </c>
      <c r="H553" s="3275" t="s">
        <v>3300</v>
      </c>
      <c r="I553" s="3275" t="s">
        <v>3326</v>
      </c>
      <c r="J553" s="3269"/>
      <c r="K553" s="3269">
        <v>40.32</v>
      </c>
      <c r="L553" s="3276"/>
      <c r="M553" s="3276"/>
      <c r="N553" s="3501"/>
      <c r="O553" s="3503"/>
      <c r="P553" s="3503"/>
      <c r="Q553" s="3276"/>
      <c r="R553" s="3276"/>
    </row>
    <row r="554" spans="1:18">
      <c r="A554" s="3269">
        <v>551</v>
      </c>
      <c r="B554" s="3270">
        <v>2</v>
      </c>
      <c r="C554" s="3270">
        <v>1</v>
      </c>
      <c r="D554" s="3275">
        <v>605</v>
      </c>
      <c r="E554" s="3276">
        <v>1</v>
      </c>
      <c r="F554" s="3276">
        <v>1</v>
      </c>
      <c r="G554" s="3276">
        <v>1</v>
      </c>
      <c r="H554" s="3275" t="s">
        <v>3300</v>
      </c>
      <c r="I554" s="3275" t="s">
        <v>3326</v>
      </c>
      <c r="J554" s="3269"/>
      <c r="K554" s="3269">
        <v>40.32</v>
      </c>
      <c r="L554" s="3276"/>
      <c r="M554" s="3276"/>
      <c r="N554" s="3501"/>
      <c r="O554" s="3503"/>
      <c r="P554" s="3503"/>
      <c r="Q554" s="3276"/>
      <c r="R554" s="3276"/>
    </row>
    <row r="555" spans="1:18">
      <c r="A555" s="3269">
        <v>552</v>
      </c>
      <c r="B555" s="3270">
        <v>2</v>
      </c>
      <c r="C555" s="3270">
        <v>1</v>
      </c>
      <c r="D555" s="3275">
        <v>606</v>
      </c>
      <c r="E555" s="3276">
        <v>1</v>
      </c>
      <c r="F555" s="3276">
        <v>1</v>
      </c>
      <c r="G555" s="3276">
        <v>1</v>
      </c>
      <c r="H555" s="3275" t="s">
        <v>3300</v>
      </c>
      <c r="I555" s="3275" t="s">
        <v>3327</v>
      </c>
      <c r="J555" s="3269"/>
      <c r="K555" s="3269">
        <v>39.97</v>
      </c>
      <c r="L555" s="3276"/>
      <c r="M555" s="3276"/>
      <c r="N555" s="3501"/>
      <c r="O555" s="3503"/>
      <c r="P555" s="3503"/>
      <c r="Q555" s="3276"/>
      <c r="R555" s="3276"/>
    </row>
    <row r="556" spans="1:18">
      <c r="A556" s="3269">
        <v>553</v>
      </c>
      <c r="B556" s="3270">
        <v>2</v>
      </c>
      <c r="C556" s="3270">
        <v>1</v>
      </c>
      <c r="D556" s="3275">
        <v>607</v>
      </c>
      <c r="E556" s="3276">
        <v>2</v>
      </c>
      <c r="F556" s="3276">
        <v>1</v>
      </c>
      <c r="G556" s="3276">
        <v>1</v>
      </c>
      <c r="H556" s="3275" t="s">
        <v>3300</v>
      </c>
      <c r="I556" s="3275" t="s">
        <v>3313</v>
      </c>
      <c r="J556" s="3269"/>
      <c r="K556" s="3277">
        <v>67.27</v>
      </c>
      <c r="L556" s="3276"/>
      <c r="M556" s="3276"/>
      <c r="N556" s="3501"/>
      <c r="O556" s="3503"/>
      <c r="P556" s="3503"/>
      <c r="Q556" s="3276"/>
      <c r="R556" s="3276"/>
    </row>
    <row r="557" spans="1:18">
      <c r="A557" s="3269">
        <v>554</v>
      </c>
      <c r="B557" s="3270">
        <v>2</v>
      </c>
      <c r="C557" s="3270">
        <v>1</v>
      </c>
      <c r="D557" s="3275">
        <v>608</v>
      </c>
      <c r="E557" s="3276">
        <v>1</v>
      </c>
      <c r="F557" s="3276">
        <v>1</v>
      </c>
      <c r="G557" s="3276">
        <v>1</v>
      </c>
      <c r="H557" s="3275" t="s">
        <v>3302</v>
      </c>
      <c r="I557" s="3275" t="s">
        <v>3311</v>
      </c>
      <c r="J557" s="3269"/>
      <c r="K557" s="3277">
        <v>38.54</v>
      </c>
      <c r="L557" s="3276"/>
      <c r="M557" s="3276"/>
      <c r="N557" s="3501"/>
      <c r="O557" s="3503"/>
      <c r="P557" s="3503"/>
      <c r="Q557" s="3276"/>
      <c r="R557" s="3276"/>
    </row>
    <row r="558" spans="1:18">
      <c r="A558" s="3269">
        <v>555</v>
      </c>
      <c r="B558" s="3270">
        <v>2</v>
      </c>
      <c r="C558" s="3270">
        <v>1</v>
      </c>
      <c r="D558" s="3275">
        <v>609</v>
      </c>
      <c r="E558" s="3276">
        <v>1</v>
      </c>
      <c r="F558" s="3276">
        <v>1</v>
      </c>
      <c r="G558" s="3276">
        <v>1</v>
      </c>
      <c r="H558" s="3275" t="s">
        <v>3304</v>
      </c>
      <c r="I558" s="3275" t="s">
        <v>3328</v>
      </c>
      <c r="J558" s="3269"/>
      <c r="K558" s="3277">
        <v>39.96</v>
      </c>
      <c r="L558" s="3276"/>
      <c r="M558" s="3276"/>
      <c r="N558" s="3501"/>
      <c r="O558" s="3503"/>
      <c r="P558" s="3503"/>
      <c r="Q558" s="3276"/>
      <c r="R558" s="3276"/>
    </row>
    <row r="559" spans="1:18">
      <c r="A559" s="3269">
        <v>556</v>
      </c>
      <c r="B559" s="3270">
        <v>2</v>
      </c>
      <c r="C559" s="3270">
        <v>1</v>
      </c>
      <c r="D559" s="3275">
        <v>610</v>
      </c>
      <c r="E559" s="3276">
        <v>1</v>
      </c>
      <c r="F559" s="3276">
        <v>1</v>
      </c>
      <c r="G559" s="3276">
        <v>1</v>
      </c>
      <c r="H559" s="3275" t="s">
        <v>3304</v>
      </c>
      <c r="I559" s="3275" t="s">
        <v>3325</v>
      </c>
      <c r="J559" s="3269"/>
      <c r="K559" s="3269">
        <v>39.869999999999997</v>
      </c>
      <c r="L559" s="3276"/>
      <c r="M559" s="3276"/>
      <c r="N559" s="3501"/>
      <c r="O559" s="3503"/>
      <c r="P559" s="3503"/>
      <c r="Q559" s="3276"/>
      <c r="R559" s="3276"/>
    </row>
    <row r="560" spans="1:18">
      <c r="A560" s="3269">
        <v>557</v>
      </c>
      <c r="B560" s="3270">
        <v>2</v>
      </c>
      <c r="C560" s="3270">
        <v>1</v>
      </c>
      <c r="D560" s="3275">
        <v>611</v>
      </c>
      <c r="E560" s="3276">
        <v>1</v>
      </c>
      <c r="F560" s="3276">
        <v>0</v>
      </c>
      <c r="G560" s="3276">
        <v>1</v>
      </c>
      <c r="H560" s="3275" t="s">
        <v>3304</v>
      </c>
      <c r="I560" s="3275" t="s">
        <v>3329</v>
      </c>
      <c r="J560" s="3269"/>
      <c r="K560" s="3269">
        <v>31.98</v>
      </c>
      <c r="L560" s="3276"/>
      <c r="M560" s="3276"/>
      <c r="N560" s="3501"/>
      <c r="O560" s="3503"/>
      <c r="P560" s="3503"/>
      <c r="Q560" s="3276"/>
      <c r="R560" s="3276"/>
    </row>
    <row r="561" spans="1:18">
      <c r="A561" s="3269">
        <v>558</v>
      </c>
      <c r="B561" s="3270">
        <v>2</v>
      </c>
      <c r="C561" s="3270">
        <v>1</v>
      </c>
      <c r="D561" s="3275">
        <v>612</v>
      </c>
      <c r="E561" s="3276">
        <v>1</v>
      </c>
      <c r="F561" s="3276">
        <v>0</v>
      </c>
      <c r="G561" s="3276">
        <v>1</v>
      </c>
      <c r="H561" s="3275" t="s">
        <v>3304</v>
      </c>
      <c r="I561" s="3275" t="s">
        <v>3330</v>
      </c>
      <c r="J561" s="3269"/>
      <c r="K561" s="3269">
        <v>31.54</v>
      </c>
      <c r="L561" s="3276"/>
      <c r="M561" s="3276"/>
      <c r="N561" s="3501"/>
      <c r="O561" s="3503"/>
      <c r="P561" s="3503"/>
      <c r="Q561" s="3276"/>
      <c r="R561" s="3276"/>
    </row>
    <row r="562" spans="1:18">
      <c r="A562" s="3269">
        <v>559</v>
      </c>
      <c r="B562" s="3270">
        <v>2</v>
      </c>
      <c r="C562" s="3270">
        <v>1</v>
      </c>
      <c r="D562" s="3275">
        <v>613</v>
      </c>
      <c r="E562" s="3276">
        <v>1</v>
      </c>
      <c r="F562" s="3276">
        <v>0</v>
      </c>
      <c r="G562" s="3276">
        <v>1</v>
      </c>
      <c r="H562" s="3275" t="s">
        <v>3304</v>
      </c>
      <c r="I562" s="3275" t="s">
        <v>3330</v>
      </c>
      <c r="J562" s="3269"/>
      <c r="K562" s="3269">
        <v>31.54</v>
      </c>
      <c r="L562" s="3276"/>
      <c r="M562" s="3276"/>
      <c r="N562" s="3501"/>
      <c r="O562" s="3503"/>
      <c r="P562" s="3503"/>
      <c r="Q562" s="3276"/>
      <c r="R562" s="3276"/>
    </row>
    <row r="563" spans="1:18">
      <c r="A563" s="3269">
        <v>560</v>
      </c>
      <c r="B563" s="3270">
        <v>2</v>
      </c>
      <c r="C563" s="3270">
        <v>1</v>
      </c>
      <c r="D563" s="3275">
        <v>614</v>
      </c>
      <c r="E563" s="3276">
        <v>1</v>
      </c>
      <c r="F563" s="3276">
        <v>0</v>
      </c>
      <c r="G563" s="3276">
        <v>1</v>
      </c>
      <c r="H563" s="3275" t="s">
        <v>3304</v>
      </c>
      <c r="I563" s="3275" t="s">
        <v>3330</v>
      </c>
      <c r="J563" s="3269"/>
      <c r="K563" s="3269">
        <v>31.54</v>
      </c>
      <c r="L563" s="3276"/>
      <c r="M563" s="3276"/>
      <c r="N563" s="3501"/>
      <c r="O563" s="3503"/>
      <c r="P563" s="3503"/>
      <c r="Q563" s="3276"/>
      <c r="R563" s="3276"/>
    </row>
    <row r="564" spans="1:18">
      <c r="A564" s="3269">
        <v>561</v>
      </c>
      <c r="B564" s="3270">
        <v>2</v>
      </c>
      <c r="C564" s="3270">
        <v>1</v>
      </c>
      <c r="D564" s="3275">
        <v>615</v>
      </c>
      <c r="E564" s="3276">
        <v>1</v>
      </c>
      <c r="F564" s="3276">
        <v>0</v>
      </c>
      <c r="G564" s="3276">
        <v>1</v>
      </c>
      <c r="H564" s="3275" t="s">
        <v>3304</v>
      </c>
      <c r="I564" s="3275" t="s">
        <v>3330</v>
      </c>
      <c r="J564" s="3269"/>
      <c r="K564" s="3269">
        <v>31.54</v>
      </c>
      <c r="L564" s="3276"/>
      <c r="M564" s="3276"/>
      <c r="N564" s="3501"/>
      <c r="O564" s="3503"/>
      <c r="P564" s="3503"/>
      <c r="Q564" s="3276"/>
      <c r="R564" s="3276"/>
    </row>
    <row r="565" spans="1:18">
      <c r="A565" s="3269">
        <v>562</v>
      </c>
      <c r="B565" s="3270">
        <v>2</v>
      </c>
      <c r="C565" s="3270">
        <v>1</v>
      </c>
      <c r="D565" s="3275">
        <v>616</v>
      </c>
      <c r="E565" s="3276">
        <v>1</v>
      </c>
      <c r="F565" s="3276">
        <v>0</v>
      </c>
      <c r="G565" s="3276">
        <v>1</v>
      </c>
      <c r="H565" s="3278" t="s">
        <v>3304</v>
      </c>
      <c r="I565" s="3275" t="s">
        <v>3330</v>
      </c>
      <c r="J565" s="3269"/>
      <c r="K565" s="3269">
        <v>31.54</v>
      </c>
      <c r="L565" s="3276"/>
      <c r="M565" s="3276"/>
      <c r="N565" s="3501"/>
      <c r="O565" s="3503"/>
      <c r="P565" s="3503"/>
      <c r="Q565" s="3276"/>
      <c r="R565" s="3276"/>
    </row>
    <row r="566" spans="1:18">
      <c r="A566" s="3269">
        <v>563</v>
      </c>
      <c r="B566" s="3270">
        <v>2</v>
      </c>
      <c r="C566" s="3270">
        <v>1</v>
      </c>
      <c r="D566" s="3275">
        <v>617</v>
      </c>
      <c r="E566" s="3276">
        <v>1</v>
      </c>
      <c r="F566" s="3276">
        <v>0</v>
      </c>
      <c r="G566" s="3276">
        <v>1</v>
      </c>
      <c r="H566" s="3278" t="s">
        <v>3304</v>
      </c>
      <c r="I566" s="3275" t="s">
        <v>3331</v>
      </c>
      <c r="J566" s="3269"/>
      <c r="K566" s="3269">
        <v>32.26</v>
      </c>
      <c r="L566" s="3276"/>
      <c r="M566" s="3276"/>
      <c r="N566" s="3501"/>
      <c r="O566" s="3503"/>
      <c r="P566" s="3503"/>
      <c r="Q566" s="3276"/>
      <c r="R566" s="3276"/>
    </row>
    <row r="567" spans="1:18">
      <c r="A567" s="3269">
        <v>564</v>
      </c>
      <c r="B567" s="3270">
        <v>2</v>
      </c>
      <c r="C567" s="3270">
        <v>1</v>
      </c>
      <c r="D567" s="3275">
        <v>618</v>
      </c>
      <c r="E567" s="3276">
        <v>1</v>
      </c>
      <c r="F567" s="3276">
        <v>0</v>
      </c>
      <c r="G567" s="3276">
        <v>1</v>
      </c>
      <c r="H567" s="3278" t="s">
        <v>3304</v>
      </c>
      <c r="I567" s="3275" t="s">
        <v>3331</v>
      </c>
      <c r="J567" s="3269"/>
      <c r="K567" s="3269">
        <v>32.26</v>
      </c>
      <c r="L567" s="3276"/>
      <c r="M567" s="3276"/>
      <c r="N567" s="3501"/>
      <c r="O567" s="3503"/>
      <c r="P567" s="3503"/>
      <c r="Q567" s="3276"/>
      <c r="R567" s="3276"/>
    </row>
    <row r="568" spans="1:18">
      <c r="A568" s="3269">
        <v>565</v>
      </c>
      <c r="B568" s="3270">
        <v>2</v>
      </c>
      <c r="C568" s="3270">
        <v>1</v>
      </c>
      <c r="D568" s="3275">
        <v>619</v>
      </c>
      <c r="E568" s="3276">
        <v>1</v>
      </c>
      <c r="F568" s="3276">
        <v>0</v>
      </c>
      <c r="G568" s="3276">
        <v>1</v>
      </c>
      <c r="H568" s="3278" t="s">
        <v>3304</v>
      </c>
      <c r="I568" s="3275" t="s">
        <v>3330</v>
      </c>
      <c r="J568" s="3269"/>
      <c r="K568" s="3269">
        <v>31.54</v>
      </c>
      <c r="L568" s="3276"/>
      <c r="M568" s="3276"/>
      <c r="N568" s="3501"/>
      <c r="O568" s="3503"/>
      <c r="P568" s="3503"/>
      <c r="Q568" s="3276"/>
      <c r="R568" s="3276"/>
    </row>
    <row r="569" spans="1:18">
      <c r="A569" s="3269">
        <v>566</v>
      </c>
      <c r="B569" s="3270">
        <v>2</v>
      </c>
      <c r="C569" s="3270">
        <v>1</v>
      </c>
      <c r="D569" s="3275">
        <v>620</v>
      </c>
      <c r="E569" s="3276">
        <v>1</v>
      </c>
      <c r="F569" s="3276">
        <v>0</v>
      </c>
      <c r="G569" s="3276">
        <v>1</v>
      </c>
      <c r="H569" s="3278" t="s">
        <v>3304</v>
      </c>
      <c r="I569" s="3275" t="s">
        <v>3330</v>
      </c>
      <c r="J569" s="3269"/>
      <c r="K569" s="3269">
        <v>31.54</v>
      </c>
      <c r="L569" s="3276"/>
      <c r="M569" s="3276"/>
      <c r="N569" s="3501"/>
      <c r="O569" s="3503"/>
      <c r="P569" s="3503"/>
      <c r="Q569" s="3276"/>
      <c r="R569" s="3276"/>
    </row>
    <row r="570" spans="1:18">
      <c r="A570" s="3269">
        <v>567</v>
      </c>
      <c r="B570" s="3270">
        <v>2</v>
      </c>
      <c r="C570" s="3270">
        <v>1</v>
      </c>
      <c r="D570" s="3275">
        <v>621</v>
      </c>
      <c r="E570" s="3276">
        <v>1</v>
      </c>
      <c r="F570" s="3276">
        <v>1</v>
      </c>
      <c r="G570" s="3276">
        <v>1</v>
      </c>
      <c r="H570" s="3275" t="s">
        <v>3310</v>
      </c>
      <c r="I570" s="3275" t="s">
        <v>3303</v>
      </c>
      <c r="J570" s="3269"/>
      <c r="K570" s="3277">
        <v>40.520000000000003</v>
      </c>
      <c r="L570" s="3276"/>
      <c r="M570" s="3276"/>
      <c r="N570" s="3501"/>
      <c r="O570" s="3503"/>
      <c r="P570" s="3503"/>
      <c r="Q570" s="3276"/>
      <c r="R570" s="3276"/>
    </row>
    <row r="571" spans="1:18">
      <c r="A571" s="3269">
        <v>568</v>
      </c>
      <c r="B571" s="3270">
        <v>2</v>
      </c>
      <c r="C571" s="3270">
        <v>1</v>
      </c>
      <c r="D571" s="3275">
        <v>622</v>
      </c>
      <c r="E571" s="3276">
        <v>1</v>
      </c>
      <c r="F571" s="3276">
        <v>0</v>
      </c>
      <c r="G571" s="3276">
        <v>1</v>
      </c>
      <c r="H571" s="3275" t="s">
        <v>3312</v>
      </c>
      <c r="I571" s="3275" t="s">
        <v>3323</v>
      </c>
      <c r="J571" s="3269"/>
      <c r="K571" s="3277">
        <v>32.42</v>
      </c>
      <c r="L571" s="3276"/>
      <c r="M571" s="3276"/>
      <c r="N571" s="3501"/>
      <c r="O571" s="3503"/>
      <c r="P571" s="3503"/>
      <c r="Q571" s="3276"/>
      <c r="R571" s="3276"/>
    </row>
    <row r="572" spans="1:18">
      <c r="A572" s="3269">
        <v>569</v>
      </c>
      <c r="B572" s="3270">
        <v>2</v>
      </c>
      <c r="C572" s="3270">
        <v>1</v>
      </c>
      <c r="D572" s="3275">
        <v>623</v>
      </c>
      <c r="E572" s="3276">
        <v>1</v>
      </c>
      <c r="F572" s="3276">
        <v>0</v>
      </c>
      <c r="G572" s="3276">
        <v>1</v>
      </c>
      <c r="H572" s="3275" t="s">
        <v>3332</v>
      </c>
      <c r="I572" s="3275" t="s">
        <v>3333</v>
      </c>
      <c r="J572" s="3269"/>
      <c r="K572" s="3269">
        <v>35.26</v>
      </c>
      <c r="L572" s="3276"/>
      <c r="M572" s="3276"/>
      <c r="N572" s="3501"/>
      <c r="O572" s="3503"/>
      <c r="P572" s="3503"/>
      <c r="Q572" s="3276"/>
      <c r="R572" s="3276"/>
    </row>
    <row r="573" spans="1:18">
      <c r="A573" s="3269">
        <v>570</v>
      </c>
      <c r="B573" s="3270">
        <v>2</v>
      </c>
      <c r="C573" s="3270">
        <v>1</v>
      </c>
      <c r="D573" s="3275">
        <v>624</v>
      </c>
      <c r="E573" s="3276">
        <v>1</v>
      </c>
      <c r="F573" s="3276">
        <v>0</v>
      </c>
      <c r="G573" s="3276">
        <v>1</v>
      </c>
      <c r="H573" s="3275" t="s">
        <v>3332</v>
      </c>
      <c r="I573" s="3275" t="s">
        <v>3334</v>
      </c>
      <c r="J573" s="3269"/>
      <c r="K573" s="3269">
        <v>34.5</v>
      </c>
      <c r="L573" s="3276"/>
      <c r="M573" s="3276"/>
      <c r="N573" s="3501"/>
      <c r="O573" s="3503"/>
      <c r="P573" s="3503"/>
      <c r="Q573" s="3276"/>
      <c r="R573" s="3276"/>
    </row>
    <row r="574" spans="1:18">
      <c r="A574" s="3269">
        <v>571</v>
      </c>
      <c r="B574" s="3270">
        <v>2</v>
      </c>
      <c r="C574" s="3270">
        <v>1</v>
      </c>
      <c r="D574" s="3275">
        <v>625</v>
      </c>
      <c r="E574" s="3276">
        <v>1</v>
      </c>
      <c r="F574" s="3276">
        <v>1</v>
      </c>
      <c r="G574" s="3276">
        <v>1</v>
      </c>
      <c r="H574" s="3275" t="s">
        <v>3332</v>
      </c>
      <c r="I574" s="3275" t="s">
        <v>3335</v>
      </c>
      <c r="J574" s="3269"/>
      <c r="K574" s="3269">
        <v>40.32</v>
      </c>
      <c r="L574" s="3276"/>
      <c r="M574" s="3276"/>
      <c r="N574" s="3501"/>
      <c r="O574" s="3503"/>
      <c r="P574" s="3503"/>
      <c r="Q574" s="3276"/>
      <c r="R574" s="3276"/>
    </row>
    <row r="575" spans="1:18">
      <c r="A575" s="3269">
        <v>572</v>
      </c>
      <c r="B575" s="3270">
        <v>2</v>
      </c>
      <c r="C575" s="3270">
        <v>1</v>
      </c>
      <c r="D575" s="3275">
        <v>626</v>
      </c>
      <c r="E575" s="3276">
        <v>1</v>
      </c>
      <c r="F575" s="3276">
        <v>1</v>
      </c>
      <c r="G575" s="3276">
        <v>1</v>
      </c>
      <c r="H575" s="3275" t="s">
        <v>3332</v>
      </c>
      <c r="I575" s="3275" t="s">
        <v>3335</v>
      </c>
      <c r="J575" s="3269"/>
      <c r="K575" s="3269">
        <v>40.32</v>
      </c>
      <c r="L575" s="3276"/>
      <c r="M575" s="3276"/>
      <c r="N575" s="3501"/>
      <c r="O575" s="3503"/>
      <c r="P575" s="3503"/>
      <c r="Q575" s="3276"/>
      <c r="R575" s="3276"/>
    </row>
    <row r="576" spans="1:18">
      <c r="A576" s="3269">
        <v>573</v>
      </c>
      <c r="B576" s="3270">
        <v>2</v>
      </c>
      <c r="C576" s="3270">
        <v>1</v>
      </c>
      <c r="D576" s="3275">
        <v>627</v>
      </c>
      <c r="E576" s="3276">
        <v>1</v>
      </c>
      <c r="F576" s="3276">
        <v>1</v>
      </c>
      <c r="G576" s="3276">
        <v>1</v>
      </c>
      <c r="H576" s="3275" t="s">
        <v>3332</v>
      </c>
      <c r="I576" s="3275" t="s">
        <v>3335</v>
      </c>
      <c r="J576" s="3269"/>
      <c r="K576" s="3269">
        <v>40.32</v>
      </c>
      <c r="L576" s="3276"/>
      <c r="M576" s="3276"/>
      <c r="N576" s="3501"/>
      <c r="O576" s="3503"/>
      <c r="P576" s="3503"/>
      <c r="Q576" s="3276"/>
      <c r="R576" s="3276"/>
    </row>
    <row r="577" spans="1:18">
      <c r="A577" s="3269">
        <v>574</v>
      </c>
      <c r="B577" s="3270">
        <v>2</v>
      </c>
      <c r="C577" s="3270">
        <v>1</v>
      </c>
      <c r="D577" s="3275">
        <v>628</v>
      </c>
      <c r="E577" s="3276">
        <v>1</v>
      </c>
      <c r="F577" s="3276">
        <v>1</v>
      </c>
      <c r="G577" s="3276">
        <v>1</v>
      </c>
      <c r="H577" s="3275" t="s">
        <v>3332</v>
      </c>
      <c r="I577" s="3275" t="s">
        <v>3335</v>
      </c>
      <c r="J577" s="3269"/>
      <c r="K577" s="3269">
        <v>40.32</v>
      </c>
      <c r="L577" s="3276"/>
      <c r="M577" s="3276"/>
      <c r="N577" s="3501"/>
      <c r="O577" s="3503"/>
      <c r="P577" s="3503"/>
      <c r="Q577" s="3276"/>
      <c r="R577" s="3276"/>
    </row>
    <row r="578" spans="1:18">
      <c r="A578" s="3269">
        <v>575</v>
      </c>
      <c r="B578" s="3270">
        <v>2</v>
      </c>
      <c r="C578" s="3270">
        <v>1</v>
      </c>
      <c r="D578" s="3275">
        <v>629</v>
      </c>
      <c r="E578" s="3276">
        <v>1</v>
      </c>
      <c r="F578" s="3276">
        <v>1</v>
      </c>
      <c r="G578" s="3276">
        <v>1</v>
      </c>
      <c r="H578" s="3275" t="s">
        <v>3332</v>
      </c>
      <c r="I578" s="3275" t="s">
        <v>3335</v>
      </c>
      <c r="J578" s="3269"/>
      <c r="K578" s="3269">
        <v>40.32</v>
      </c>
      <c r="L578" s="3276"/>
      <c r="M578" s="3276"/>
      <c r="N578" s="3501"/>
      <c r="O578" s="3503"/>
      <c r="P578" s="3503"/>
      <c r="Q578" s="3276"/>
      <c r="R578" s="3276"/>
    </row>
    <row r="579" spans="1:18">
      <c r="A579" s="3269">
        <v>576</v>
      </c>
      <c r="B579" s="3270">
        <v>2</v>
      </c>
      <c r="C579" s="3270">
        <v>1</v>
      </c>
      <c r="D579" s="3275">
        <v>630</v>
      </c>
      <c r="E579" s="3276">
        <v>1</v>
      </c>
      <c r="F579" s="3276">
        <v>1</v>
      </c>
      <c r="G579" s="3276">
        <v>1</v>
      </c>
      <c r="H579" s="3275" t="s">
        <v>3332</v>
      </c>
      <c r="I579" s="3275" t="s">
        <v>3335</v>
      </c>
      <c r="J579" s="3269"/>
      <c r="K579" s="3269">
        <v>40.32</v>
      </c>
      <c r="L579" s="3276"/>
      <c r="M579" s="3276"/>
      <c r="N579" s="3501"/>
      <c r="O579" s="3503"/>
      <c r="P579" s="3503"/>
      <c r="Q579" s="3276"/>
      <c r="R579" s="3276"/>
    </row>
    <row r="580" spans="1:18">
      <c r="A580" s="3269">
        <v>577</v>
      </c>
      <c r="B580" s="3270">
        <v>2</v>
      </c>
      <c r="C580" s="3270">
        <v>1</v>
      </c>
      <c r="D580" s="3275">
        <v>631</v>
      </c>
      <c r="E580" s="3276">
        <v>1</v>
      </c>
      <c r="F580" s="3276">
        <v>1</v>
      </c>
      <c r="G580" s="3276">
        <v>1</v>
      </c>
      <c r="H580" s="3275" t="s">
        <v>3332</v>
      </c>
      <c r="I580" s="3275" t="s">
        <v>3335</v>
      </c>
      <c r="J580" s="3269"/>
      <c r="K580" s="3269">
        <v>40.32</v>
      </c>
      <c r="L580" s="3276"/>
      <c r="M580" s="3276"/>
      <c r="N580" s="3501"/>
      <c r="O580" s="3503"/>
      <c r="P580" s="3503"/>
      <c r="Q580" s="3276"/>
      <c r="R580" s="3276"/>
    </row>
    <row r="581" spans="1:18">
      <c r="A581" s="3269">
        <v>578</v>
      </c>
      <c r="B581" s="3270">
        <v>2</v>
      </c>
      <c r="C581" s="3270">
        <v>1</v>
      </c>
      <c r="D581" s="3275">
        <v>632</v>
      </c>
      <c r="E581" s="3276">
        <v>1</v>
      </c>
      <c r="F581" s="3276">
        <v>1</v>
      </c>
      <c r="G581" s="3276">
        <v>1</v>
      </c>
      <c r="H581" s="3275" t="s">
        <v>3332</v>
      </c>
      <c r="I581" s="3275" t="s">
        <v>3335</v>
      </c>
      <c r="J581" s="3269"/>
      <c r="K581" s="3269">
        <v>40.32</v>
      </c>
      <c r="L581" s="3276"/>
      <c r="M581" s="3276"/>
      <c r="N581" s="3501"/>
      <c r="O581" s="3503"/>
      <c r="P581" s="3503"/>
      <c r="Q581" s="3276"/>
      <c r="R581" s="3276"/>
    </row>
    <row r="582" spans="1:18">
      <c r="A582" s="3269">
        <v>579</v>
      </c>
      <c r="B582" s="3270">
        <v>2</v>
      </c>
      <c r="C582" s="3270">
        <v>1</v>
      </c>
      <c r="D582" s="3275">
        <v>633</v>
      </c>
      <c r="E582" s="3276">
        <v>1</v>
      </c>
      <c r="F582" s="3276">
        <v>1</v>
      </c>
      <c r="G582" s="3276">
        <v>1</v>
      </c>
      <c r="H582" s="3275" t="s">
        <v>3332</v>
      </c>
      <c r="I582" s="3275" t="s">
        <v>3335</v>
      </c>
      <c r="J582" s="3269"/>
      <c r="K582" s="3269">
        <v>40.32</v>
      </c>
      <c r="L582" s="3276"/>
      <c r="M582" s="3276"/>
      <c r="N582" s="3501"/>
      <c r="O582" s="3503"/>
      <c r="P582" s="3503"/>
      <c r="Q582" s="3276"/>
      <c r="R582" s="3276"/>
    </row>
    <row r="583" spans="1:18">
      <c r="A583" s="3269">
        <v>580</v>
      </c>
      <c r="B583" s="3270">
        <v>2</v>
      </c>
      <c r="C583" s="3270">
        <v>1</v>
      </c>
      <c r="D583" s="3275">
        <v>634</v>
      </c>
      <c r="E583" s="3276">
        <v>1</v>
      </c>
      <c r="F583" s="3276">
        <v>1</v>
      </c>
      <c r="G583" s="3276">
        <v>1</v>
      </c>
      <c r="H583" s="3275" t="s">
        <v>3332</v>
      </c>
      <c r="I583" s="3275" t="s">
        <v>3335</v>
      </c>
      <c r="J583" s="3269"/>
      <c r="K583" s="3269">
        <v>40.32</v>
      </c>
      <c r="L583" s="3276"/>
      <c r="M583" s="3276"/>
      <c r="N583" s="3501"/>
      <c r="O583" s="3503"/>
      <c r="P583" s="3503"/>
      <c r="Q583" s="3276"/>
      <c r="R583" s="3276"/>
    </row>
    <row r="584" spans="1:18">
      <c r="A584" s="3269">
        <v>581</v>
      </c>
      <c r="B584" s="3270">
        <v>2</v>
      </c>
      <c r="C584" s="3270">
        <v>1</v>
      </c>
      <c r="D584" s="3275">
        <v>635</v>
      </c>
      <c r="E584" s="3276">
        <v>1</v>
      </c>
      <c r="F584" s="3276">
        <v>1</v>
      </c>
      <c r="G584" s="3276">
        <v>1</v>
      </c>
      <c r="H584" s="3275" t="s">
        <v>3332</v>
      </c>
      <c r="I584" s="3275" t="s">
        <v>3336</v>
      </c>
      <c r="J584" s="3269"/>
      <c r="K584" s="3269">
        <v>42.56</v>
      </c>
      <c r="L584" s="3276"/>
      <c r="M584" s="3276"/>
      <c r="N584" s="3501"/>
      <c r="O584" s="3503"/>
      <c r="P584" s="3503"/>
      <c r="Q584" s="3276"/>
      <c r="R584" s="3276"/>
    </row>
    <row r="585" spans="1:18">
      <c r="A585" s="3269">
        <v>582</v>
      </c>
      <c r="B585" s="3270">
        <v>2</v>
      </c>
      <c r="C585" s="3270">
        <v>1</v>
      </c>
      <c r="D585" s="3275">
        <v>636</v>
      </c>
      <c r="E585" s="3276">
        <v>1</v>
      </c>
      <c r="F585" s="3276">
        <v>1</v>
      </c>
      <c r="G585" s="3276">
        <v>1</v>
      </c>
      <c r="H585" s="3275" t="s">
        <v>3312</v>
      </c>
      <c r="I585" s="3275" t="s">
        <v>3337</v>
      </c>
      <c r="J585" s="3269"/>
      <c r="K585" s="3269">
        <v>40.42</v>
      </c>
      <c r="L585" s="3276"/>
      <c r="M585" s="3276"/>
      <c r="N585" s="3501"/>
      <c r="O585" s="3503"/>
      <c r="P585" s="3503"/>
      <c r="Q585" s="3276"/>
      <c r="R585" s="3276"/>
    </row>
    <row r="586" spans="1:18">
      <c r="A586" s="3269">
        <v>583</v>
      </c>
      <c r="B586" s="3270">
        <v>2</v>
      </c>
      <c r="C586" s="3270">
        <v>1</v>
      </c>
      <c r="D586" s="3275">
        <v>637</v>
      </c>
      <c r="E586" s="3276">
        <v>1</v>
      </c>
      <c r="F586" s="3276">
        <v>1</v>
      </c>
      <c r="G586" s="3276">
        <v>1</v>
      </c>
      <c r="H586" s="3275" t="s">
        <v>3312</v>
      </c>
      <c r="I586" s="3275" t="s">
        <v>3335</v>
      </c>
      <c r="J586" s="3269"/>
      <c r="K586" s="3269">
        <v>40.32</v>
      </c>
      <c r="L586" s="3276"/>
      <c r="M586" s="3276"/>
      <c r="N586" s="3501"/>
      <c r="O586" s="3503"/>
      <c r="P586" s="3503"/>
      <c r="Q586" s="3276"/>
      <c r="R586" s="3276"/>
    </row>
    <row r="587" spans="1:18">
      <c r="A587" s="3269">
        <v>584</v>
      </c>
      <c r="B587" s="3270">
        <v>2</v>
      </c>
      <c r="C587" s="3270">
        <v>1</v>
      </c>
      <c r="D587" s="3275">
        <v>638</v>
      </c>
      <c r="E587" s="3276">
        <v>1</v>
      </c>
      <c r="F587" s="3276">
        <v>1</v>
      </c>
      <c r="G587" s="3276">
        <v>1</v>
      </c>
      <c r="H587" s="3275" t="s">
        <v>3312</v>
      </c>
      <c r="I587" s="3275" t="s">
        <v>3338</v>
      </c>
      <c r="J587" s="3269"/>
      <c r="K587" s="3269">
        <v>32.26</v>
      </c>
      <c r="L587" s="3276"/>
      <c r="M587" s="3276"/>
      <c r="N587" s="3501"/>
      <c r="O587" s="3503"/>
      <c r="P587" s="3503"/>
      <c r="Q587" s="3276"/>
      <c r="R587" s="3276"/>
    </row>
    <row r="588" spans="1:18" ht="14.25" thickBot="1">
      <c r="A588" s="3269">
        <v>585</v>
      </c>
      <c r="B588" s="3270">
        <v>2</v>
      </c>
      <c r="C588" s="3270">
        <v>1</v>
      </c>
      <c r="D588" s="3279">
        <v>639</v>
      </c>
      <c r="E588" s="3284">
        <v>4</v>
      </c>
      <c r="F588" s="3280">
        <v>1</v>
      </c>
      <c r="G588" s="3280">
        <v>1</v>
      </c>
      <c r="H588" s="3279" t="s">
        <v>3316</v>
      </c>
      <c r="I588" s="3279" t="s">
        <v>3319</v>
      </c>
      <c r="J588" s="3281"/>
      <c r="K588" s="3282">
        <v>75.8</v>
      </c>
      <c r="L588" s="3280"/>
      <c r="M588" s="3280"/>
      <c r="N588" s="3502"/>
      <c r="O588" s="3504"/>
      <c r="P588" s="3504"/>
      <c r="Q588" s="3280"/>
      <c r="R588" s="3280"/>
    </row>
    <row r="589" spans="1:18" ht="14.25" thickTop="1">
      <c r="A589" s="3269">
        <v>586</v>
      </c>
      <c r="B589" s="3270">
        <v>2</v>
      </c>
      <c r="C589" s="3270">
        <v>1</v>
      </c>
      <c r="D589" s="3271">
        <v>701</v>
      </c>
      <c r="E589" s="3272">
        <v>4</v>
      </c>
      <c r="F589" s="3272">
        <v>1</v>
      </c>
      <c r="G589" s="3272">
        <v>1</v>
      </c>
      <c r="H589" s="3271" t="s">
        <v>3318</v>
      </c>
      <c r="I589" s="3271" t="s">
        <v>3317</v>
      </c>
      <c r="J589" s="3273"/>
      <c r="K589" s="3274">
        <v>75.8</v>
      </c>
      <c r="L589" s="3272"/>
      <c r="M589" s="3272"/>
      <c r="N589" s="3500">
        <v>2.9</v>
      </c>
      <c r="O589" s="3500" t="s">
        <v>3297</v>
      </c>
      <c r="P589" s="3500" t="s">
        <v>3298</v>
      </c>
      <c r="Q589" s="3272"/>
      <c r="R589" s="3272"/>
    </row>
    <row r="590" spans="1:18">
      <c r="A590" s="3269">
        <v>587</v>
      </c>
      <c r="B590" s="3270">
        <v>2</v>
      </c>
      <c r="C590" s="3270">
        <v>1</v>
      </c>
      <c r="D590" s="3275">
        <v>702</v>
      </c>
      <c r="E590" s="3276">
        <v>1</v>
      </c>
      <c r="F590" s="3276">
        <v>1</v>
      </c>
      <c r="G590" s="3276">
        <v>1</v>
      </c>
      <c r="H590" s="3275" t="s">
        <v>3300</v>
      </c>
      <c r="I590" s="3275" t="s">
        <v>3324</v>
      </c>
      <c r="J590" s="3269"/>
      <c r="K590" s="3277">
        <v>41.22</v>
      </c>
      <c r="L590" s="3276"/>
      <c r="M590" s="3276"/>
      <c r="N590" s="3501"/>
      <c r="O590" s="3503"/>
      <c r="P590" s="3503"/>
      <c r="Q590" s="3276"/>
      <c r="R590" s="3276"/>
    </row>
    <row r="591" spans="1:18">
      <c r="A591" s="3269">
        <v>588</v>
      </c>
      <c r="B591" s="3270">
        <v>2</v>
      </c>
      <c r="C591" s="3270">
        <v>1</v>
      </c>
      <c r="D591" s="3275">
        <v>703</v>
      </c>
      <c r="E591" s="3276">
        <v>1</v>
      </c>
      <c r="F591" s="3276">
        <v>1</v>
      </c>
      <c r="G591" s="3276">
        <v>1</v>
      </c>
      <c r="H591" s="3275" t="s">
        <v>3300</v>
      </c>
      <c r="I591" s="3275" t="s">
        <v>3325</v>
      </c>
      <c r="J591" s="3269"/>
      <c r="K591" s="3269">
        <v>39.869999999999997</v>
      </c>
      <c r="L591" s="3276"/>
      <c r="M591" s="3276"/>
      <c r="N591" s="3501"/>
      <c r="O591" s="3503"/>
      <c r="P591" s="3503"/>
      <c r="Q591" s="3276"/>
      <c r="R591" s="3276"/>
    </row>
    <row r="592" spans="1:18">
      <c r="A592" s="3269">
        <v>589</v>
      </c>
      <c r="B592" s="3270">
        <v>2</v>
      </c>
      <c r="C592" s="3270">
        <v>1</v>
      </c>
      <c r="D592" s="3275">
        <v>704</v>
      </c>
      <c r="E592" s="3276">
        <v>1</v>
      </c>
      <c r="F592" s="3276">
        <v>1</v>
      </c>
      <c r="G592" s="3276">
        <v>1</v>
      </c>
      <c r="H592" s="3275" t="s">
        <v>3300</v>
      </c>
      <c r="I592" s="3275" t="s">
        <v>3326</v>
      </c>
      <c r="J592" s="3269"/>
      <c r="K592" s="3269">
        <v>40.32</v>
      </c>
      <c r="L592" s="3276"/>
      <c r="M592" s="3276"/>
      <c r="N592" s="3501"/>
      <c r="O592" s="3503"/>
      <c r="P592" s="3503"/>
      <c r="Q592" s="3276"/>
      <c r="R592" s="3276"/>
    </row>
    <row r="593" spans="1:18">
      <c r="A593" s="3269">
        <v>590</v>
      </c>
      <c r="B593" s="3270">
        <v>2</v>
      </c>
      <c r="C593" s="3270">
        <v>1</v>
      </c>
      <c r="D593" s="3275">
        <v>705</v>
      </c>
      <c r="E593" s="3276">
        <v>1</v>
      </c>
      <c r="F593" s="3276">
        <v>1</v>
      </c>
      <c r="G593" s="3276">
        <v>1</v>
      </c>
      <c r="H593" s="3275" t="s">
        <v>3300</v>
      </c>
      <c r="I593" s="3275" t="s">
        <v>3326</v>
      </c>
      <c r="J593" s="3269"/>
      <c r="K593" s="3269">
        <v>40.32</v>
      </c>
      <c r="L593" s="3276"/>
      <c r="M593" s="3276"/>
      <c r="N593" s="3501"/>
      <c r="O593" s="3503"/>
      <c r="P593" s="3503"/>
      <c r="Q593" s="3276"/>
      <c r="R593" s="3276"/>
    </row>
    <row r="594" spans="1:18">
      <c r="A594" s="3269">
        <v>591</v>
      </c>
      <c r="B594" s="3270">
        <v>2</v>
      </c>
      <c r="C594" s="3270">
        <v>1</v>
      </c>
      <c r="D594" s="3275">
        <v>706</v>
      </c>
      <c r="E594" s="3276">
        <v>1</v>
      </c>
      <c r="F594" s="3276">
        <v>1</v>
      </c>
      <c r="G594" s="3276">
        <v>1</v>
      </c>
      <c r="H594" s="3275" t="s">
        <v>3300</v>
      </c>
      <c r="I594" s="3275" t="s">
        <v>3327</v>
      </c>
      <c r="J594" s="3269"/>
      <c r="K594" s="3269">
        <v>39.97</v>
      </c>
      <c r="L594" s="3276"/>
      <c r="M594" s="3276"/>
      <c r="N594" s="3501"/>
      <c r="O594" s="3503"/>
      <c r="P594" s="3503"/>
      <c r="Q594" s="3276"/>
      <c r="R594" s="3276"/>
    </row>
    <row r="595" spans="1:18">
      <c r="A595" s="3269">
        <v>592</v>
      </c>
      <c r="B595" s="3270">
        <v>2</v>
      </c>
      <c r="C595" s="3270">
        <v>1</v>
      </c>
      <c r="D595" s="3275">
        <v>707</v>
      </c>
      <c r="E595" s="3276">
        <v>2</v>
      </c>
      <c r="F595" s="3276">
        <v>1</v>
      </c>
      <c r="G595" s="3276">
        <v>1</v>
      </c>
      <c r="H595" s="3275" t="s">
        <v>3300</v>
      </c>
      <c r="I595" s="3275" t="s">
        <v>3313</v>
      </c>
      <c r="J595" s="3269"/>
      <c r="K595" s="3277">
        <v>67.27</v>
      </c>
      <c r="L595" s="3276"/>
      <c r="M595" s="3276"/>
      <c r="N595" s="3501"/>
      <c r="O595" s="3503"/>
      <c r="P595" s="3503"/>
      <c r="Q595" s="3276"/>
      <c r="R595" s="3276"/>
    </row>
    <row r="596" spans="1:18">
      <c r="A596" s="3269">
        <v>593</v>
      </c>
      <c r="B596" s="3270">
        <v>2</v>
      </c>
      <c r="C596" s="3270">
        <v>1</v>
      </c>
      <c r="D596" s="3275">
        <v>708</v>
      </c>
      <c r="E596" s="3276">
        <v>1</v>
      </c>
      <c r="F596" s="3276">
        <v>1</v>
      </c>
      <c r="G596" s="3276">
        <v>1</v>
      </c>
      <c r="H596" s="3275" t="s">
        <v>3302</v>
      </c>
      <c r="I596" s="3275" t="s">
        <v>3311</v>
      </c>
      <c r="J596" s="3269"/>
      <c r="K596" s="3277">
        <v>38.54</v>
      </c>
      <c r="L596" s="3276"/>
      <c r="M596" s="3276"/>
      <c r="N596" s="3501"/>
      <c r="O596" s="3503"/>
      <c r="P596" s="3503"/>
      <c r="Q596" s="3276"/>
      <c r="R596" s="3276"/>
    </row>
    <row r="597" spans="1:18">
      <c r="A597" s="3269">
        <v>594</v>
      </c>
      <c r="B597" s="3270">
        <v>2</v>
      </c>
      <c r="C597" s="3270">
        <v>1</v>
      </c>
      <c r="D597" s="3275">
        <v>709</v>
      </c>
      <c r="E597" s="3276">
        <v>1</v>
      </c>
      <c r="F597" s="3276">
        <v>1</v>
      </c>
      <c r="G597" s="3276">
        <v>1</v>
      </c>
      <c r="H597" s="3275" t="s">
        <v>3304</v>
      </c>
      <c r="I597" s="3275" t="s">
        <v>3328</v>
      </c>
      <c r="J597" s="3269"/>
      <c r="K597" s="3277">
        <v>39.96</v>
      </c>
      <c r="L597" s="3276"/>
      <c r="M597" s="3276"/>
      <c r="N597" s="3501"/>
      <c r="O597" s="3503"/>
      <c r="P597" s="3503"/>
      <c r="Q597" s="3276"/>
      <c r="R597" s="3276"/>
    </row>
    <row r="598" spans="1:18">
      <c r="A598" s="3269">
        <v>595</v>
      </c>
      <c r="B598" s="3270">
        <v>2</v>
      </c>
      <c r="C598" s="3270">
        <v>1</v>
      </c>
      <c r="D598" s="3275">
        <v>710</v>
      </c>
      <c r="E598" s="3276">
        <v>1</v>
      </c>
      <c r="F598" s="3276">
        <v>1</v>
      </c>
      <c r="G598" s="3276">
        <v>1</v>
      </c>
      <c r="H598" s="3275" t="s">
        <v>3304</v>
      </c>
      <c r="I598" s="3275" t="s">
        <v>3325</v>
      </c>
      <c r="J598" s="3269"/>
      <c r="K598" s="3269">
        <v>39.869999999999997</v>
      </c>
      <c r="L598" s="3276"/>
      <c r="M598" s="3276"/>
      <c r="N598" s="3501"/>
      <c r="O598" s="3503"/>
      <c r="P598" s="3503"/>
      <c r="Q598" s="3276"/>
      <c r="R598" s="3276"/>
    </row>
    <row r="599" spans="1:18">
      <c r="A599" s="3269">
        <v>596</v>
      </c>
      <c r="B599" s="3270">
        <v>2</v>
      </c>
      <c r="C599" s="3270">
        <v>1</v>
      </c>
      <c r="D599" s="3275">
        <v>711</v>
      </c>
      <c r="E599" s="3276">
        <v>1</v>
      </c>
      <c r="F599" s="3276">
        <v>0</v>
      </c>
      <c r="G599" s="3276">
        <v>1</v>
      </c>
      <c r="H599" s="3275" t="s">
        <v>3304</v>
      </c>
      <c r="I599" s="3275" t="s">
        <v>3329</v>
      </c>
      <c r="J599" s="3269"/>
      <c r="K599" s="3269">
        <v>31.98</v>
      </c>
      <c r="L599" s="3276"/>
      <c r="M599" s="3276"/>
      <c r="N599" s="3501"/>
      <c r="O599" s="3503"/>
      <c r="P599" s="3503"/>
      <c r="Q599" s="3276"/>
      <c r="R599" s="3276"/>
    </row>
    <row r="600" spans="1:18">
      <c r="A600" s="3269">
        <v>597</v>
      </c>
      <c r="B600" s="3270">
        <v>2</v>
      </c>
      <c r="C600" s="3270">
        <v>1</v>
      </c>
      <c r="D600" s="3275">
        <v>712</v>
      </c>
      <c r="E600" s="3276">
        <v>1</v>
      </c>
      <c r="F600" s="3276">
        <v>0</v>
      </c>
      <c r="G600" s="3276">
        <v>1</v>
      </c>
      <c r="H600" s="3275" t="s">
        <v>3304</v>
      </c>
      <c r="I600" s="3275" t="s">
        <v>3330</v>
      </c>
      <c r="J600" s="3269"/>
      <c r="K600" s="3269">
        <v>31.54</v>
      </c>
      <c r="L600" s="3276"/>
      <c r="M600" s="3276"/>
      <c r="N600" s="3501"/>
      <c r="O600" s="3503"/>
      <c r="P600" s="3503"/>
      <c r="Q600" s="3276"/>
      <c r="R600" s="3276"/>
    </row>
    <row r="601" spans="1:18">
      <c r="A601" s="3269">
        <v>598</v>
      </c>
      <c r="B601" s="3270">
        <v>2</v>
      </c>
      <c r="C601" s="3270">
        <v>1</v>
      </c>
      <c r="D601" s="3275">
        <v>713</v>
      </c>
      <c r="E601" s="3276">
        <v>1</v>
      </c>
      <c r="F601" s="3276">
        <v>0</v>
      </c>
      <c r="G601" s="3276">
        <v>1</v>
      </c>
      <c r="H601" s="3275" t="s">
        <v>3304</v>
      </c>
      <c r="I601" s="3275" t="s">
        <v>3330</v>
      </c>
      <c r="J601" s="3269"/>
      <c r="K601" s="3269">
        <v>31.54</v>
      </c>
      <c r="L601" s="3276"/>
      <c r="M601" s="3276"/>
      <c r="N601" s="3501"/>
      <c r="O601" s="3503"/>
      <c r="P601" s="3503"/>
      <c r="Q601" s="3276"/>
      <c r="R601" s="3276"/>
    </row>
    <row r="602" spans="1:18">
      <c r="A602" s="3269">
        <v>599</v>
      </c>
      <c r="B602" s="3270">
        <v>2</v>
      </c>
      <c r="C602" s="3270">
        <v>1</v>
      </c>
      <c r="D602" s="3275">
        <v>714</v>
      </c>
      <c r="E602" s="3276">
        <v>1</v>
      </c>
      <c r="F602" s="3276">
        <v>0</v>
      </c>
      <c r="G602" s="3276">
        <v>1</v>
      </c>
      <c r="H602" s="3275" t="s">
        <v>3304</v>
      </c>
      <c r="I602" s="3275" t="s">
        <v>3330</v>
      </c>
      <c r="J602" s="3269"/>
      <c r="K602" s="3269">
        <v>31.54</v>
      </c>
      <c r="L602" s="3276"/>
      <c r="M602" s="3276"/>
      <c r="N602" s="3501"/>
      <c r="O602" s="3503"/>
      <c r="P602" s="3503"/>
      <c r="Q602" s="3276"/>
      <c r="R602" s="3276"/>
    </row>
    <row r="603" spans="1:18">
      <c r="A603" s="3269">
        <v>600</v>
      </c>
      <c r="B603" s="3270">
        <v>2</v>
      </c>
      <c r="C603" s="3270">
        <v>1</v>
      </c>
      <c r="D603" s="3275">
        <v>715</v>
      </c>
      <c r="E603" s="3276">
        <v>1</v>
      </c>
      <c r="F603" s="3276">
        <v>0</v>
      </c>
      <c r="G603" s="3276">
        <v>1</v>
      </c>
      <c r="H603" s="3275" t="s">
        <v>3304</v>
      </c>
      <c r="I603" s="3275" t="s">
        <v>3330</v>
      </c>
      <c r="J603" s="3269"/>
      <c r="K603" s="3269">
        <v>31.54</v>
      </c>
      <c r="L603" s="3276"/>
      <c r="M603" s="3276"/>
      <c r="N603" s="3501"/>
      <c r="O603" s="3503"/>
      <c r="P603" s="3503"/>
      <c r="Q603" s="3276"/>
      <c r="R603" s="3276"/>
    </row>
    <row r="604" spans="1:18">
      <c r="A604" s="3269">
        <v>601</v>
      </c>
      <c r="B604" s="3270">
        <v>2</v>
      </c>
      <c r="C604" s="3270">
        <v>1</v>
      </c>
      <c r="D604" s="3275">
        <v>716</v>
      </c>
      <c r="E604" s="3276">
        <v>1</v>
      </c>
      <c r="F604" s="3276">
        <v>0</v>
      </c>
      <c r="G604" s="3276">
        <v>1</v>
      </c>
      <c r="H604" s="3278" t="s">
        <v>3304</v>
      </c>
      <c r="I604" s="3275" t="s">
        <v>3330</v>
      </c>
      <c r="J604" s="3269"/>
      <c r="K604" s="3269">
        <v>31.54</v>
      </c>
      <c r="L604" s="3276"/>
      <c r="M604" s="3276"/>
      <c r="N604" s="3501"/>
      <c r="O604" s="3503"/>
      <c r="P604" s="3503"/>
      <c r="Q604" s="3276"/>
      <c r="R604" s="3276"/>
    </row>
    <row r="605" spans="1:18">
      <c r="A605" s="3269">
        <v>602</v>
      </c>
      <c r="B605" s="3270">
        <v>2</v>
      </c>
      <c r="C605" s="3270">
        <v>1</v>
      </c>
      <c r="D605" s="3275">
        <v>717</v>
      </c>
      <c r="E605" s="3276">
        <v>1</v>
      </c>
      <c r="F605" s="3276">
        <v>0</v>
      </c>
      <c r="G605" s="3276">
        <v>1</v>
      </c>
      <c r="H605" s="3278" t="s">
        <v>3304</v>
      </c>
      <c r="I605" s="3275" t="s">
        <v>3331</v>
      </c>
      <c r="J605" s="3269"/>
      <c r="K605" s="3269">
        <v>32.26</v>
      </c>
      <c r="L605" s="3276"/>
      <c r="M605" s="3276"/>
      <c r="N605" s="3501"/>
      <c r="O605" s="3503"/>
      <c r="P605" s="3503"/>
      <c r="Q605" s="3276"/>
      <c r="R605" s="3276"/>
    </row>
    <row r="606" spans="1:18">
      <c r="A606" s="3269">
        <v>603</v>
      </c>
      <c r="B606" s="3270">
        <v>2</v>
      </c>
      <c r="C606" s="3270">
        <v>1</v>
      </c>
      <c r="D606" s="3275">
        <v>718</v>
      </c>
      <c r="E606" s="3276">
        <v>1</v>
      </c>
      <c r="F606" s="3276">
        <v>0</v>
      </c>
      <c r="G606" s="3276">
        <v>1</v>
      </c>
      <c r="H606" s="3278" t="s">
        <v>3304</v>
      </c>
      <c r="I606" s="3275" t="s">
        <v>3331</v>
      </c>
      <c r="J606" s="3269"/>
      <c r="K606" s="3269">
        <v>32.26</v>
      </c>
      <c r="L606" s="3276"/>
      <c r="M606" s="3276"/>
      <c r="N606" s="3501"/>
      <c r="O606" s="3503"/>
      <c r="P606" s="3503"/>
      <c r="Q606" s="3276"/>
      <c r="R606" s="3276"/>
    </row>
    <row r="607" spans="1:18">
      <c r="A607" s="3269">
        <v>604</v>
      </c>
      <c r="B607" s="3270">
        <v>2</v>
      </c>
      <c r="C607" s="3270">
        <v>1</v>
      </c>
      <c r="D607" s="3275">
        <v>719</v>
      </c>
      <c r="E607" s="3276">
        <v>1</v>
      </c>
      <c r="F607" s="3276">
        <v>0</v>
      </c>
      <c r="G607" s="3276">
        <v>1</v>
      </c>
      <c r="H607" s="3278" t="s">
        <v>3304</v>
      </c>
      <c r="I607" s="3275" t="s">
        <v>3330</v>
      </c>
      <c r="J607" s="3269"/>
      <c r="K607" s="3269">
        <v>31.54</v>
      </c>
      <c r="L607" s="3276"/>
      <c r="M607" s="3276"/>
      <c r="N607" s="3501"/>
      <c r="O607" s="3503"/>
      <c r="P607" s="3503"/>
      <c r="Q607" s="3276"/>
      <c r="R607" s="3276"/>
    </row>
    <row r="608" spans="1:18">
      <c r="A608" s="3269">
        <v>605</v>
      </c>
      <c r="B608" s="3270">
        <v>2</v>
      </c>
      <c r="C608" s="3270">
        <v>1</v>
      </c>
      <c r="D608" s="3275">
        <v>720</v>
      </c>
      <c r="E608" s="3276">
        <v>1</v>
      </c>
      <c r="F608" s="3276">
        <v>0</v>
      </c>
      <c r="G608" s="3276">
        <v>1</v>
      </c>
      <c r="H608" s="3278" t="s">
        <v>3304</v>
      </c>
      <c r="I608" s="3275" t="s">
        <v>3330</v>
      </c>
      <c r="J608" s="3269"/>
      <c r="K608" s="3269">
        <v>31.54</v>
      </c>
      <c r="L608" s="3276"/>
      <c r="M608" s="3276"/>
      <c r="N608" s="3501"/>
      <c r="O608" s="3503"/>
      <c r="P608" s="3503"/>
      <c r="Q608" s="3276"/>
      <c r="R608" s="3276"/>
    </row>
    <row r="609" spans="1:18">
      <c r="A609" s="3269">
        <v>606</v>
      </c>
      <c r="B609" s="3270">
        <v>2</v>
      </c>
      <c r="C609" s="3270">
        <v>1</v>
      </c>
      <c r="D609" s="3275">
        <v>721</v>
      </c>
      <c r="E609" s="3276">
        <v>1</v>
      </c>
      <c r="F609" s="3276">
        <v>1</v>
      </c>
      <c r="G609" s="3276">
        <v>1</v>
      </c>
      <c r="H609" s="3275" t="s">
        <v>3310</v>
      </c>
      <c r="I609" s="3275" t="s">
        <v>3303</v>
      </c>
      <c r="J609" s="3269"/>
      <c r="K609" s="3277">
        <v>40.520000000000003</v>
      </c>
      <c r="L609" s="3276"/>
      <c r="M609" s="3276"/>
      <c r="N609" s="3501"/>
      <c r="O609" s="3503"/>
      <c r="P609" s="3503"/>
      <c r="Q609" s="3276"/>
      <c r="R609" s="3276"/>
    </row>
    <row r="610" spans="1:18">
      <c r="A610" s="3269">
        <v>607</v>
      </c>
      <c r="B610" s="3270">
        <v>2</v>
      </c>
      <c r="C610" s="3270">
        <v>1</v>
      </c>
      <c r="D610" s="3275">
        <v>722</v>
      </c>
      <c r="E610" s="3276">
        <v>1</v>
      </c>
      <c r="F610" s="3276">
        <v>0</v>
      </c>
      <c r="G610" s="3276">
        <v>1</v>
      </c>
      <c r="H610" s="3275" t="s">
        <v>3312</v>
      </c>
      <c r="I610" s="3275" t="s">
        <v>3323</v>
      </c>
      <c r="J610" s="3269"/>
      <c r="K610" s="3277">
        <v>32.42</v>
      </c>
      <c r="L610" s="3276"/>
      <c r="M610" s="3276"/>
      <c r="N610" s="3501"/>
      <c r="O610" s="3503"/>
      <c r="P610" s="3503"/>
      <c r="Q610" s="3276"/>
      <c r="R610" s="3276"/>
    </row>
    <row r="611" spans="1:18">
      <c r="A611" s="3269">
        <v>608</v>
      </c>
      <c r="B611" s="3270">
        <v>2</v>
      </c>
      <c r="C611" s="3270">
        <v>1</v>
      </c>
      <c r="D611" s="3275">
        <v>723</v>
      </c>
      <c r="E611" s="3276">
        <v>1</v>
      </c>
      <c r="F611" s="3276">
        <v>0</v>
      </c>
      <c r="G611" s="3276">
        <v>1</v>
      </c>
      <c r="H611" s="3275" t="s">
        <v>3332</v>
      </c>
      <c r="I611" s="3275" t="s">
        <v>3333</v>
      </c>
      <c r="J611" s="3269"/>
      <c r="K611" s="3269">
        <v>35.26</v>
      </c>
      <c r="L611" s="3276"/>
      <c r="M611" s="3276"/>
      <c r="N611" s="3501"/>
      <c r="O611" s="3503"/>
      <c r="P611" s="3503"/>
      <c r="Q611" s="3276"/>
      <c r="R611" s="3276"/>
    </row>
    <row r="612" spans="1:18">
      <c r="A612" s="3269">
        <v>609</v>
      </c>
      <c r="B612" s="3270">
        <v>2</v>
      </c>
      <c r="C612" s="3270">
        <v>1</v>
      </c>
      <c r="D612" s="3275">
        <v>724</v>
      </c>
      <c r="E612" s="3276">
        <v>1</v>
      </c>
      <c r="F612" s="3276">
        <v>0</v>
      </c>
      <c r="G612" s="3276">
        <v>1</v>
      </c>
      <c r="H612" s="3275" t="s">
        <v>3332</v>
      </c>
      <c r="I612" s="3275" t="s">
        <v>3334</v>
      </c>
      <c r="J612" s="3269"/>
      <c r="K612" s="3269">
        <v>34.5</v>
      </c>
      <c r="L612" s="3276"/>
      <c r="M612" s="3276"/>
      <c r="N612" s="3501"/>
      <c r="O612" s="3503"/>
      <c r="P612" s="3503"/>
      <c r="Q612" s="3276"/>
      <c r="R612" s="3276"/>
    </row>
    <row r="613" spans="1:18">
      <c r="A613" s="3269">
        <v>610</v>
      </c>
      <c r="B613" s="3270">
        <v>2</v>
      </c>
      <c r="C613" s="3270">
        <v>1</v>
      </c>
      <c r="D613" s="3275">
        <v>725</v>
      </c>
      <c r="E613" s="3276">
        <v>1</v>
      </c>
      <c r="F613" s="3276">
        <v>1</v>
      </c>
      <c r="G613" s="3276">
        <v>1</v>
      </c>
      <c r="H613" s="3275" t="s">
        <v>3332</v>
      </c>
      <c r="I613" s="3275" t="s">
        <v>3335</v>
      </c>
      <c r="J613" s="3269"/>
      <c r="K613" s="3269">
        <v>40.32</v>
      </c>
      <c r="L613" s="3276"/>
      <c r="M613" s="3276"/>
      <c r="N613" s="3501"/>
      <c r="O613" s="3503"/>
      <c r="P613" s="3503"/>
      <c r="Q613" s="3276"/>
      <c r="R613" s="3276"/>
    </row>
    <row r="614" spans="1:18">
      <c r="A614" s="3269">
        <v>611</v>
      </c>
      <c r="B614" s="3270">
        <v>2</v>
      </c>
      <c r="C614" s="3270">
        <v>1</v>
      </c>
      <c r="D614" s="3275">
        <v>726</v>
      </c>
      <c r="E614" s="3276">
        <v>1</v>
      </c>
      <c r="F614" s="3276">
        <v>1</v>
      </c>
      <c r="G614" s="3276">
        <v>1</v>
      </c>
      <c r="H614" s="3275" t="s">
        <v>3332</v>
      </c>
      <c r="I614" s="3275" t="s">
        <v>3335</v>
      </c>
      <c r="J614" s="3269"/>
      <c r="K614" s="3269">
        <v>40.32</v>
      </c>
      <c r="L614" s="3276"/>
      <c r="M614" s="3276"/>
      <c r="N614" s="3501"/>
      <c r="O614" s="3503"/>
      <c r="P614" s="3503"/>
      <c r="Q614" s="3276"/>
      <c r="R614" s="3276"/>
    </row>
    <row r="615" spans="1:18">
      <c r="A615" s="3269">
        <v>612</v>
      </c>
      <c r="B615" s="3270">
        <v>2</v>
      </c>
      <c r="C615" s="3270">
        <v>1</v>
      </c>
      <c r="D615" s="3275">
        <v>727</v>
      </c>
      <c r="E615" s="3276">
        <v>1</v>
      </c>
      <c r="F615" s="3276">
        <v>1</v>
      </c>
      <c r="G615" s="3276">
        <v>1</v>
      </c>
      <c r="H615" s="3275" t="s">
        <v>3332</v>
      </c>
      <c r="I615" s="3275" t="s">
        <v>3335</v>
      </c>
      <c r="J615" s="3269"/>
      <c r="K615" s="3269">
        <v>40.32</v>
      </c>
      <c r="L615" s="3276"/>
      <c r="M615" s="3276"/>
      <c r="N615" s="3501"/>
      <c r="O615" s="3503"/>
      <c r="P615" s="3503"/>
      <c r="Q615" s="3276"/>
      <c r="R615" s="3276"/>
    </row>
    <row r="616" spans="1:18">
      <c r="A616" s="3269">
        <v>613</v>
      </c>
      <c r="B616" s="3270">
        <v>2</v>
      </c>
      <c r="C616" s="3270">
        <v>1</v>
      </c>
      <c r="D616" s="3275">
        <v>728</v>
      </c>
      <c r="E616" s="3276">
        <v>1</v>
      </c>
      <c r="F616" s="3276">
        <v>1</v>
      </c>
      <c r="G616" s="3276">
        <v>1</v>
      </c>
      <c r="H616" s="3275" t="s">
        <v>3332</v>
      </c>
      <c r="I616" s="3275" t="s">
        <v>3335</v>
      </c>
      <c r="J616" s="3269"/>
      <c r="K616" s="3269">
        <v>40.32</v>
      </c>
      <c r="L616" s="3276"/>
      <c r="M616" s="3276"/>
      <c r="N616" s="3501"/>
      <c r="O616" s="3503"/>
      <c r="P616" s="3503"/>
      <c r="Q616" s="3276"/>
      <c r="R616" s="3276"/>
    </row>
    <row r="617" spans="1:18">
      <c r="A617" s="3269">
        <v>614</v>
      </c>
      <c r="B617" s="3270">
        <v>2</v>
      </c>
      <c r="C617" s="3270">
        <v>1</v>
      </c>
      <c r="D617" s="3275">
        <v>729</v>
      </c>
      <c r="E617" s="3276">
        <v>1</v>
      </c>
      <c r="F617" s="3276">
        <v>1</v>
      </c>
      <c r="G617" s="3276">
        <v>1</v>
      </c>
      <c r="H617" s="3275" t="s">
        <v>3332</v>
      </c>
      <c r="I617" s="3275" t="s">
        <v>3335</v>
      </c>
      <c r="J617" s="3269"/>
      <c r="K617" s="3269">
        <v>40.32</v>
      </c>
      <c r="L617" s="3276"/>
      <c r="M617" s="3276"/>
      <c r="N617" s="3501"/>
      <c r="O617" s="3503"/>
      <c r="P617" s="3503"/>
      <c r="Q617" s="3276"/>
      <c r="R617" s="3276"/>
    </row>
    <row r="618" spans="1:18">
      <c r="A618" s="3269">
        <v>615</v>
      </c>
      <c r="B618" s="3270">
        <v>2</v>
      </c>
      <c r="C618" s="3270">
        <v>1</v>
      </c>
      <c r="D618" s="3275">
        <v>730</v>
      </c>
      <c r="E618" s="3276">
        <v>1</v>
      </c>
      <c r="F618" s="3276">
        <v>1</v>
      </c>
      <c r="G618" s="3276">
        <v>1</v>
      </c>
      <c r="H618" s="3275" t="s">
        <v>3332</v>
      </c>
      <c r="I618" s="3275" t="s">
        <v>3335</v>
      </c>
      <c r="J618" s="3269"/>
      <c r="K618" s="3269">
        <v>40.32</v>
      </c>
      <c r="L618" s="3276"/>
      <c r="M618" s="3276"/>
      <c r="N618" s="3501"/>
      <c r="O618" s="3503"/>
      <c r="P618" s="3503"/>
      <c r="Q618" s="3276"/>
      <c r="R618" s="3276"/>
    </row>
    <row r="619" spans="1:18">
      <c r="A619" s="3269">
        <v>616</v>
      </c>
      <c r="B619" s="3270">
        <v>2</v>
      </c>
      <c r="C619" s="3270">
        <v>1</v>
      </c>
      <c r="D619" s="3275">
        <v>731</v>
      </c>
      <c r="E619" s="3276">
        <v>1</v>
      </c>
      <c r="F619" s="3276">
        <v>1</v>
      </c>
      <c r="G619" s="3276">
        <v>1</v>
      </c>
      <c r="H619" s="3275" t="s">
        <v>3332</v>
      </c>
      <c r="I619" s="3275" t="s">
        <v>3335</v>
      </c>
      <c r="J619" s="3269"/>
      <c r="K619" s="3269">
        <v>40.32</v>
      </c>
      <c r="L619" s="3276"/>
      <c r="M619" s="3276"/>
      <c r="N619" s="3501"/>
      <c r="O619" s="3503"/>
      <c r="P619" s="3503"/>
      <c r="Q619" s="3276"/>
      <c r="R619" s="3276"/>
    </row>
    <row r="620" spans="1:18">
      <c r="A620" s="3269">
        <v>617</v>
      </c>
      <c r="B620" s="3270">
        <v>2</v>
      </c>
      <c r="C620" s="3270">
        <v>1</v>
      </c>
      <c r="D620" s="3275">
        <v>732</v>
      </c>
      <c r="E620" s="3276">
        <v>1</v>
      </c>
      <c r="F620" s="3276">
        <v>1</v>
      </c>
      <c r="G620" s="3276">
        <v>1</v>
      </c>
      <c r="H620" s="3275" t="s">
        <v>3332</v>
      </c>
      <c r="I620" s="3275" t="s">
        <v>3335</v>
      </c>
      <c r="J620" s="3269"/>
      <c r="K620" s="3269">
        <v>40.32</v>
      </c>
      <c r="L620" s="3276"/>
      <c r="M620" s="3276"/>
      <c r="N620" s="3501"/>
      <c r="O620" s="3503"/>
      <c r="P620" s="3503"/>
      <c r="Q620" s="3276"/>
      <c r="R620" s="3276"/>
    </row>
    <row r="621" spans="1:18">
      <c r="A621" s="3269">
        <v>618</v>
      </c>
      <c r="B621" s="3270">
        <v>2</v>
      </c>
      <c r="C621" s="3270">
        <v>1</v>
      </c>
      <c r="D621" s="3275">
        <v>733</v>
      </c>
      <c r="E621" s="3276">
        <v>1</v>
      </c>
      <c r="F621" s="3276">
        <v>1</v>
      </c>
      <c r="G621" s="3276">
        <v>1</v>
      </c>
      <c r="H621" s="3275" t="s">
        <v>3332</v>
      </c>
      <c r="I621" s="3275" t="s">
        <v>3335</v>
      </c>
      <c r="J621" s="3269"/>
      <c r="K621" s="3269">
        <v>40.32</v>
      </c>
      <c r="L621" s="3276"/>
      <c r="M621" s="3276"/>
      <c r="N621" s="3501"/>
      <c r="O621" s="3503"/>
      <c r="P621" s="3503"/>
      <c r="Q621" s="3276"/>
      <c r="R621" s="3276"/>
    </row>
    <row r="622" spans="1:18">
      <c r="A622" s="3269">
        <v>619</v>
      </c>
      <c r="B622" s="3270">
        <v>2</v>
      </c>
      <c r="C622" s="3270">
        <v>1</v>
      </c>
      <c r="D622" s="3275">
        <v>734</v>
      </c>
      <c r="E622" s="3276">
        <v>1</v>
      </c>
      <c r="F622" s="3276">
        <v>1</v>
      </c>
      <c r="G622" s="3276">
        <v>1</v>
      </c>
      <c r="H622" s="3275" t="s">
        <v>3332</v>
      </c>
      <c r="I622" s="3275" t="s">
        <v>3335</v>
      </c>
      <c r="J622" s="3269"/>
      <c r="K622" s="3269">
        <v>40.32</v>
      </c>
      <c r="L622" s="3276"/>
      <c r="M622" s="3276"/>
      <c r="N622" s="3501"/>
      <c r="O622" s="3503"/>
      <c r="P622" s="3503"/>
      <c r="Q622" s="3276"/>
      <c r="R622" s="3276"/>
    </row>
    <row r="623" spans="1:18">
      <c r="A623" s="3269">
        <v>620</v>
      </c>
      <c r="B623" s="3270">
        <v>2</v>
      </c>
      <c r="C623" s="3270">
        <v>1</v>
      </c>
      <c r="D623" s="3275">
        <v>735</v>
      </c>
      <c r="E623" s="3276">
        <v>1</v>
      </c>
      <c r="F623" s="3276">
        <v>1</v>
      </c>
      <c r="G623" s="3276">
        <v>1</v>
      </c>
      <c r="H623" s="3275" t="s">
        <v>3332</v>
      </c>
      <c r="I623" s="3275" t="s">
        <v>3336</v>
      </c>
      <c r="J623" s="3269"/>
      <c r="K623" s="3269">
        <v>42.56</v>
      </c>
      <c r="L623" s="3276"/>
      <c r="M623" s="3276"/>
      <c r="N623" s="3501"/>
      <c r="O623" s="3503"/>
      <c r="P623" s="3503"/>
      <c r="Q623" s="3276"/>
      <c r="R623" s="3276"/>
    </row>
    <row r="624" spans="1:18">
      <c r="A624" s="3269">
        <v>621</v>
      </c>
      <c r="B624" s="3270">
        <v>2</v>
      </c>
      <c r="C624" s="3270">
        <v>1</v>
      </c>
      <c r="D624" s="3275">
        <v>736</v>
      </c>
      <c r="E624" s="3276">
        <v>1</v>
      </c>
      <c r="F624" s="3276">
        <v>1</v>
      </c>
      <c r="G624" s="3276">
        <v>1</v>
      </c>
      <c r="H624" s="3275" t="s">
        <v>3312</v>
      </c>
      <c r="I624" s="3275" t="s">
        <v>3337</v>
      </c>
      <c r="J624" s="3269"/>
      <c r="K624" s="3269">
        <v>40.42</v>
      </c>
      <c r="L624" s="3276"/>
      <c r="M624" s="3276"/>
      <c r="N624" s="3501"/>
      <c r="O624" s="3503"/>
      <c r="P624" s="3503"/>
      <c r="Q624" s="3276"/>
      <c r="R624" s="3276"/>
    </row>
    <row r="625" spans="1:18">
      <c r="A625" s="3269">
        <v>622</v>
      </c>
      <c r="B625" s="3270">
        <v>2</v>
      </c>
      <c r="C625" s="3270">
        <v>1</v>
      </c>
      <c r="D625" s="3275">
        <v>737</v>
      </c>
      <c r="E625" s="3276">
        <v>1</v>
      </c>
      <c r="F625" s="3276">
        <v>1</v>
      </c>
      <c r="G625" s="3276">
        <v>1</v>
      </c>
      <c r="H625" s="3275" t="s">
        <v>3312</v>
      </c>
      <c r="I625" s="3275" t="s">
        <v>3335</v>
      </c>
      <c r="J625" s="3269"/>
      <c r="K625" s="3269">
        <v>40.32</v>
      </c>
      <c r="L625" s="3276"/>
      <c r="M625" s="3276"/>
      <c r="N625" s="3501"/>
      <c r="O625" s="3503"/>
      <c r="P625" s="3503"/>
      <c r="Q625" s="3276"/>
      <c r="R625" s="3276"/>
    </row>
    <row r="626" spans="1:18">
      <c r="A626" s="3269">
        <v>623</v>
      </c>
      <c r="B626" s="3270">
        <v>2</v>
      </c>
      <c r="C626" s="3270">
        <v>1</v>
      </c>
      <c r="D626" s="3275">
        <v>738</v>
      </c>
      <c r="E626" s="3276">
        <v>1</v>
      </c>
      <c r="F626" s="3276">
        <v>1</v>
      </c>
      <c r="G626" s="3276">
        <v>1</v>
      </c>
      <c r="H626" s="3275" t="s">
        <v>3312</v>
      </c>
      <c r="I626" s="3275" t="s">
        <v>3338</v>
      </c>
      <c r="J626" s="3269"/>
      <c r="K626" s="3269">
        <v>32.26</v>
      </c>
      <c r="L626" s="3276"/>
      <c r="M626" s="3276"/>
      <c r="N626" s="3501"/>
      <c r="O626" s="3503"/>
      <c r="P626" s="3503"/>
      <c r="Q626" s="3276"/>
      <c r="R626" s="3276"/>
    </row>
    <row r="627" spans="1:18" ht="14.25" thickBot="1">
      <c r="A627" s="3269">
        <v>624</v>
      </c>
      <c r="B627" s="3270">
        <v>2</v>
      </c>
      <c r="C627" s="3270">
        <v>1</v>
      </c>
      <c r="D627" s="3279">
        <v>739</v>
      </c>
      <c r="E627" s="3284">
        <v>4</v>
      </c>
      <c r="F627" s="3280">
        <v>1</v>
      </c>
      <c r="G627" s="3280">
        <v>1</v>
      </c>
      <c r="H627" s="3279" t="s">
        <v>3316</v>
      </c>
      <c r="I627" s="3279" t="s">
        <v>3319</v>
      </c>
      <c r="J627" s="3281"/>
      <c r="K627" s="3282">
        <v>75.8</v>
      </c>
      <c r="L627" s="3280"/>
      <c r="M627" s="3280"/>
      <c r="N627" s="3502"/>
      <c r="O627" s="3504"/>
      <c r="P627" s="3504"/>
      <c r="Q627" s="3280"/>
      <c r="R627" s="3280"/>
    </row>
    <row r="628" spans="1:18" ht="14.25" thickTop="1">
      <c r="A628" s="3269">
        <v>625</v>
      </c>
      <c r="B628" s="3270">
        <v>2</v>
      </c>
      <c r="C628" s="3270">
        <v>1</v>
      </c>
      <c r="D628" s="3271">
        <v>801</v>
      </c>
      <c r="E628" s="3272">
        <v>4</v>
      </c>
      <c r="F628" s="3272">
        <v>1</v>
      </c>
      <c r="G628" s="3272">
        <v>1</v>
      </c>
      <c r="H628" s="3271" t="s">
        <v>3318</v>
      </c>
      <c r="I628" s="3271" t="s">
        <v>3317</v>
      </c>
      <c r="J628" s="3273"/>
      <c r="K628" s="3274">
        <v>75.8</v>
      </c>
      <c r="L628" s="3272"/>
      <c r="M628" s="3272"/>
      <c r="N628" s="3500">
        <v>2.9</v>
      </c>
      <c r="O628" s="3500" t="s">
        <v>3297</v>
      </c>
      <c r="P628" s="3500" t="s">
        <v>3298</v>
      </c>
      <c r="Q628" s="3272"/>
      <c r="R628" s="3272"/>
    </row>
    <row r="629" spans="1:18">
      <c r="A629" s="3269">
        <v>626</v>
      </c>
      <c r="B629" s="3270">
        <v>2</v>
      </c>
      <c r="C629" s="3270">
        <v>1</v>
      </c>
      <c r="D629" s="3275">
        <v>802</v>
      </c>
      <c r="E629" s="3276">
        <v>1</v>
      </c>
      <c r="F629" s="3276">
        <v>1</v>
      </c>
      <c r="G629" s="3276">
        <v>1</v>
      </c>
      <c r="H629" s="3275" t="s">
        <v>3300</v>
      </c>
      <c r="I629" s="3275" t="s">
        <v>3324</v>
      </c>
      <c r="J629" s="3269"/>
      <c r="K629" s="3277">
        <v>41.22</v>
      </c>
      <c r="L629" s="3276"/>
      <c r="M629" s="3276"/>
      <c r="N629" s="3501"/>
      <c r="O629" s="3503"/>
      <c r="P629" s="3503"/>
      <c r="Q629" s="3276"/>
      <c r="R629" s="3276"/>
    </row>
    <row r="630" spans="1:18">
      <c r="A630" s="3269">
        <v>627</v>
      </c>
      <c r="B630" s="3270">
        <v>2</v>
      </c>
      <c r="C630" s="3270">
        <v>1</v>
      </c>
      <c r="D630" s="3275">
        <v>803</v>
      </c>
      <c r="E630" s="3276">
        <v>1</v>
      </c>
      <c r="F630" s="3276">
        <v>1</v>
      </c>
      <c r="G630" s="3276">
        <v>1</v>
      </c>
      <c r="H630" s="3275" t="s">
        <v>3300</v>
      </c>
      <c r="I630" s="3275" t="s">
        <v>3325</v>
      </c>
      <c r="J630" s="3269"/>
      <c r="K630" s="3269">
        <v>39.869999999999997</v>
      </c>
      <c r="L630" s="3276"/>
      <c r="M630" s="3276"/>
      <c r="N630" s="3501"/>
      <c r="O630" s="3503"/>
      <c r="P630" s="3503"/>
      <c r="Q630" s="3276"/>
      <c r="R630" s="3276"/>
    </row>
    <row r="631" spans="1:18">
      <c r="A631" s="3269">
        <v>628</v>
      </c>
      <c r="B631" s="3270">
        <v>2</v>
      </c>
      <c r="C631" s="3270">
        <v>1</v>
      </c>
      <c r="D631" s="3275">
        <v>804</v>
      </c>
      <c r="E631" s="3276">
        <v>1</v>
      </c>
      <c r="F631" s="3276">
        <v>1</v>
      </c>
      <c r="G631" s="3276">
        <v>1</v>
      </c>
      <c r="H631" s="3275" t="s">
        <v>3300</v>
      </c>
      <c r="I631" s="3275" t="s">
        <v>3326</v>
      </c>
      <c r="J631" s="3269"/>
      <c r="K631" s="3269">
        <v>40.32</v>
      </c>
      <c r="L631" s="3276"/>
      <c r="M631" s="3276"/>
      <c r="N631" s="3501"/>
      <c r="O631" s="3503"/>
      <c r="P631" s="3503"/>
      <c r="Q631" s="3276"/>
      <c r="R631" s="3276"/>
    </row>
    <row r="632" spans="1:18">
      <c r="A632" s="3269">
        <v>629</v>
      </c>
      <c r="B632" s="3270">
        <v>2</v>
      </c>
      <c r="C632" s="3270">
        <v>1</v>
      </c>
      <c r="D632" s="3275">
        <v>805</v>
      </c>
      <c r="E632" s="3276">
        <v>1</v>
      </c>
      <c r="F632" s="3276">
        <v>1</v>
      </c>
      <c r="G632" s="3276">
        <v>1</v>
      </c>
      <c r="H632" s="3275" t="s">
        <v>3300</v>
      </c>
      <c r="I632" s="3275" t="s">
        <v>3326</v>
      </c>
      <c r="J632" s="3269"/>
      <c r="K632" s="3269">
        <v>40.32</v>
      </c>
      <c r="L632" s="3276"/>
      <c r="M632" s="3276"/>
      <c r="N632" s="3501"/>
      <c r="O632" s="3503"/>
      <c r="P632" s="3503"/>
      <c r="Q632" s="3276"/>
      <c r="R632" s="3276"/>
    </row>
    <row r="633" spans="1:18">
      <c r="A633" s="3269">
        <v>630</v>
      </c>
      <c r="B633" s="3270">
        <v>2</v>
      </c>
      <c r="C633" s="3270">
        <v>1</v>
      </c>
      <c r="D633" s="3275">
        <v>806</v>
      </c>
      <c r="E633" s="3276">
        <v>1</v>
      </c>
      <c r="F633" s="3276">
        <v>1</v>
      </c>
      <c r="G633" s="3276">
        <v>1</v>
      </c>
      <c r="H633" s="3275" t="s">
        <v>3300</v>
      </c>
      <c r="I633" s="3275" t="s">
        <v>3327</v>
      </c>
      <c r="J633" s="3269"/>
      <c r="K633" s="3269">
        <v>39.97</v>
      </c>
      <c r="L633" s="3276"/>
      <c r="M633" s="3276"/>
      <c r="N633" s="3501"/>
      <c r="O633" s="3503"/>
      <c r="P633" s="3503"/>
      <c r="Q633" s="3276"/>
      <c r="R633" s="3276"/>
    </row>
    <row r="634" spans="1:18">
      <c r="A634" s="3269">
        <v>631</v>
      </c>
      <c r="B634" s="3270">
        <v>2</v>
      </c>
      <c r="C634" s="3270">
        <v>1</v>
      </c>
      <c r="D634" s="3275">
        <v>807</v>
      </c>
      <c r="E634" s="3276">
        <v>2</v>
      </c>
      <c r="F634" s="3276">
        <v>1</v>
      </c>
      <c r="G634" s="3276">
        <v>1</v>
      </c>
      <c r="H634" s="3275" t="s">
        <v>3300</v>
      </c>
      <c r="I634" s="3275" t="s">
        <v>3313</v>
      </c>
      <c r="J634" s="3269"/>
      <c r="K634" s="3277">
        <v>67.27</v>
      </c>
      <c r="L634" s="3276"/>
      <c r="M634" s="3276"/>
      <c r="N634" s="3501"/>
      <c r="O634" s="3503"/>
      <c r="P634" s="3503"/>
      <c r="Q634" s="3276"/>
      <c r="R634" s="3276"/>
    </row>
    <row r="635" spans="1:18">
      <c r="A635" s="3269">
        <v>632</v>
      </c>
      <c r="B635" s="3270">
        <v>2</v>
      </c>
      <c r="C635" s="3270">
        <v>1</v>
      </c>
      <c r="D635" s="3275">
        <v>808</v>
      </c>
      <c r="E635" s="3276">
        <v>1</v>
      </c>
      <c r="F635" s="3276">
        <v>1</v>
      </c>
      <c r="G635" s="3276">
        <v>1</v>
      </c>
      <c r="H635" s="3275" t="s">
        <v>3302</v>
      </c>
      <c r="I635" s="3275" t="s">
        <v>3311</v>
      </c>
      <c r="J635" s="3269"/>
      <c r="K635" s="3277">
        <v>38.54</v>
      </c>
      <c r="L635" s="3276"/>
      <c r="M635" s="3276"/>
      <c r="N635" s="3501"/>
      <c r="O635" s="3503"/>
      <c r="P635" s="3503"/>
      <c r="Q635" s="3276"/>
      <c r="R635" s="3276"/>
    </row>
    <row r="636" spans="1:18">
      <c r="A636" s="3269">
        <v>633</v>
      </c>
      <c r="B636" s="3270">
        <v>2</v>
      </c>
      <c r="C636" s="3270">
        <v>1</v>
      </c>
      <c r="D636" s="3275">
        <v>809</v>
      </c>
      <c r="E636" s="3276">
        <v>1</v>
      </c>
      <c r="F636" s="3276">
        <v>1</v>
      </c>
      <c r="G636" s="3276">
        <v>1</v>
      </c>
      <c r="H636" s="3275" t="s">
        <v>3304</v>
      </c>
      <c r="I636" s="3275" t="s">
        <v>3328</v>
      </c>
      <c r="J636" s="3269"/>
      <c r="K636" s="3277">
        <v>39.96</v>
      </c>
      <c r="L636" s="3276"/>
      <c r="M636" s="3276"/>
      <c r="N636" s="3501"/>
      <c r="O636" s="3503"/>
      <c r="P636" s="3503"/>
      <c r="Q636" s="3276"/>
      <c r="R636" s="3276"/>
    </row>
    <row r="637" spans="1:18">
      <c r="A637" s="3269">
        <v>634</v>
      </c>
      <c r="B637" s="3270">
        <v>2</v>
      </c>
      <c r="C637" s="3270">
        <v>1</v>
      </c>
      <c r="D637" s="3275">
        <v>810</v>
      </c>
      <c r="E637" s="3276">
        <v>1</v>
      </c>
      <c r="F637" s="3276">
        <v>1</v>
      </c>
      <c r="G637" s="3276">
        <v>1</v>
      </c>
      <c r="H637" s="3275" t="s">
        <v>3304</v>
      </c>
      <c r="I637" s="3275" t="s">
        <v>3325</v>
      </c>
      <c r="J637" s="3269"/>
      <c r="K637" s="3269">
        <v>39.869999999999997</v>
      </c>
      <c r="L637" s="3276"/>
      <c r="M637" s="3276"/>
      <c r="N637" s="3501"/>
      <c r="O637" s="3503"/>
      <c r="P637" s="3503"/>
      <c r="Q637" s="3276"/>
      <c r="R637" s="3276"/>
    </row>
    <row r="638" spans="1:18">
      <c r="A638" s="3269">
        <v>635</v>
      </c>
      <c r="B638" s="3270">
        <v>2</v>
      </c>
      <c r="C638" s="3270">
        <v>1</v>
      </c>
      <c r="D638" s="3275">
        <v>811</v>
      </c>
      <c r="E638" s="3276">
        <v>1</v>
      </c>
      <c r="F638" s="3276">
        <v>0</v>
      </c>
      <c r="G638" s="3276">
        <v>1</v>
      </c>
      <c r="H638" s="3275" t="s">
        <v>3304</v>
      </c>
      <c r="I638" s="3275" t="s">
        <v>3329</v>
      </c>
      <c r="J638" s="3269"/>
      <c r="K638" s="3269">
        <v>31.98</v>
      </c>
      <c r="L638" s="3276"/>
      <c r="M638" s="3276"/>
      <c r="N638" s="3501"/>
      <c r="O638" s="3503"/>
      <c r="P638" s="3503"/>
      <c r="Q638" s="3276"/>
      <c r="R638" s="3276"/>
    </row>
    <row r="639" spans="1:18">
      <c r="A639" s="3269">
        <v>636</v>
      </c>
      <c r="B639" s="3270">
        <v>2</v>
      </c>
      <c r="C639" s="3270">
        <v>1</v>
      </c>
      <c r="D639" s="3275">
        <v>812</v>
      </c>
      <c r="E639" s="3276">
        <v>1</v>
      </c>
      <c r="F639" s="3276">
        <v>0</v>
      </c>
      <c r="G639" s="3276">
        <v>1</v>
      </c>
      <c r="H639" s="3275" t="s">
        <v>3304</v>
      </c>
      <c r="I639" s="3275" t="s">
        <v>3330</v>
      </c>
      <c r="J639" s="3269"/>
      <c r="K639" s="3269">
        <v>31.54</v>
      </c>
      <c r="L639" s="3276"/>
      <c r="M639" s="3276"/>
      <c r="N639" s="3501"/>
      <c r="O639" s="3503"/>
      <c r="P639" s="3503"/>
      <c r="Q639" s="3276"/>
      <c r="R639" s="3276"/>
    </row>
    <row r="640" spans="1:18">
      <c r="A640" s="3269">
        <v>637</v>
      </c>
      <c r="B640" s="3270">
        <v>2</v>
      </c>
      <c r="C640" s="3270">
        <v>1</v>
      </c>
      <c r="D640" s="3275">
        <v>813</v>
      </c>
      <c r="E640" s="3276">
        <v>1</v>
      </c>
      <c r="F640" s="3276">
        <v>0</v>
      </c>
      <c r="G640" s="3276">
        <v>1</v>
      </c>
      <c r="H640" s="3275" t="s">
        <v>3304</v>
      </c>
      <c r="I640" s="3275" t="s">
        <v>3330</v>
      </c>
      <c r="J640" s="3269"/>
      <c r="K640" s="3269">
        <v>31.54</v>
      </c>
      <c r="L640" s="3276"/>
      <c r="M640" s="3276"/>
      <c r="N640" s="3501"/>
      <c r="O640" s="3503"/>
      <c r="P640" s="3503"/>
      <c r="Q640" s="3276"/>
      <c r="R640" s="3276"/>
    </row>
    <row r="641" spans="1:18">
      <c r="A641" s="3269">
        <v>638</v>
      </c>
      <c r="B641" s="3270">
        <v>2</v>
      </c>
      <c r="C641" s="3270">
        <v>1</v>
      </c>
      <c r="D641" s="3275">
        <v>814</v>
      </c>
      <c r="E641" s="3276">
        <v>1</v>
      </c>
      <c r="F641" s="3276">
        <v>0</v>
      </c>
      <c r="G641" s="3276">
        <v>1</v>
      </c>
      <c r="H641" s="3275" t="s">
        <v>3304</v>
      </c>
      <c r="I641" s="3275" t="s">
        <v>3330</v>
      </c>
      <c r="J641" s="3269"/>
      <c r="K641" s="3269">
        <v>31.54</v>
      </c>
      <c r="L641" s="3276"/>
      <c r="M641" s="3276"/>
      <c r="N641" s="3501"/>
      <c r="O641" s="3503"/>
      <c r="P641" s="3503"/>
      <c r="Q641" s="3276"/>
      <c r="R641" s="3276"/>
    </row>
    <row r="642" spans="1:18">
      <c r="A642" s="3269">
        <v>639</v>
      </c>
      <c r="B642" s="3270">
        <v>2</v>
      </c>
      <c r="C642" s="3270">
        <v>1</v>
      </c>
      <c r="D642" s="3275">
        <v>815</v>
      </c>
      <c r="E642" s="3276">
        <v>1</v>
      </c>
      <c r="F642" s="3276">
        <v>0</v>
      </c>
      <c r="G642" s="3276">
        <v>1</v>
      </c>
      <c r="H642" s="3275" t="s">
        <v>3304</v>
      </c>
      <c r="I642" s="3275" t="s">
        <v>3330</v>
      </c>
      <c r="J642" s="3269"/>
      <c r="K642" s="3269">
        <v>31.54</v>
      </c>
      <c r="L642" s="3276"/>
      <c r="M642" s="3276"/>
      <c r="N642" s="3501"/>
      <c r="O642" s="3503"/>
      <c r="P642" s="3503"/>
      <c r="Q642" s="3276"/>
      <c r="R642" s="3276"/>
    </row>
    <row r="643" spans="1:18">
      <c r="A643" s="3269">
        <v>640</v>
      </c>
      <c r="B643" s="3270">
        <v>2</v>
      </c>
      <c r="C643" s="3270">
        <v>1</v>
      </c>
      <c r="D643" s="3275">
        <v>816</v>
      </c>
      <c r="E643" s="3276">
        <v>1</v>
      </c>
      <c r="F643" s="3276">
        <v>0</v>
      </c>
      <c r="G643" s="3276">
        <v>1</v>
      </c>
      <c r="H643" s="3278" t="s">
        <v>3304</v>
      </c>
      <c r="I643" s="3275" t="s">
        <v>3330</v>
      </c>
      <c r="J643" s="3269"/>
      <c r="K643" s="3269">
        <v>31.54</v>
      </c>
      <c r="L643" s="3276"/>
      <c r="M643" s="3276"/>
      <c r="N643" s="3501"/>
      <c r="O643" s="3503"/>
      <c r="P643" s="3503"/>
      <c r="Q643" s="3276"/>
      <c r="R643" s="3276"/>
    </row>
    <row r="644" spans="1:18">
      <c r="A644" s="3269">
        <v>641</v>
      </c>
      <c r="B644" s="3270">
        <v>2</v>
      </c>
      <c r="C644" s="3270">
        <v>1</v>
      </c>
      <c r="D644" s="3275">
        <v>817</v>
      </c>
      <c r="E644" s="3276">
        <v>1</v>
      </c>
      <c r="F644" s="3276">
        <v>0</v>
      </c>
      <c r="G644" s="3276">
        <v>1</v>
      </c>
      <c r="H644" s="3278" t="s">
        <v>3304</v>
      </c>
      <c r="I644" s="3275" t="s">
        <v>3331</v>
      </c>
      <c r="J644" s="3269"/>
      <c r="K644" s="3269">
        <v>32.26</v>
      </c>
      <c r="L644" s="3276"/>
      <c r="M644" s="3276"/>
      <c r="N644" s="3501"/>
      <c r="O644" s="3503"/>
      <c r="P644" s="3503"/>
      <c r="Q644" s="3276"/>
      <c r="R644" s="3276"/>
    </row>
    <row r="645" spans="1:18">
      <c r="A645" s="3269">
        <v>642</v>
      </c>
      <c r="B645" s="3270">
        <v>2</v>
      </c>
      <c r="C645" s="3270">
        <v>1</v>
      </c>
      <c r="D645" s="3275">
        <v>818</v>
      </c>
      <c r="E645" s="3276">
        <v>1</v>
      </c>
      <c r="F645" s="3276">
        <v>0</v>
      </c>
      <c r="G645" s="3276">
        <v>1</v>
      </c>
      <c r="H645" s="3278" t="s">
        <v>3304</v>
      </c>
      <c r="I645" s="3275" t="s">
        <v>3331</v>
      </c>
      <c r="J645" s="3269"/>
      <c r="K645" s="3269">
        <v>32.26</v>
      </c>
      <c r="L645" s="3276"/>
      <c r="M645" s="3276"/>
      <c r="N645" s="3501"/>
      <c r="O645" s="3503"/>
      <c r="P645" s="3503"/>
      <c r="Q645" s="3276"/>
      <c r="R645" s="3276"/>
    </row>
    <row r="646" spans="1:18">
      <c r="A646" s="3269">
        <v>643</v>
      </c>
      <c r="B646" s="3270">
        <v>2</v>
      </c>
      <c r="C646" s="3270">
        <v>1</v>
      </c>
      <c r="D646" s="3275">
        <v>819</v>
      </c>
      <c r="E646" s="3276">
        <v>1</v>
      </c>
      <c r="F646" s="3276">
        <v>0</v>
      </c>
      <c r="G646" s="3276">
        <v>1</v>
      </c>
      <c r="H646" s="3278" t="s">
        <v>3304</v>
      </c>
      <c r="I646" s="3275" t="s">
        <v>3330</v>
      </c>
      <c r="J646" s="3269"/>
      <c r="K646" s="3269">
        <v>31.54</v>
      </c>
      <c r="L646" s="3276"/>
      <c r="M646" s="3276"/>
      <c r="N646" s="3501"/>
      <c r="O646" s="3503"/>
      <c r="P646" s="3503"/>
      <c r="Q646" s="3276"/>
      <c r="R646" s="3276"/>
    </row>
    <row r="647" spans="1:18">
      <c r="A647" s="3269">
        <v>644</v>
      </c>
      <c r="B647" s="3270">
        <v>2</v>
      </c>
      <c r="C647" s="3270">
        <v>1</v>
      </c>
      <c r="D647" s="3275">
        <v>820</v>
      </c>
      <c r="E647" s="3276">
        <v>1</v>
      </c>
      <c r="F647" s="3276">
        <v>0</v>
      </c>
      <c r="G647" s="3276">
        <v>1</v>
      </c>
      <c r="H647" s="3278" t="s">
        <v>3304</v>
      </c>
      <c r="I647" s="3275" t="s">
        <v>3330</v>
      </c>
      <c r="J647" s="3269"/>
      <c r="K647" s="3269">
        <v>31.54</v>
      </c>
      <c r="L647" s="3276"/>
      <c r="M647" s="3276"/>
      <c r="N647" s="3501"/>
      <c r="O647" s="3503"/>
      <c r="P647" s="3503"/>
      <c r="Q647" s="3276"/>
      <c r="R647" s="3276"/>
    </row>
    <row r="648" spans="1:18">
      <c r="A648" s="3269">
        <v>645</v>
      </c>
      <c r="B648" s="3270">
        <v>2</v>
      </c>
      <c r="C648" s="3270">
        <v>1</v>
      </c>
      <c r="D648" s="3275">
        <v>821</v>
      </c>
      <c r="E648" s="3276">
        <v>1</v>
      </c>
      <c r="F648" s="3276">
        <v>1</v>
      </c>
      <c r="G648" s="3276">
        <v>1</v>
      </c>
      <c r="H648" s="3275" t="s">
        <v>3310</v>
      </c>
      <c r="I648" s="3275" t="s">
        <v>3303</v>
      </c>
      <c r="J648" s="3269"/>
      <c r="K648" s="3277">
        <v>40.520000000000003</v>
      </c>
      <c r="L648" s="3276"/>
      <c r="M648" s="3276"/>
      <c r="N648" s="3501"/>
      <c r="O648" s="3503"/>
      <c r="P648" s="3503"/>
      <c r="Q648" s="3276"/>
      <c r="R648" s="3276"/>
    </row>
    <row r="649" spans="1:18">
      <c r="A649" s="3269">
        <v>646</v>
      </c>
      <c r="B649" s="3270">
        <v>2</v>
      </c>
      <c r="C649" s="3270">
        <v>1</v>
      </c>
      <c r="D649" s="3275">
        <v>822</v>
      </c>
      <c r="E649" s="3276">
        <v>1</v>
      </c>
      <c r="F649" s="3276">
        <v>0</v>
      </c>
      <c r="G649" s="3276">
        <v>1</v>
      </c>
      <c r="H649" s="3275" t="s">
        <v>3312</v>
      </c>
      <c r="I649" s="3275" t="s">
        <v>3323</v>
      </c>
      <c r="J649" s="3269"/>
      <c r="K649" s="3277">
        <v>32.42</v>
      </c>
      <c r="L649" s="3276"/>
      <c r="M649" s="3276"/>
      <c r="N649" s="3501"/>
      <c r="O649" s="3503"/>
      <c r="P649" s="3503"/>
      <c r="Q649" s="3276"/>
      <c r="R649" s="3276"/>
    </row>
    <row r="650" spans="1:18">
      <c r="A650" s="3269">
        <v>647</v>
      </c>
      <c r="B650" s="3270">
        <v>2</v>
      </c>
      <c r="C650" s="3270">
        <v>1</v>
      </c>
      <c r="D650" s="3275">
        <v>823</v>
      </c>
      <c r="E650" s="3276">
        <v>1</v>
      </c>
      <c r="F650" s="3276">
        <v>0</v>
      </c>
      <c r="G650" s="3276">
        <v>1</v>
      </c>
      <c r="H650" s="3275" t="s">
        <v>3332</v>
      </c>
      <c r="I650" s="3275" t="s">
        <v>3333</v>
      </c>
      <c r="J650" s="3269"/>
      <c r="K650" s="3269">
        <v>35.26</v>
      </c>
      <c r="L650" s="3276"/>
      <c r="M650" s="3276"/>
      <c r="N650" s="3501"/>
      <c r="O650" s="3503"/>
      <c r="P650" s="3503"/>
      <c r="Q650" s="3276"/>
      <c r="R650" s="3276"/>
    </row>
    <row r="651" spans="1:18">
      <c r="A651" s="3269">
        <v>648</v>
      </c>
      <c r="B651" s="3270">
        <v>2</v>
      </c>
      <c r="C651" s="3270">
        <v>1</v>
      </c>
      <c r="D651" s="3275">
        <v>824</v>
      </c>
      <c r="E651" s="3276">
        <v>1</v>
      </c>
      <c r="F651" s="3276">
        <v>0</v>
      </c>
      <c r="G651" s="3276">
        <v>1</v>
      </c>
      <c r="H651" s="3275" t="s">
        <v>3332</v>
      </c>
      <c r="I651" s="3275" t="s">
        <v>3334</v>
      </c>
      <c r="J651" s="3269"/>
      <c r="K651" s="3269">
        <v>34.5</v>
      </c>
      <c r="L651" s="3276"/>
      <c r="M651" s="3276"/>
      <c r="N651" s="3501"/>
      <c r="O651" s="3503"/>
      <c r="P651" s="3503"/>
      <c r="Q651" s="3276"/>
      <c r="R651" s="3276"/>
    </row>
    <row r="652" spans="1:18">
      <c r="A652" s="3269">
        <v>649</v>
      </c>
      <c r="B652" s="3270">
        <v>2</v>
      </c>
      <c r="C652" s="3270">
        <v>1</v>
      </c>
      <c r="D652" s="3275">
        <v>825</v>
      </c>
      <c r="E652" s="3276">
        <v>1</v>
      </c>
      <c r="F652" s="3276">
        <v>1</v>
      </c>
      <c r="G652" s="3276">
        <v>1</v>
      </c>
      <c r="H652" s="3275" t="s">
        <v>3332</v>
      </c>
      <c r="I652" s="3275" t="s">
        <v>3335</v>
      </c>
      <c r="J652" s="3269"/>
      <c r="K652" s="3269">
        <v>40.32</v>
      </c>
      <c r="L652" s="3276"/>
      <c r="M652" s="3276"/>
      <c r="N652" s="3501"/>
      <c r="O652" s="3503"/>
      <c r="P652" s="3503"/>
      <c r="Q652" s="3276"/>
      <c r="R652" s="3276"/>
    </row>
    <row r="653" spans="1:18">
      <c r="A653" s="3269">
        <v>650</v>
      </c>
      <c r="B653" s="3270">
        <v>2</v>
      </c>
      <c r="C653" s="3270">
        <v>1</v>
      </c>
      <c r="D653" s="3275">
        <v>826</v>
      </c>
      <c r="E653" s="3276">
        <v>1</v>
      </c>
      <c r="F653" s="3276">
        <v>1</v>
      </c>
      <c r="G653" s="3276">
        <v>1</v>
      </c>
      <c r="H653" s="3275" t="s">
        <v>3332</v>
      </c>
      <c r="I653" s="3275" t="s">
        <v>3335</v>
      </c>
      <c r="J653" s="3269"/>
      <c r="K653" s="3269">
        <v>40.32</v>
      </c>
      <c r="L653" s="3276"/>
      <c r="M653" s="3276"/>
      <c r="N653" s="3501"/>
      <c r="O653" s="3503"/>
      <c r="P653" s="3503"/>
      <c r="Q653" s="3276"/>
      <c r="R653" s="3276"/>
    </row>
    <row r="654" spans="1:18">
      <c r="A654" s="3269">
        <v>651</v>
      </c>
      <c r="B654" s="3270">
        <v>2</v>
      </c>
      <c r="C654" s="3270">
        <v>1</v>
      </c>
      <c r="D654" s="3275">
        <v>827</v>
      </c>
      <c r="E654" s="3276">
        <v>1</v>
      </c>
      <c r="F654" s="3276">
        <v>1</v>
      </c>
      <c r="G654" s="3276">
        <v>1</v>
      </c>
      <c r="H654" s="3275" t="s">
        <v>3332</v>
      </c>
      <c r="I654" s="3275" t="s">
        <v>3335</v>
      </c>
      <c r="J654" s="3269"/>
      <c r="K654" s="3269">
        <v>40.32</v>
      </c>
      <c r="L654" s="3276"/>
      <c r="M654" s="3276"/>
      <c r="N654" s="3501"/>
      <c r="O654" s="3503"/>
      <c r="P654" s="3503"/>
      <c r="Q654" s="3276"/>
      <c r="R654" s="3276"/>
    </row>
    <row r="655" spans="1:18">
      <c r="A655" s="3269">
        <v>652</v>
      </c>
      <c r="B655" s="3270">
        <v>2</v>
      </c>
      <c r="C655" s="3270">
        <v>1</v>
      </c>
      <c r="D655" s="3275">
        <v>828</v>
      </c>
      <c r="E655" s="3276">
        <v>1</v>
      </c>
      <c r="F655" s="3276">
        <v>1</v>
      </c>
      <c r="G655" s="3276">
        <v>1</v>
      </c>
      <c r="H655" s="3275" t="s">
        <v>3332</v>
      </c>
      <c r="I655" s="3275" t="s">
        <v>3335</v>
      </c>
      <c r="J655" s="3269"/>
      <c r="K655" s="3269">
        <v>40.32</v>
      </c>
      <c r="L655" s="3276"/>
      <c r="M655" s="3276"/>
      <c r="N655" s="3501"/>
      <c r="O655" s="3503"/>
      <c r="P655" s="3503"/>
      <c r="Q655" s="3276"/>
      <c r="R655" s="3276"/>
    </row>
    <row r="656" spans="1:18">
      <c r="A656" s="3269">
        <v>653</v>
      </c>
      <c r="B656" s="3270">
        <v>2</v>
      </c>
      <c r="C656" s="3270">
        <v>1</v>
      </c>
      <c r="D656" s="3275">
        <v>829</v>
      </c>
      <c r="E656" s="3276">
        <v>1</v>
      </c>
      <c r="F656" s="3276">
        <v>1</v>
      </c>
      <c r="G656" s="3276">
        <v>1</v>
      </c>
      <c r="H656" s="3275" t="s">
        <v>3332</v>
      </c>
      <c r="I656" s="3275" t="s">
        <v>3335</v>
      </c>
      <c r="J656" s="3269"/>
      <c r="K656" s="3269">
        <v>40.32</v>
      </c>
      <c r="L656" s="3276"/>
      <c r="M656" s="3276"/>
      <c r="N656" s="3501"/>
      <c r="O656" s="3503"/>
      <c r="P656" s="3503"/>
      <c r="Q656" s="3276"/>
      <c r="R656" s="3276"/>
    </row>
    <row r="657" spans="1:18">
      <c r="A657" s="3269">
        <v>654</v>
      </c>
      <c r="B657" s="3270">
        <v>2</v>
      </c>
      <c r="C657" s="3270">
        <v>1</v>
      </c>
      <c r="D657" s="3275">
        <v>830</v>
      </c>
      <c r="E657" s="3276">
        <v>1</v>
      </c>
      <c r="F657" s="3276">
        <v>1</v>
      </c>
      <c r="G657" s="3276">
        <v>1</v>
      </c>
      <c r="H657" s="3275" t="s">
        <v>3332</v>
      </c>
      <c r="I657" s="3275" t="s">
        <v>3335</v>
      </c>
      <c r="J657" s="3269"/>
      <c r="K657" s="3269">
        <v>40.32</v>
      </c>
      <c r="L657" s="3276"/>
      <c r="M657" s="3276"/>
      <c r="N657" s="3501"/>
      <c r="O657" s="3503"/>
      <c r="P657" s="3503"/>
      <c r="Q657" s="3276"/>
      <c r="R657" s="3276"/>
    </row>
    <row r="658" spans="1:18">
      <c r="A658" s="3269">
        <v>655</v>
      </c>
      <c r="B658" s="3270">
        <v>2</v>
      </c>
      <c r="C658" s="3270">
        <v>1</v>
      </c>
      <c r="D658" s="3275">
        <v>831</v>
      </c>
      <c r="E658" s="3276">
        <v>1</v>
      </c>
      <c r="F658" s="3276">
        <v>1</v>
      </c>
      <c r="G658" s="3276">
        <v>1</v>
      </c>
      <c r="H658" s="3275" t="s">
        <v>3332</v>
      </c>
      <c r="I658" s="3275" t="s">
        <v>3335</v>
      </c>
      <c r="J658" s="3269"/>
      <c r="K658" s="3269">
        <v>40.32</v>
      </c>
      <c r="L658" s="3276"/>
      <c r="M658" s="3276"/>
      <c r="N658" s="3501"/>
      <c r="O658" s="3503"/>
      <c r="P658" s="3503"/>
      <c r="Q658" s="3276"/>
      <c r="R658" s="3276"/>
    </row>
    <row r="659" spans="1:18">
      <c r="A659" s="3269">
        <v>656</v>
      </c>
      <c r="B659" s="3270">
        <v>2</v>
      </c>
      <c r="C659" s="3270">
        <v>1</v>
      </c>
      <c r="D659" s="3275">
        <v>832</v>
      </c>
      <c r="E659" s="3276">
        <v>1</v>
      </c>
      <c r="F659" s="3276">
        <v>1</v>
      </c>
      <c r="G659" s="3276">
        <v>1</v>
      </c>
      <c r="H659" s="3275" t="s">
        <v>3332</v>
      </c>
      <c r="I659" s="3275" t="s">
        <v>3335</v>
      </c>
      <c r="J659" s="3269"/>
      <c r="K659" s="3269">
        <v>40.32</v>
      </c>
      <c r="L659" s="3276"/>
      <c r="M659" s="3276"/>
      <c r="N659" s="3501"/>
      <c r="O659" s="3503"/>
      <c r="P659" s="3503"/>
      <c r="Q659" s="3276"/>
      <c r="R659" s="3276"/>
    </row>
    <row r="660" spans="1:18">
      <c r="A660" s="3269">
        <v>657</v>
      </c>
      <c r="B660" s="3270">
        <v>2</v>
      </c>
      <c r="C660" s="3270">
        <v>1</v>
      </c>
      <c r="D660" s="3275">
        <v>833</v>
      </c>
      <c r="E660" s="3276">
        <v>1</v>
      </c>
      <c r="F660" s="3276">
        <v>1</v>
      </c>
      <c r="G660" s="3276">
        <v>1</v>
      </c>
      <c r="H660" s="3275" t="s">
        <v>3332</v>
      </c>
      <c r="I660" s="3275" t="s">
        <v>3335</v>
      </c>
      <c r="J660" s="3269"/>
      <c r="K660" s="3269">
        <v>40.32</v>
      </c>
      <c r="L660" s="3276"/>
      <c r="M660" s="3276"/>
      <c r="N660" s="3501"/>
      <c r="O660" s="3503"/>
      <c r="P660" s="3503"/>
      <c r="Q660" s="3276"/>
      <c r="R660" s="3276"/>
    </row>
    <row r="661" spans="1:18">
      <c r="A661" s="3269">
        <v>658</v>
      </c>
      <c r="B661" s="3270">
        <v>2</v>
      </c>
      <c r="C661" s="3270">
        <v>1</v>
      </c>
      <c r="D661" s="3275">
        <v>834</v>
      </c>
      <c r="E661" s="3276">
        <v>1</v>
      </c>
      <c r="F661" s="3276">
        <v>1</v>
      </c>
      <c r="G661" s="3276">
        <v>1</v>
      </c>
      <c r="H661" s="3275" t="s">
        <v>3332</v>
      </c>
      <c r="I661" s="3275" t="s">
        <v>3335</v>
      </c>
      <c r="J661" s="3269"/>
      <c r="K661" s="3269">
        <v>40.32</v>
      </c>
      <c r="L661" s="3276"/>
      <c r="M661" s="3276"/>
      <c r="N661" s="3501"/>
      <c r="O661" s="3503"/>
      <c r="P661" s="3503"/>
      <c r="Q661" s="3276"/>
      <c r="R661" s="3276"/>
    </row>
    <row r="662" spans="1:18">
      <c r="A662" s="3269">
        <v>659</v>
      </c>
      <c r="B662" s="3270">
        <v>2</v>
      </c>
      <c r="C662" s="3270">
        <v>1</v>
      </c>
      <c r="D662" s="3275">
        <v>835</v>
      </c>
      <c r="E662" s="3276">
        <v>1</v>
      </c>
      <c r="F662" s="3276">
        <v>1</v>
      </c>
      <c r="G662" s="3276">
        <v>1</v>
      </c>
      <c r="H662" s="3275" t="s">
        <v>3332</v>
      </c>
      <c r="I662" s="3275" t="s">
        <v>3336</v>
      </c>
      <c r="J662" s="3269"/>
      <c r="K662" s="3269">
        <v>42.56</v>
      </c>
      <c r="L662" s="3276"/>
      <c r="M662" s="3276"/>
      <c r="N662" s="3501"/>
      <c r="O662" s="3503"/>
      <c r="P662" s="3503"/>
      <c r="Q662" s="3276"/>
      <c r="R662" s="3276"/>
    </row>
    <row r="663" spans="1:18">
      <c r="A663" s="3269">
        <v>660</v>
      </c>
      <c r="B663" s="3270">
        <v>2</v>
      </c>
      <c r="C663" s="3270">
        <v>1</v>
      </c>
      <c r="D663" s="3275">
        <v>836</v>
      </c>
      <c r="E663" s="3276">
        <v>1</v>
      </c>
      <c r="F663" s="3276">
        <v>1</v>
      </c>
      <c r="G663" s="3276">
        <v>1</v>
      </c>
      <c r="H663" s="3275" t="s">
        <v>3312</v>
      </c>
      <c r="I663" s="3275" t="s">
        <v>3337</v>
      </c>
      <c r="J663" s="3269"/>
      <c r="K663" s="3269">
        <v>40.42</v>
      </c>
      <c r="L663" s="3276"/>
      <c r="M663" s="3276"/>
      <c r="N663" s="3501"/>
      <c r="O663" s="3503"/>
      <c r="P663" s="3503"/>
      <c r="Q663" s="3276"/>
      <c r="R663" s="3276"/>
    </row>
    <row r="664" spans="1:18">
      <c r="A664" s="3269">
        <v>661</v>
      </c>
      <c r="B664" s="3270">
        <v>2</v>
      </c>
      <c r="C664" s="3270">
        <v>1</v>
      </c>
      <c r="D664" s="3275">
        <v>837</v>
      </c>
      <c r="E664" s="3276">
        <v>1</v>
      </c>
      <c r="F664" s="3276">
        <v>1</v>
      </c>
      <c r="G664" s="3276">
        <v>1</v>
      </c>
      <c r="H664" s="3275" t="s">
        <v>3312</v>
      </c>
      <c r="I664" s="3275" t="s">
        <v>3335</v>
      </c>
      <c r="J664" s="3269"/>
      <c r="K664" s="3269">
        <v>40.32</v>
      </c>
      <c r="L664" s="3276"/>
      <c r="M664" s="3276"/>
      <c r="N664" s="3501"/>
      <c r="O664" s="3503"/>
      <c r="P664" s="3503"/>
      <c r="Q664" s="3276"/>
      <c r="R664" s="3276"/>
    </row>
    <row r="665" spans="1:18">
      <c r="A665" s="3269">
        <v>662</v>
      </c>
      <c r="B665" s="3270">
        <v>2</v>
      </c>
      <c r="C665" s="3270">
        <v>1</v>
      </c>
      <c r="D665" s="3275">
        <v>838</v>
      </c>
      <c r="E665" s="3276">
        <v>1</v>
      </c>
      <c r="F665" s="3276">
        <v>1</v>
      </c>
      <c r="G665" s="3276">
        <v>1</v>
      </c>
      <c r="H665" s="3275" t="s">
        <v>3312</v>
      </c>
      <c r="I665" s="3275" t="s">
        <v>3338</v>
      </c>
      <c r="J665" s="3269"/>
      <c r="K665" s="3269">
        <v>32.26</v>
      </c>
      <c r="L665" s="3276"/>
      <c r="M665" s="3276"/>
      <c r="N665" s="3501"/>
      <c r="O665" s="3503"/>
      <c r="P665" s="3503"/>
      <c r="Q665" s="3276"/>
      <c r="R665" s="3276"/>
    </row>
    <row r="666" spans="1:18" ht="14.25" thickBot="1">
      <c r="A666" s="3269">
        <v>663</v>
      </c>
      <c r="B666" s="3270">
        <v>2</v>
      </c>
      <c r="C666" s="3270">
        <v>1</v>
      </c>
      <c r="D666" s="3279">
        <v>839</v>
      </c>
      <c r="E666" s="3284">
        <v>4</v>
      </c>
      <c r="F666" s="3280">
        <v>1</v>
      </c>
      <c r="G666" s="3280">
        <v>1</v>
      </c>
      <c r="H666" s="3279" t="s">
        <v>3316</v>
      </c>
      <c r="I666" s="3279" t="s">
        <v>3319</v>
      </c>
      <c r="J666" s="3281"/>
      <c r="K666" s="3282">
        <v>75.8</v>
      </c>
      <c r="L666" s="3280"/>
      <c r="M666" s="3280"/>
      <c r="N666" s="3502"/>
      <c r="O666" s="3504"/>
      <c r="P666" s="3504"/>
      <c r="Q666" s="3280"/>
      <c r="R666" s="3280"/>
    </row>
    <row r="667" spans="1:18" ht="14.25" thickTop="1">
      <c r="A667" s="3269">
        <v>664</v>
      </c>
      <c r="B667" s="3270">
        <v>2</v>
      </c>
      <c r="C667" s="3270">
        <v>1</v>
      </c>
      <c r="D667" s="3271">
        <v>901</v>
      </c>
      <c r="E667" s="3272">
        <v>4</v>
      </c>
      <c r="F667" s="3272">
        <v>1</v>
      </c>
      <c r="G667" s="3272">
        <v>1</v>
      </c>
      <c r="H667" s="3271" t="s">
        <v>3318</v>
      </c>
      <c r="I667" s="3271" t="s">
        <v>3317</v>
      </c>
      <c r="J667" s="3273"/>
      <c r="K667" s="3274">
        <v>75.8</v>
      </c>
      <c r="L667" s="3272"/>
      <c r="M667" s="3272"/>
      <c r="N667" s="3500">
        <v>2.9</v>
      </c>
      <c r="O667" s="3500" t="s">
        <v>3297</v>
      </c>
      <c r="P667" s="3500" t="s">
        <v>3298</v>
      </c>
      <c r="Q667" s="3272"/>
      <c r="R667" s="3272"/>
    </row>
    <row r="668" spans="1:18">
      <c r="A668" s="3269">
        <v>665</v>
      </c>
      <c r="B668" s="3270">
        <v>2</v>
      </c>
      <c r="C668" s="3270">
        <v>1</v>
      </c>
      <c r="D668" s="3275">
        <v>902</v>
      </c>
      <c r="E668" s="3276">
        <v>1</v>
      </c>
      <c r="F668" s="3276">
        <v>1</v>
      </c>
      <c r="G668" s="3276">
        <v>1</v>
      </c>
      <c r="H668" s="3275" t="s">
        <v>3300</v>
      </c>
      <c r="I668" s="3275" t="s">
        <v>3324</v>
      </c>
      <c r="J668" s="3269"/>
      <c r="K668" s="3277">
        <v>41.22</v>
      </c>
      <c r="L668" s="3276"/>
      <c r="M668" s="3276"/>
      <c r="N668" s="3501"/>
      <c r="O668" s="3503"/>
      <c r="P668" s="3503"/>
      <c r="Q668" s="3276"/>
      <c r="R668" s="3276"/>
    </row>
    <row r="669" spans="1:18">
      <c r="A669" s="3269">
        <v>666</v>
      </c>
      <c r="B669" s="3270">
        <v>2</v>
      </c>
      <c r="C669" s="3270">
        <v>1</v>
      </c>
      <c r="D669" s="3275">
        <v>903</v>
      </c>
      <c r="E669" s="3276">
        <v>1</v>
      </c>
      <c r="F669" s="3276">
        <v>1</v>
      </c>
      <c r="G669" s="3276">
        <v>1</v>
      </c>
      <c r="H669" s="3275" t="s">
        <v>3300</v>
      </c>
      <c r="I669" s="3275" t="s">
        <v>3325</v>
      </c>
      <c r="J669" s="3269"/>
      <c r="K669" s="3269">
        <v>39.869999999999997</v>
      </c>
      <c r="L669" s="3276"/>
      <c r="M669" s="3276"/>
      <c r="N669" s="3501"/>
      <c r="O669" s="3503"/>
      <c r="P669" s="3503"/>
      <c r="Q669" s="3276"/>
      <c r="R669" s="3276"/>
    </row>
    <row r="670" spans="1:18">
      <c r="A670" s="3269">
        <v>667</v>
      </c>
      <c r="B670" s="3270">
        <v>2</v>
      </c>
      <c r="C670" s="3270">
        <v>1</v>
      </c>
      <c r="D670" s="3275">
        <v>904</v>
      </c>
      <c r="E670" s="3276">
        <v>1</v>
      </c>
      <c r="F670" s="3276">
        <v>1</v>
      </c>
      <c r="G670" s="3276">
        <v>1</v>
      </c>
      <c r="H670" s="3275" t="s">
        <v>3300</v>
      </c>
      <c r="I670" s="3275" t="s">
        <v>3326</v>
      </c>
      <c r="J670" s="3269"/>
      <c r="K670" s="3269">
        <v>40.32</v>
      </c>
      <c r="L670" s="3276"/>
      <c r="M670" s="3276"/>
      <c r="N670" s="3501"/>
      <c r="O670" s="3503"/>
      <c r="P670" s="3503"/>
      <c r="Q670" s="3276"/>
      <c r="R670" s="3276"/>
    </row>
    <row r="671" spans="1:18">
      <c r="A671" s="3269">
        <v>668</v>
      </c>
      <c r="B671" s="3270">
        <v>2</v>
      </c>
      <c r="C671" s="3270">
        <v>1</v>
      </c>
      <c r="D671" s="3275">
        <v>905</v>
      </c>
      <c r="E671" s="3276">
        <v>1</v>
      </c>
      <c r="F671" s="3276">
        <v>1</v>
      </c>
      <c r="G671" s="3276">
        <v>1</v>
      </c>
      <c r="H671" s="3275" t="s">
        <v>3300</v>
      </c>
      <c r="I671" s="3275" t="s">
        <v>3326</v>
      </c>
      <c r="J671" s="3269"/>
      <c r="K671" s="3269">
        <v>40.32</v>
      </c>
      <c r="L671" s="3276"/>
      <c r="M671" s="3276"/>
      <c r="N671" s="3501"/>
      <c r="O671" s="3503"/>
      <c r="P671" s="3503"/>
      <c r="Q671" s="3276"/>
      <c r="R671" s="3276"/>
    </row>
    <row r="672" spans="1:18">
      <c r="A672" s="3269">
        <v>669</v>
      </c>
      <c r="B672" s="3270">
        <v>2</v>
      </c>
      <c r="C672" s="3270">
        <v>1</v>
      </c>
      <c r="D672" s="3275">
        <v>906</v>
      </c>
      <c r="E672" s="3276">
        <v>1</v>
      </c>
      <c r="F672" s="3276">
        <v>1</v>
      </c>
      <c r="G672" s="3276">
        <v>1</v>
      </c>
      <c r="H672" s="3275" t="s">
        <v>3300</v>
      </c>
      <c r="I672" s="3275" t="s">
        <v>3327</v>
      </c>
      <c r="J672" s="3269"/>
      <c r="K672" s="3269">
        <v>39.97</v>
      </c>
      <c r="L672" s="3276"/>
      <c r="M672" s="3276"/>
      <c r="N672" s="3501"/>
      <c r="O672" s="3503"/>
      <c r="P672" s="3503"/>
      <c r="Q672" s="3276"/>
      <c r="R672" s="3276"/>
    </row>
    <row r="673" spans="1:18">
      <c r="A673" s="3269">
        <v>670</v>
      </c>
      <c r="B673" s="3270">
        <v>2</v>
      </c>
      <c r="C673" s="3270">
        <v>1</v>
      </c>
      <c r="D673" s="3275">
        <v>907</v>
      </c>
      <c r="E673" s="3276">
        <v>2</v>
      </c>
      <c r="F673" s="3276">
        <v>1</v>
      </c>
      <c r="G673" s="3276">
        <v>1</v>
      </c>
      <c r="H673" s="3275" t="s">
        <v>3300</v>
      </c>
      <c r="I673" s="3275" t="s">
        <v>3313</v>
      </c>
      <c r="J673" s="3269"/>
      <c r="K673" s="3277">
        <v>67.27</v>
      </c>
      <c r="L673" s="3276"/>
      <c r="M673" s="3276"/>
      <c r="N673" s="3501"/>
      <c r="O673" s="3503"/>
      <c r="P673" s="3503"/>
      <c r="Q673" s="3276"/>
      <c r="R673" s="3276"/>
    </row>
    <row r="674" spans="1:18">
      <c r="A674" s="3269">
        <v>671</v>
      </c>
      <c r="B674" s="3270">
        <v>2</v>
      </c>
      <c r="C674" s="3270">
        <v>1</v>
      </c>
      <c r="D674" s="3275">
        <v>908</v>
      </c>
      <c r="E674" s="3276">
        <v>1</v>
      </c>
      <c r="F674" s="3276">
        <v>1</v>
      </c>
      <c r="G674" s="3276">
        <v>1</v>
      </c>
      <c r="H674" s="3275" t="s">
        <v>3302</v>
      </c>
      <c r="I674" s="3275" t="s">
        <v>3311</v>
      </c>
      <c r="J674" s="3269"/>
      <c r="K674" s="3277">
        <v>38.54</v>
      </c>
      <c r="L674" s="3276"/>
      <c r="M674" s="3276"/>
      <c r="N674" s="3501"/>
      <c r="O674" s="3503"/>
      <c r="P674" s="3503"/>
      <c r="Q674" s="3276"/>
      <c r="R674" s="3276"/>
    </row>
    <row r="675" spans="1:18">
      <c r="A675" s="3269">
        <v>672</v>
      </c>
      <c r="B675" s="3270">
        <v>2</v>
      </c>
      <c r="C675" s="3270">
        <v>1</v>
      </c>
      <c r="D675" s="3275">
        <v>909</v>
      </c>
      <c r="E675" s="3276">
        <v>1</v>
      </c>
      <c r="F675" s="3276">
        <v>1</v>
      </c>
      <c r="G675" s="3276">
        <v>1</v>
      </c>
      <c r="H675" s="3275" t="s">
        <v>3304</v>
      </c>
      <c r="I675" s="3275" t="s">
        <v>3328</v>
      </c>
      <c r="J675" s="3269"/>
      <c r="K675" s="3277">
        <v>39.96</v>
      </c>
      <c r="L675" s="3276"/>
      <c r="M675" s="3276"/>
      <c r="N675" s="3501"/>
      <c r="O675" s="3503"/>
      <c r="P675" s="3503"/>
      <c r="Q675" s="3276"/>
      <c r="R675" s="3276"/>
    </row>
    <row r="676" spans="1:18">
      <c r="A676" s="3269">
        <v>673</v>
      </c>
      <c r="B676" s="3270">
        <v>2</v>
      </c>
      <c r="C676" s="3270">
        <v>1</v>
      </c>
      <c r="D676" s="3275">
        <v>910</v>
      </c>
      <c r="E676" s="3276">
        <v>1</v>
      </c>
      <c r="F676" s="3276">
        <v>1</v>
      </c>
      <c r="G676" s="3276">
        <v>1</v>
      </c>
      <c r="H676" s="3275" t="s">
        <v>3304</v>
      </c>
      <c r="I676" s="3275" t="s">
        <v>3325</v>
      </c>
      <c r="J676" s="3269"/>
      <c r="K676" s="3269">
        <v>39.869999999999997</v>
      </c>
      <c r="L676" s="3276"/>
      <c r="M676" s="3276"/>
      <c r="N676" s="3501"/>
      <c r="O676" s="3503"/>
      <c r="P676" s="3503"/>
      <c r="Q676" s="3276"/>
      <c r="R676" s="3276"/>
    </row>
    <row r="677" spans="1:18">
      <c r="A677" s="3269">
        <v>674</v>
      </c>
      <c r="B677" s="3270">
        <v>2</v>
      </c>
      <c r="C677" s="3270">
        <v>1</v>
      </c>
      <c r="D677" s="3275">
        <v>911</v>
      </c>
      <c r="E677" s="3276">
        <v>1</v>
      </c>
      <c r="F677" s="3276">
        <v>0</v>
      </c>
      <c r="G677" s="3276">
        <v>1</v>
      </c>
      <c r="H677" s="3275" t="s">
        <v>3304</v>
      </c>
      <c r="I677" s="3275" t="s">
        <v>3329</v>
      </c>
      <c r="J677" s="3269"/>
      <c r="K677" s="3269">
        <v>31.98</v>
      </c>
      <c r="L677" s="3276"/>
      <c r="M677" s="3276"/>
      <c r="N677" s="3501"/>
      <c r="O677" s="3503"/>
      <c r="P677" s="3503"/>
      <c r="Q677" s="3276"/>
      <c r="R677" s="3276"/>
    </row>
    <row r="678" spans="1:18">
      <c r="A678" s="3269">
        <v>675</v>
      </c>
      <c r="B678" s="3270">
        <v>2</v>
      </c>
      <c r="C678" s="3270">
        <v>1</v>
      </c>
      <c r="D678" s="3275">
        <v>912</v>
      </c>
      <c r="E678" s="3276">
        <v>1</v>
      </c>
      <c r="F678" s="3276">
        <v>0</v>
      </c>
      <c r="G678" s="3276">
        <v>1</v>
      </c>
      <c r="H678" s="3275" t="s">
        <v>3304</v>
      </c>
      <c r="I678" s="3275" t="s">
        <v>3330</v>
      </c>
      <c r="J678" s="3269"/>
      <c r="K678" s="3269">
        <v>31.54</v>
      </c>
      <c r="L678" s="3276"/>
      <c r="M678" s="3276"/>
      <c r="N678" s="3501"/>
      <c r="O678" s="3503"/>
      <c r="P678" s="3503"/>
      <c r="Q678" s="3276"/>
      <c r="R678" s="3276"/>
    </row>
    <row r="679" spans="1:18">
      <c r="A679" s="3269">
        <v>676</v>
      </c>
      <c r="B679" s="3270">
        <v>2</v>
      </c>
      <c r="C679" s="3270">
        <v>1</v>
      </c>
      <c r="D679" s="3275">
        <v>913</v>
      </c>
      <c r="E679" s="3276">
        <v>1</v>
      </c>
      <c r="F679" s="3276">
        <v>0</v>
      </c>
      <c r="G679" s="3276">
        <v>1</v>
      </c>
      <c r="H679" s="3275" t="s">
        <v>3304</v>
      </c>
      <c r="I679" s="3275" t="s">
        <v>3330</v>
      </c>
      <c r="J679" s="3269"/>
      <c r="K679" s="3269">
        <v>31.54</v>
      </c>
      <c r="L679" s="3276"/>
      <c r="M679" s="3276"/>
      <c r="N679" s="3501"/>
      <c r="O679" s="3503"/>
      <c r="P679" s="3503"/>
      <c r="Q679" s="3276"/>
      <c r="R679" s="3276"/>
    </row>
    <row r="680" spans="1:18">
      <c r="A680" s="3269">
        <v>677</v>
      </c>
      <c r="B680" s="3270">
        <v>2</v>
      </c>
      <c r="C680" s="3270">
        <v>1</v>
      </c>
      <c r="D680" s="3275">
        <v>914</v>
      </c>
      <c r="E680" s="3276">
        <v>1</v>
      </c>
      <c r="F680" s="3276">
        <v>0</v>
      </c>
      <c r="G680" s="3276">
        <v>1</v>
      </c>
      <c r="H680" s="3275" t="s">
        <v>3304</v>
      </c>
      <c r="I680" s="3275" t="s">
        <v>3330</v>
      </c>
      <c r="J680" s="3269"/>
      <c r="K680" s="3269">
        <v>31.54</v>
      </c>
      <c r="L680" s="3276"/>
      <c r="M680" s="3276"/>
      <c r="N680" s="3501"/>
      <c r="O680" s="3503"/>
      <c r="P680" s="3503"/>
      <c r="Q680" s="3276"/>
      <c r="R680" s="3276"/>
    </row>
    <row r="681" spans="1:18">
      <c r="A681" s="3269">
        <v>678</v>
      </c>
      <c r="B681" s="3270">
        <v>2</v>
      </c>
      <c r="C681" s="3270">
        <v>1</v>
      </c>
      <c r="D681" s="3275">
        <v>915</v>
      </c>
      <c r="E681" s="3276">
        <v>1</v>
      </c>
      <c r="F681" s="3276">
        <v>0</v>
      </c>
      <c r="G681" s="3276">
        <v>1</v>
      </c>
      <c r="H681" s="3275" t="s">
        <v>3304</v>
      </c>
      <c r="I681" s="3275" t="s">
        <v>3330</v>
      </c>
      <c r="J681" s="3269"/>
      <c r="K681" s="3269">
        <v>31.54</v>
      </c>
      <c r="L681" s="3276"/>
      <c r="M681" s="3276"/>
      <c r="N681" s="3501"/>
      <c r="O681" s="3503"/>
      <c r="P681" s="3503"/>
      <c r="Q681" s="3276"/>
      <c r="R681" s="3276"/>
    </row>
    <row r="682" spans="1:18">
      <c r="A682" s="3269">
        <v>679</v>
      </c>
      <c r="B682" s="3270">
        <v>2</v>
      </c>
      <c r="C682" s="3270">
        <v>1</v>
      </c>
      <c r="D682" s="3275">
        <v>916</v>
      </c>
      <c r="E682" s="3276">
        <v>1</v>
      </c>
      <c r="F682" s="3276">
        <v>0</v>
      </c>
      <c r="G682" s="3276">
        <v>1</v>
      </c>
      <c r="H682" s="3278" t="s">
        <v>3304</v>
      </c>
      <c r="I682" s="3275" t="s">
        <v>3330</v>
      </c>
      <c r="J682" s="3269"/>
      <c r="K682" s="3269">
        <v>31.54</v>
      </c>
      <c r="L682" s="3276"/>
      <c r="M682" s="3276"/>
      <c r="N682" s="3501"/>
      <c r="O682" s="3503"/>
      <c r="P682" s="3503"/>
      <c r="Q682" s="3276"/>
      <c r="R682" s="3276"/>
    </row>
    <row r="683" spans="1:18">
      <c r="A683" s="3269">
        <v>680</v>
      </c>
      <c r="B683" s="3270">
        <v>2</v>
      </c>
      <c r="C683" s="3270">
        <v>1</v>
      </c>
      <c r="D683" s="3275">
        <v>917</v>
      </c>
      <c r="E683" s="3276">
        <v>1</v>
      </c>
      <c r="F683" s="3276">
        <v>0</v>
      </c>
      <c r="G683" s="3276">
        <v>1</v>
      </c>
      <c r="H683" s="3278" t="s">
        <v>3304</v>
      </c>
      <c r="I683" s="3275" t="s">
        <v>3331</v>
      </c>
      <c r="J683" s="3269"/>
      <c r="K683" s="3269">
        <v>32.26</v>
      </c>
      <c r="L683" s="3276"/>
      <c r="M683" s="3276"/>
      <c r="N683" s="3501"/>
      <c r="O683" s="3503"/>
      <c r="P683" s="3503"/>
      <c r="Q683" s="3276"/>
      <c r="R683" s="3276"/>
    </row>
    <row r="684" spans="1:18">
      <c r="A684" s="3269">
        <v>681</v>
      </c>
      <c r="B684" s="3270">
        <v>2</v>
      </c>
      <c r="C684" s="3270">
        <v>1</v>
      </c>
      <c r="D684" s="3275">
        <v>918</v>
      </c>
      <c r="E684" s="3276">
        <v>1</v>
      </c>
      <c r="F684" s="3276">
        <v>0</v>
      </c>
      <c r="G684" s="3276">
        <v>1</v>
      </c>
      <c r="H684" s="3278" t="s">
        <v>3304</v>
      </c>
      <c r="I684" s="3275" t="s">
        <v>3331</v>
      </c>
      <c r="J684" s="3269"/>
      <c r="K684" s="3269">
        <v>32.26</v>
      </c>
      <c r="L684" s="3276"/>
      <c r="M684" s="3276"/>
      <c r="N684" s="3501"/>
      <c r="O684" s="3503"/>
      <c r="P684" s="3503"/>
      <c r="Q684" s="3276"/>
      <c r="R684" s="3276"/>
    </row>
    <row r="685" spans="1:18">
      <c r="A685" s="3269">
        <v>682</v>
      </c>
      <c r="B685" s="3270">
        <v>2</v>
      </c>
      <c r="C685" s="3270">
        <v>1</v>
      </c>
      <c r="D685" s="3275">
        <v>919</v>
      </c>
      <c r="E685" s="3276">
        <v>1</v>
      </c>
      <c r="F685" s="3276">
        <v>0</v>
      </c>
      <c r="G685" s="3276">
        <v>1</v>
      </c>
      <c r="H685" s="3278" t="s">
        <v>3304</v>
      </c>
      <c r="I685" s="3275" t="s">
        <v>3330</v>
      </c>
      <c r="J685" s="3269"/>
      <c r="K685" s="3269">
        <v>31.54</v>
      </c>
      <c r="L685" s="3276"/>
      <c r="M685" s="3276"/>
      <c r="N685" s="3501"/>
      <c r="O685" s="3503"/>
      <c r="P685" s="3503"/>
      <c r="Q685" s="3276"/>
      <c r="R685" s="3276"/>
    </row>
    <row r="686" spans="1:18">
      <c r="A686" s="3269">
        <v>683</v>
      </c>
      <c r="B686" s="3270">
        <v>2</v>
      </c>
      <c r="C686" s="3270">
        <v>1</v>
      </c>
      <c r="D686" s="3275">
        <v>920</v>
      </c>
      <c r="E686" s="3276">
        <v>1</v>
      </c>
      <c r="F686" s="3276">
        <v>0</v>
      </c>
      <c r="G686" s="3276">
        <v>1</v>
      </c>
      <c r="H686" s="3278" t="s">
        <v>3304</v>
      </c>
      <c r="I686" s="3275" t="s">
        <v>3330</v>
      </c>
      <c r="J686" s="3269"/>
      <c r="K686" s="3269">
        <v>31.54</v>
      </c>
      <c r="L686" s="3276"/>
      <c r="M686" s="3276"/>
      <c r="N686" s="3501"/>
      <c r="O686" s="3503"/>
      <c r="P686" s="3503"/>
      <c r="Q686" s="3276"/>
      <c r="R686" s="3276"/>
    </row>
    <row r="687" spans="1:18">
      <c r="A687" s="3269">
        <v>684</v>
      </c>
      <c r="B687" s="3270">
        <v>2</v>
      </c>
      <c r="C687" s="3270">
        <v>1</v>
      </c>
      <c r="D687" s="3275">
        <v>921</v>
      </c>
      <c r="E687" s="3276">
        <v>1</v>
      </c>
      <c r="F687" s="3276">
        <v>1</v>
      </c>
      <c r="G687" s="3276">
        <v>1</v>
      </c>
      <c r="H687" s="3275" t="s">
        <v>3310</v>
      </c>
      <c r="I687" s="3275" t="s">
        <v>3303</v>
      </c>
      <c r="J687" s="3269"/>
      <c r="K687" s="3277">
        <v>40.520000000000003</v>
      </c>
      <c r="L687" s="3276"/>
      <c r="M687" s="3276"/>
      <c r="N687" s="3501"/>
      <c r="O687" s="3503"/>
      <c r="P687" s="3503"/>
      <c r="Q687" s="3276"/>
      <c r="R687" s="3276"/>
    </row>
    <row r="688" spans="1:18">
      <c r="A688" s="3269">
        <v>685</v>
      </c>
      <c r="B688" s="3270">
        <v>2</v>
      </c>
      <c r="C688" s="3270">
        <v>1</v>
      </c>
      <c r="D688" s="3275">
        <v>922</v>
      </c>
      <c r="E688" s="3276">
        <v>1</v>
      </c>
      <c r="F688" s="3276">
        <v>0</v>
      </c>
      <c r="G688" s="3276">
        <v>1</v>
      </c>
      <c r="H688" s="3275" t="s">
        <v>3312</v>
      </c>
      <c r="I688" s="3275" t="s">
        <v>3323</v>
      </c>
      <c r="J688" s="3269"/>
      <c r="K688" s="3277">
        <v>32.42</v>
      </c>
      <c r="L688" s="3276"/>
      <c r="M688" s="3276"/>
      <c r="N688" s="3501"/>
      <c r="O688" s="3503"/>
      <c r="P688" s="3503"/>
      <c r="Q688" s="3276"/>
      <c r="R688" s="3276"/>
    </row>
    <row r="689" spans="1:18">
      <c r="A689" s="3269">
        <v>686</v>
      </c>
      <c r="B689" s="3270">
        <v>2</v>
      </c>
      <c r="C689" s="3270">
        <v>1</v>
      </c>
      <c r="D689" s="3275">
        <v>923</v>
      </c>
      <c r="E689" s="3276">
        <v>1</v>
      </c>
      <c r="F689" s="3276">
        <v>0</v>
      </c>
      <c r="G689" s="3276">
        <v>1</v>
      </c>
      <c r="H689" s="3275" t="s">
        <v>3332</v>
      </c>
      <c r="I689" s="3275" t="s">
        <v>3333</v>
      </c>
      <c r="J689" s="3269"/>
      <c r="K689" s="3269">
        <v>35.26</v>
      </c>
      <c r="L689" s="3276"/>
      <c r="M689" s="3276"/>
      <c r="N689" s="3501"/>
      <c r="O689" s="3503"/>
      <c r="P689" s="3503"/>
      <c r="Q689" s="3276"/>
      <c r="R689" s="3276"/>
    </row>
    <row r="690" spans="1:18">
      <c r="A690" s="3269">
        <v>687</v>
      </c>
      <c r="B690" s="3270">
        <v>2</v>
      </c>
      <c r="C690" s="3270">
        <v>1</v>
      </c>
      <c r="D690" s="3275">
        <v>924</v>
      </c>
      <c r="E690" s="3276">
        <v>1</v>
      </c>
      <c r="F690" s="3276">
        <v>0</v>
      </c>
      <c r="G690" s="3276">
        <v>1</v>
      </c>
      <c r="H690" s="3275" t="s">
        <v>3332</v>
      </c>
      <c r="I690" s="3275" t="s">
        <v>3334</v>
      </c>
      <c r="J690" s="3269"/>
      <c r="K690" s="3269">
        <v>34.5</v>
      </c>
      <c r="L690" s="3276"/>
      <c r="M690" s="3276"/>
      <c r="N690" s="3501"/>
      <c r="O690" s="3503"/>
      <c r="P690" s="3503"/>
      <c r="Q690" s="3276"/>
      <c r="R690" s="3276"/>
    </row>
    <row r="691" spans="1:18">
      <c r="A691" s="3269">
        <v>688</v>
      </c>
      <c r="B691" s="3270">
        <v>2</v>
      </c>
      <c r="C691" s="3270">
        <v>1</v>
      </c>
      <c r="D691" s="3275">
        <v>925</v>
      </c>
      <c r="E691" s="3276">
        <v>1</v>
      </c>
      <c r="F691" s="3276">
        <v>1</v>
      </c>
      <c r="G691" s="3276">
        <v>1</v>
      </c>
      <c r="H691" s="3275" t="s">
        <v>3332</v>
      </c>
      <c r="I691" s="3275" t="s">
        <v>3335</v>
      </c>
      <c r="J691" s="3269"/>
      <c r="K691" s="3269">
        <v>40.32</v>
      </c>
      <c r="L691" s="3276"/>
      <c r="M691" s="3276"/>
      <c r="N691" s="3501"/>
      <c r="O691" s="3503"/>
      <c r="P691" s="3503"/>
      <c r="Q691" s="3276"/>
      <c r="R691" s="3276"/>
    </row>
    <row r="692" spans="1:18">
      <c r="A692" s="3269">
        <v>689</v>
      </c>
      <c r="B692" s="3270">
        <v>2</v>
      </c>
      <c r="C692" s="3270">
        <v>1</v>
      </c>
      <c r="D692" s="3275">
        <v>926</v>
      </c>
      <c r="E692" s="3276">
        <v>1</v>
      </c>
      <c r="F692" s="3276">
        <v>1</v>
      </c>
      <c r="G692" s="3276">
        <v>1</v>
      </c>
      <c r="H692" s="3275" t="s">
        <v>3332</v>
      </c>
      <c r="I692" s="3275" t="s">
        <v>3335</v>
      </c>
      <c r="J692" s="3269"/>
      <c r="K692" s="3269">
        <v>40.32</v>
      </c>
      <c r="L692" s="3276"/>
      <c r="M692" s="3276"/>
      <c r="N692" s="3501"/>
      <c r="O692" s="3503"/>
      <c r="P692" s="3503"/>
      <c r="Q692" s="3276"/>
      <c r="R692" s="3276"/>
    </row>
    <row r="693" spans="1:18">
      <c r="A693" s="3269">
        <v>690</v>
      </c>
      <c r="B693" s="3270">
        <v>2</v>
      </c>
      <c r="C693" s="3270">
        <v>1</v>
      </c>
      <c r="D693" s="3275">
        <v>927</v>
      </c>
      <c r="E693" s="3276">
        <v>1</v>
      </c>
      <c r="F693" s="3276">
        <v>1</v>
      </c>
      <c r="G693" s="3276">
        <v>1</v>
      </c>
      <c r="H693" s="3275" t="s">
        <v>3332</v>
      </c>
      <c r="I693" s="3275" t="s">
        <v>3335</v>
      </c>
      <c r="J693" s="3269"/>
      <c r="K693" s="3269">
        <v>40.32</v>
      </c>
      <c r="L693" s="3276"/>
      <c r="M693" s="3276"/>
      <c r="N693" s="3501"/>
      <c r="O693" s="3503"/>
      <c r="P693" s="3503"/>
      <c r="Q693" s="3276"/>
      <c r="R693" s="3276"/>
    </row>
    <row r="694" spans="1:18">
      <c r="A694" s="3269">
        <v>691</v>
      </c>
      <c r="B694" s="3270">
        <v>2</v>
      </c>
      <c r="C694" s="3270">
        <v>1</v>
      </c>
      <c r="D694" s="3275">
        <v>928</v>
      </c>
      <c r="E694" s="3276">
        <v>1</v>
      </c>
      <c r="F694" s="3276">
        <v>1</v>
      </c>
      <c r="G694" s="3276">
        <v>1</v>
      </c>
      <c r="H694" s="3275" t="s">
        <v>3332</v>
      </c>
      <c r="I694" s="3275" t="s">
        <v>3335</v>
      </c>
      <c r="J694" s="3269"/>
      <c r="K694" s="3269">
        <v>40.32</v>
      </c>
      <c r="L694" s="3276"/>
      <c r="M694" s="3276"/>
      <c r="N694" s="3501"/>
      <c r="O694" s="3503"/>
      <c r="P694" s="3503"/>
      <c r="Q694" s="3276"/>
      <c r="R694" s="3276"/>
    </row>
    <row r="695" spans="1:18">
      <c r="A695" s="3269">
        <v>692</v>
      </c>
      <c r="B695" s="3270">
        <v>2</v>
      </c>
      <c r="C695" s="3270">
        <v>1</v>
      </c>
      <c r="D695" s="3275">
        <v>929</v>
      </c>
      <c r="E695" s="3276">
        <v>1</v>
      </c>
      <c r="F695" s="3276">
        <v>1</v>
      </c>
      <c r="G695" s="3276">
        <v>1</v>
      </c>
      <c r="H695" s="3275" t="s">
        <v>3332</v>
      </c>
      <c r="I695" s="3275" t="s">
        <v>3335</v>
      </c>
      <c r="J695" s="3269"/>
      <c r="K695" s="3269">
        <v>40.32</v>
      </c>
      <c r="L695" s="3276"/>
      <c r="M695" s="3276"/>
      <c r="N695" s="3501"/>
      <c r="O695" s="3503"/>
      <c r="P695" s="3503"/>
      <c r="Q695" s="3276"/>
      <c r="R695" s="3276"/>
    </row>
    <row r="696" spans="1:18">
      <c r="A696" s="3269">
        <v>693</v>
      </c>
      <c r="B696" s="3270">
        <v>2</v>
      </c>
      <c r="C696" s="3270">
        <v>1</v>
      </c>
      <c r="D696" s="3275">
        <v>930</v>
      </c>
      <c r="E696" s="3276">
        <v>1</v>
      </c>
      <c r="F696" s="3276">
        <v>1</v>
      </c>
      <c r="G696" s="3276">
        <v>1</v>
      </c>
      <c r="H696" s="3275" t="s">
        <v>3332</v>
      </c>
      <c r="I696" s="3275" t="s">
        <v>3335</v>
      </c>
      <c r="J696" s="3269"/>
      <c r="K696" s="3269">
        <v>40.32</v>
      </c>
      <c r="L696" s="3276"/>
      <c r="M696" s="3276"/>
      <c r="N696" s="3501"/>
      <c r="O696" s="3503"/>
      <c r="P696" s="3503"/>
      <c r="Q696" s="3276"/>
      <c r="R696" s="3276"/>
    </row>
    <row r="697" spans="1:18">
      <c r="A697" s="3269">
        <v>694</v>
      </c>
      <c r="B697" s="3270">
        <v>2</v>
      </c>
      <c r="C697" s="3270">
        <v>1</v>
      </c>
      <c r="D697" s="3275">
        <v>931</v>
      </c>
      <c r="E697" s="3276">
        <v>1</v>
      </c>
      <c r="F697" s="3276">
        <v>1</v>
      </c>
      <c r="G697" s="3276">
        <v>1</v>
      </c>
      <c r="H697" s="3275" t="s">
        <v>3332</v>
      </c>
      <c r="I697" s="3275" t="s">
        <v>3335</v>
      </c>
      <c r="J697" s="3269"/>
      <c r="K697" s="3269">
        <v>40.32</v>
      </c>
      <c r="L697" s="3276"/>
      <c r="M697" s="3276"/>
      <c r="N697" s="3501"/>
      <c r="O697" s="3503"/>
      <c r="P697" s="3503"/>
      <c r="Q697" s="3276"/>
      <c r="R697" s="3276"/>
    </row>
    <row r="698" spans="1:18">
      <c r="A698" s="3269">
        <v>695</v>
      </c>
      <c r="B698" s="3270">
        <v>2</v>
      </c>
      <c r="C698" s="3270">
        <v>1</v>
      </c>
      <c r="D698" s="3275">
        <v>932</v>
      </c>
      <c r="E698" s="3276">
        <v>1</v>
      </c>
      <c r="F698" s="3276">
        <v>1</v>
      </c>
      <c r="G698" s="3276">
        <v>1</v>
      </c>
      <c r="H698" s="3275" t="s">
        <v>3332</v>
      </c>
      <c r="I698" s="3275" t="s">
        <v>3335</v>
      </c>
      <c r="J698" s="3269"/>
      <c r="K698" s="3269">
        <v>40.32</v>
      </c>
      <c r="L698" s="3276"/>
      <c r="M698" s="3276"/>
      <c r="N698" s="3501"/>
      <c r="O698" s="3503"/>
      <c r="P698" s="3503"/>
      <c r="Q698" s="3276"/>
      <c r="R698" s="3276"/>
    </row>
    <row r="699" spans="1:18">
      <c r="A699" s="3269">
        <v>696</v>
      </c>
      <c r="B699" s="3270">
        <v>2</v>
      </c>
      <c r="C699" s="3270">
        <v>1</v>
      </c>
      <c r="D699" s="3275">
        <v>933</v>
      </c>
      <c r="E699" s="3276">
        <v>1</v>
      </c>
      <c r="F699" s="3276">
        <v>1</v>
      </c>
      <c r="G699" s="3276">
        <v>1</v>
      </c>
      <c r="H699" s="3275" t="s">
        <v>3332</v>
      </c>
      <c r="I699" s="3275" t="s">
        <v>3335</v>
      </c>
      <c r="J699" s="3269"/>
      <c r="K699" s="3269">
        <v>40.32</v>
      </c>
      <c r="L699" s="3276"/>
      <c r="M699" s="3276"/>
      <c r="N699" s="3501"/>
      <c r="O699" s="3503"/>
      <c r="P699" s="3503"/>
      <c r="Q699" s="3276"/>
      <c r="R699" s="3276"/>
    </row>
    <row r="700" spans="1:18">
      <c r="A700" s="3269">
        <v>697</v>
      </c>
      <c r="B700" s="3270">
        <v>2</v>
      </c>
      <c r="C700" s="3270">
        <v>1</v>
      </c>
      <c r="D700" s="3275">
        <v>934</v>
      </c>
      <c r="E700" s="3276">
        <v>1</v>
      </c>
      <c r="F700" s="3276">
        <v>1</v>
      </c>
      <c r="G700" s="3276">
        <v>1</v>
      </c>
      <c r="H700" s="3275" t="s">
        <v>3332</v>
      </c>
      <c r="I700" s="3275" t="s">
        <v>3335</v>
      </c>
      <c r="J700" s="3269"/>
      <c r="K700" s="3269">
        <v>40.32</v>
      </c>
      <c r="L700" s="3276"/>
      <c r="M700" s="3276"/>
      <c r="N700" s="3501"/>
      <c r="O700" s="3503"/>
      <c r="P700" s="3503"/>
      <c r="Q700" s="3276"/>
      <c r="R700" s="3276"/>
    </row>
    <row r="701" spans="1:18">
      <c r="A701" s="3269">
        <v>698</v>
      </c>
      <c r="B701" s="3270">
        <v>2</v>
      </c>
      <c r="C701" s="3270">
        <v>1</v>
      </c>
      <c r="D701" s="3275">
        <v>935</v>
      </c>
      <c r="E701" s="3276">
        <v>1</v>
      </c>
      <c r="F701" s="3276">
        <v>1</v>
      </c>
      <c r="G701" s="3276">
        <v>1</v>
      </c>
      <c r="H701" s="3275" t="s">
        <v>3332</v>
      </c>
      <c r="I701" s="3275" t="s">
        <v>3336</v>
      </c>
      <c r="J701" s="3269"/>
      <c r="K701" s="3269">
        <v>42.56</v>
      </c>
      <c r="L701" s="3276"/>
      <c r="M701" s="3276"/>
      <c r="N701" s="3501"/>
      <c r="O701" s="3503"/>
      <c r="P701" s="3503"/>
      <c r="Q701" s="3276"/>
      <c r="R701" s="3276"/>
    </row>
    <row r="702" spans="1:18">
      <c r="A702" s="3269">
        <v>699</v>
      </c>
      <c r="B702" s="3270">
        <v>2</v>
      </c>
      <c r="C702" s="3270">
        <v>1</v>
      </c>
      <c r="D702" s="3275">
        <v>936</v>
      </c>
      <c r="E702" s="3276">
        <v>1</v>
      </c>
      <c r="F702" s="3276">
        <v>1</v>
      </c>
      <c r="G702" s="3276">
        <v>1</v>
      </c>
      <c r="H702" s="3275" t="s">
        <v>3312</v>
      </c>
      <c r="I702" s="3275" t="s">
        <v>3337</v>
      </c>
      <c r="J702" s="3269"/>
      <c r="K702" s="3269">
        <v>40.42</v>
      </c>
      <c r="L702" s="3276"/>
      <c r="M702" s="3276"/>
      <c r="N702" s="3501"/>
      <c r="O702" s="3503"/>
      <c r="P702" s="3503"/>
      <c r="Q702" s="3276"/>
      <c r="R702" s="3276"/>
    </row>
    <row r="703" spans="1:18">
      <c r="A703" s="3269">
        <v>700</v>
      </c>
      <c r="B703" s="3270">
        <v>2</v>
      </c>
      <c r="C703" s="3270">
        <v>1</v>
      </c>
      <c r="D703" s="3275">
        <v>937</v>
      </c>
      <c r="E703" s="3276">
        <v>1</v>
      </c>
      <c r="F703" s="3276">
        <v>1</v>
      </c>
      <c r="G703" s="3276">
        <v>1</v>
      </c>
      <c r="H703" s="3275" t="s">
        <v>3312</v>
      </c>
      <c r="I703" s="3275" t="s">
        <v>3335</v>
      </c>
      <c r="J703" s="3269"/>
      <c r="K703" s="3269">
        <v>40.32</v>
      </c>
      <c r="L703" s="3276"/>
      <c r="M703" s="3276"/>
      <c r="N703" s="3501"/>
      <c r="O703" s="3503"/>
      <c r="P703" s="3503"/>
      <c r="Q703" s="3276"/>
      <c r="R703" s="3276"/>
    </row>
    <row r="704" spans="1:18">
      <c r="A704" s="3269">
        <v>701</v>
      </c>
      <c r="B704" s="3270">
        <v>2</v>
      </c>
      <c r="C704" s="3270">
        <v>1</v>
      </c>
      <c r="D704" s="3275">
        <v>938</v>
      </c>
      <c r="E704" s="3276">
        <v>1</v>
      </c>
      <c r="F704" s="3276">
        <v>1</v>
      </c>
      <c r="G704" s="3276">
        <v>1</v>
      </c>
      <c r="H704" s="3275" t="s">
        <v>3312</v>
      </c>
      <c r="I704" s="3275" t="s">
        <v>3338</v>
      </c>
      <c r="J704" s="3269"/>
      <c r="K704" s="3269">
        <v>32.26</v>
      </c>
      <c r="L704" s="3276"/>
      <c r="M704" s="3276"/>
      <c r="N704" s="3501"/>
      <c r="O704" s="3503"/>
      <c r="P704" s="3503"/>
      <c r="Q704" s="3276"/>
      <c r="R704" s="3276"/>
    </row>
    <row r="705" spans="1:18" ht="14.25" thickBot="1">
      <c r="A705" s="3269">
        <v>702</v>
      </c>
      <c r="B705" s="3270">
        <v>2</v>
      </c>
      <c r="C705" s="3270">
        <v>1</v>
      </c>
      <c r="D705" s="3279">
        <v>939</v>
      </c>
      <c r="E705" s="3284">
        <v>4</v>
      </c>
      <c r="F705" s="3280">
        <v>1</v>
      </c>
      <c r="G705" s="3280">
        <v>1</v>
      </c>
      <c r="H705" s="3279" t="s">
        <v>3316</v>
      </c>
      <c r="I705" s="3279" t="s">
        <v>3319</v>
      </c>
      <c r="J705" s="3281"/>
      <c r="K705" s="3282">
        <v>75.8</v>
      </c>
      <c r="L705" s="3280"/>
      <c r="M705" s="3280"/>
      <c r="N705" s="3502"/>
      <c r="O705" s="3504"/>
      <c r="P705" s="3504"/>
      <c r="Q705" s="3280"/>
      <c r="R705" s="3280"/>
    </row>
    <row r="706" spans="1:18" ht="14.25" thickTop="1">
      <c r="A706" s="3269">
        <v>703</v>
      </c>
      <c r="B706" s="3270">
        <v>2</v>
      </c>
      <c r="C706" s="3270">
        <v>1</v>
      </c>
      <c r="D706" s="3271">
        <v>1001</v>
      </c>
      <c r="E706" s="3272">
        <v>4</v>
      </c>
      <c r="F706" s="3272">
        <v>1</v>
      </c>
      <c r="G706" s="3272">
        <v>1</v>
      </c>
      <c r="H706" s="3271" t="s">
        <v>3318</v>
      </c>
      <c r="I706" s="3271" t="s">
        <v>3317</v>
      </c>
      <c r="J706" s="3273"/>
      <c r="K706" s="3274">
        <v>75.8</v>
      </c>
      <c r="L706" s="3272"/>
      <c r="M706" s="3272"/>
      <c r="N706" s="3500">
        <v>2.9</v>
      </c>
      <c r="O706" s="3500" t="s">
        <v>3297</v>
      </c>
      <c r="P706" s="3500" t="s">
        <v>3298</v>
      </c>
      <c r="Q706" s="3272"/>
      <c r="R706" s="3272"/>
    </row>
    <row r="707" spans="1:18">
      <c r="A707" s="3269">
        <v>704</v>
      </c>
      <c r="B707" s="3270">
        <v>2</v>
      </c>
      <c r="C707" s="3270">
        <v>1</v>
      </c>
      <c r="D707" s="3275">
        <v>1002</v>
      </c>
      <c r="E707" s="3276">
        <v>1</v>
      </c>
      <c r="F707" s="3276">
        <v>1</v>
      </c>
      <c r="G707" s="3276">
        <v>1</v>
      </c>
      <c r="H707" s="3275" t="s">
        <v>3300</v>
      </c>
      <c r="I707" s="3275" t="s">
        <v>3324</v>
      </c>
      <c r="J707" s="3269"/>
      <c r="K707" s="3277">
        <v>41.22</v>
      </c>
      <c r="L707" s="3276"/>
      <c r="M707" s="3276"/>
      <c r="N707" s="3501"/>
      <c r="O707" s="3503"/>
      <c r="P707" s="3503"/>
      <c r="Q707" s="3276"/>
      <c r="R707" s="3276"/>
    </row>
    <row r="708" spans="1:18">
      <c r="A708" s="3269">
        <v>705</v>
      </c>
      <c r="B708" s="3270">
        <v>2</v>
      </c>
      <c r="C708" s="3270">
        <v>1</v>
      </c>
      <c r="D708" s="3275">
        <v>1003</v>
      </c>
      <c r="E708" s="3276">
        <v>1</v>
      </c>
      <c r="F708" s="3276">
        <v>1</v>
      </c>
      <c r="G708" s="3276">
        <v>1</v>
      </c>
      <c r="H708" s="3275" t="s">
        <v>3300</v>
      </c>
      <c r="I708" s="3275" t="s">
        <v>3325</v>
      </c>
      <c r="J708" s="3269"/>
      <c r="K708" s="3269">
        <v>39.869999999999997</v>
      </c>
      <c r="L708" s="3276"/>
      <c r="M708" s="3276"/>
      <c r="N708" s="3501"/>
      <c r="O708" s="3503"/>
      <c r="P708" s="3503"/>
      <c r="Q708" s="3276"/>
      <c r="R708" s="3276"/>
    </row>
    <row r="709" spans="1:18">
      <c r="A709" s="3269">
        <v>706</v>
      </c>
      <c r="B709" s="3270">
        <v>2</v>
      </c>
      <c r="C709" s="3270">
        <v>1</v>
      </c>
      <c r="D709" s="3275">
        <v>1004</v>
      </c>
      <c r="E709" s="3276">
        <v>1</v>
      </c>
      <c r="F709" s="3276">
        <v>1</v>
      </c>
      <c r="G709" s="3276">
        <v>1</v>
      </c>
      <c r="H709" s="3275" t="s">
        <v>3300</v>
      </c>
      <c r="I709" s="3275" t="s">
        <v>3326</v>
      </c>
      <c r="J709" s="3269"/>
      <c r="K709" s="3269">
        <v>40.32</v>
      </c>
      <c r="L709" s="3276"/>
      <c r="M709" s="3276"/>
      <c r="N709" s="3501"/>
      <c r="O709" s="3503"/>
      <c r="P709" s="3503"/>
      <c r="Q709" s="3276"/>
      <c r="R709" s="3276"/>
    </row>
    <row r="710" spans="1:18">
      <c r="A710" s="3269">
        <v>707</v>
      </c>
      <c r="B710" s="3270">
        <v>2</v>
      </c>
      <c r="C710" s="3270">
        <v>1</v>
      </c>
      <c r="D710" s="3275">
        <v>1005</v>
      </c>
      <c r="E710" s="3276">
        <v>1</v>
      </c>
      <c r="F710" s="3276">
        <v>1</v>
      </c>
      <c r="G710" s="3276">
        <v>1</v>
      </c>
      <c r="H710" s="3275" t="s">
        <v>3300</v>
      </c>
      <c r="I710" s="3275" t="s">
        <v>3326</v>
      </c>
      <c r="J710" s="3269"/>
      <c r="K710" s="3269">
        <v>40.32</v>
      </c>
      <c r="L710" s="3276"/>
      <c r="M710" s="3276"/>
      <c r="N710" s="3501"/>
      <c r="O710" s="3503"/>
      <c r="P710" s="3503"/>
      <c r="Q710" s="3276"/>
      <c r="R710" s="3276"/>
    </row>
    <row r="711" spans="1:18">
      <c r="A711" s="3269">
        <v>708</v>
      </c>
      <c r="B711" s="3270">
        <v>2</v>
      </c>
      <c r="C711" s="3270">
        <v>1</v>
      </c>
      <c r="D711" s="3275">
        <v>1006</v>
      </c>
      <c r="E711" s="3276">
        <v>1</v>
      </c>
      <c r="F711" s="3276">
        <v>1</v>
      </c>
      <c r="G711" s="3276">
        <v>1</v>
      </c>
      <c r="H711" s="3275" t="s">
        <v>3300</v>
      </c>
      <c r="I711" s="3275" t="s">
        <v>3327</v>
      </c>
      <c r="J711" s="3269"/>
      <c r="K711" s="3269">
        <v>39.97</v>
      </c>
      <c r="L711" s="3276"/>
      <c r="M711" s="3276"/>
      <c r="N711" s="3501"/>
      <c r="O711" s="3503"/>
      <c r="P711" s="3503"/>
      <c r="Q711" s="3276"/>
      <c r="R711" s="3276"/>
    </row>
    <row r="712" spans="1:18">
      <c r="A712" s="3269">
        <v>709</v>
      </c>
      <c r="B712" s="3270">
        <v>2</v>
      </c>
      <c r="C712" s="3270">
        <v>1</v>
      </c>
      <c r="D712" s="3275">
        <v>1007</v>
      </c>
      <c r="E712" s="3276">
        <v>2</v>
      </c>
      <c r="F712" s="3276">
        <v>1</v>
      </c>
      <c r="G712" s="3276">
        <v>1</v>
      </c>
      <c r="H712" s="3275" t="s">
        <v>3300</v>
      </c>
      <c r="I712" s="3275" t="s">
        <v>3313</v>
      </c>
      <c r="J712" s="3269"/>
      <c r="K712" s="3277">
        <v>67.27</v>
      </c>
      <c r="L712" s="3276"/>
      <c r="M712" s="3276"/>
      <c r="N712" s="3501"/>
      <c r="O712" s="3503"/>
      <c r="P712" s="3503"/>
      <c r="Q712" s="3276"/>
      <c r="R712" s="3276"/>
    </row>
    <row r="713" spans="1:18">
      <c r="A713" s="3269">
        <v>710</v>
      </c>
      <c r="B713" s="3270">
        <v>2</v>
      </c>
      <c r="C713" s="3270">
        <v>1</v>
      </c>
      <c r="D713" s="3275">
        <v>1008</v>
      </c>
      <c r="E713" s="3276">
        <v>1</v>
      </c>
      <c r="F713" s="3276">
        <v>1</v>
      </c>
      <c r="G713" s="3276">
        <v>1</v>
      </c>
      <c r="H713" s="3275" t="s">
        <v>3302</v>
      </c>
      <c r="I713" s="3275" t="s">
        <v>3311</v>
      </c>
      <c r="J713" s="3269"/>
      <c r="K713" s="3277">
        <v>38.54</v>
      </c>
      <c r="L713" s="3276"/>
      <c r="M713" s="3276"/>
      <c r="N713" s="3501"/>
      <c r="O713" s="3503"/>
      <c r="P713" s="3503"/>
      <c r="Q713" s="3276"/>
      <c r="R713" s="3276"/>
    </row>
    <row r="714" spans="1:18">
      <c r="A714" s="3269">
        <v>711</v>
      </c>
      <c r="B714" s="3270">
        <v>2</v>
      </c>
      <c r="C714" s="3270">
        <v>1</v>
      </c>
      <c r="D714" s="3275">
        <v>1009</v>
      </c>
      <c r="E714" s="3276">
        <v>1</v>
      </c>
      <c r="F714" s="3276">
        <v>1</v>
      </c>
      <c r="G714" s="3276">
        <v>1</v>
      </c>
      <c r="H714" s="3275" t="s">
        <v>3304</v>
      </c>
      <c r="I714" s="3275" t="s">
        <v>3328</v>
      </c>
      <c r="J714" s="3269"/>
      <c r="K714" s="3277">
        <v>39.96</v>
      </c>
      <c r="L714" s="3276"/>
      <c r="M714" s="3276"/>
      <c r="N714" s="3501"/>
      <c r="O714" s="3503"/>
      <c r="P714" s="3503"/>
      <c r="Q714" s="3276"/>
      <c r="R714" s="3276"/>
    </row>
    <row r="715" spans="1:18">
      <c r="A715" s="3269">
        <v>712</v>
      </c>
      <c r="B715" s="3270">
        <v>2</v>
      </c>
      <c r="C715" s="3270">
        <v>1</v>
      </c>
      <c r="D715" s="3275">
        <v>1010</v>
      </c>
      <c r="E715" s="3276">
        <v>1</v>
      </c>
      <c r="F715" s="3276">
        <v>1</v>
      </c>
      <c r="G715" s="3276">
        <v>1</v>
      </c>
      <c r="H715" s="3275" t="s">
        <v>3304</v>
      </c>
      <c r="I715" s="3275" t="s">
        <v>3325</v>
      </c>
      <c r="J715" s="3269"/>
      <c r="K715" s="3269">
        <v>39.869999999999997</v>
      </c>
      <c r="L715" s="3276"/>
      <c r="M715" s="3276"/>
      <c r="N715" s="3501"/>
      <c r="O715" s="3503"/>
      <c r="P715" s="3503"/>
      <c r="Q715" s="3276"/>
      <c r="R715" s="3276"/>
    </row>
    <row r="716" spans="1:18">
      <c r="A716" s="3269">
        <v>713</v>
      </c>
      <c r="B716" s="3270">
        <v>2</v>
      </c>
      <c r="C716" s="3270">
        <v>1</v>
      </c>
      <c r="D716" s="3275">
        <v>1011</v>
      </c>
      <c r="E716" s="3276">
        <v>1</v>
      </c>
      <c r="F716" s="3276">
        <v>0</v>
      </c>
      <c r="G716" s="3276">
        <v>1</v>
      </c>
      <c r="H716" s="3275" t="s">
        <v>3304</v>
      </c>
      <c r="I716" s="3275" t="s">
        <v>3329</v>
      </c>
      <c r="J716" s="3269"/>
      <c r="K716" s="3269">
        <v>31.98</v>
      </c>
      <c r="L716" s="3276"/>
      <c r="M716" s="3276"/>
      <c r="N716" s="3501"/>
      <c r="O716" s="3503"/>
      <c r="P716" s="3503"/>
      <c r="Q716" s="3276"/>
      <c r="R716" s="3276"/>
    </row>
    <row r="717" spans="1:18">
      <c r="A717" s="3269">
        <v>714</v>
      </c>
      <c r="B717" s="3270">
        <v>2</v>
      </c>
      <c r="C717" s="3270">
        <v>1</v>
      </c>
      <c r="D717" s="3275">
        <v>1012</v>
      </c>
      <c r="E717" s="3276">
        <v>1</v>
      </c>
      <c r="F717" s="3276">
        <v>0</v>
      </c>
      <c r="G717" s="3276">
        <v>1</v>
      </c>
      <c r="H717" s="3275" t="s">
        <v>3304</v>
      </c>
      <c r="I717" s="3275" t="s">
        <v>3330</v>
      </c>
      <c r="J717" s="3269"/>
      <c r="K717" s="3269">
        <v>31.54</v>
      </c>
      <c r="L717" s="3276"/>
      <c r="M717" s="3276"/>
      <c r="N717" s="3501"/>
      <c r="O717" s="3503"/>
      <c r="P717" s="3503"/>
      <c r="Q717" s="3276"/>
      <c r="R717" s="3276"/>
    </row>
    <row r="718" spans="1:18">
      <c r="A718" s="3269">
        <v>715</v>
      </c>
      <c r="B718" s="3270">
        <v>2</v>
      </c>
      <c r="C718" s="3270">
        <v>1</v>
      </c>
      <c r="D718" s="3275">
        <v>1013</v>
      </c>
      <c r="E718" s="3276">
        <v>1</v>
      </c>
      <c r="F718" s="3276">
        <v>0</v>
      </c>
      <c r="G718" s="3276">
        <v>1</v>
      </c>
      <c r="H718" s="3275" t="s">
        <v>3304</v>
      </c>
      <c r="I718" s="3275" t="s">
        <v>3330</v>
      </c>
      <c r="J718" s="3269"/>
      <c r="K718" s="3269">
        <v>31.54</v>
      </c>
      <c r="L718" s="3276"/>
      <c r="M718" s="3276"/>
      <c r="N718" s="3501"/>
      <c r="O718" s="3503"/>
      <c r="P718" s="3503"/>
      <c r="Q718" s="3276"/>
      <c r="R718" s="3276"/>
    </row>
    <row r="719" spans="1:18">
      <c r="A719" s="3269">
        <v>716</v>
      </c>
      <c r="B719" s="3270">
        <v>2</v>
      </c>
      <c r="C719" s="3270">
        <v>1</v>
      </c>
      <c r="D719" s="3275">
        <v>1014</v>
      </c>
      <c r="E719" s="3276">
        <v>1</v>
      </c>
      <c r="F719" s="3276">
        <v>0</v>
      </c>
      <c r="G719" s="3276">
        <v>1</v>
      </c>
      <c r="H719" s="3275" t="s">
        <v>3304</v>
      </c>
      <c r="I719" s="3275" t="s">
        <v>3330</v>
      </c>
      <c r="J719" s="3269"/>
      <c r="K719" s="3269">
        <v>31.54</v>
      </c>
      <c r="L719" s="3276"/>
      <c r="M719" s="3276"/>
      <c r="N719" s="3501"/>
      <c r="O719" s="3503"/>
      <c r="P719" s="3503"/>
      <c r="Q719" s="3276"/>
      <c r="R719" s="3276"/>
    </row>
    <row r="720" spans="1:18">
      <c r="A720" s="3269">
        <v>717</v>
      </c>
      <c r="B720" s="3270">
        <v>2</v>
      </c>
      <c r="C720" s="3270">
        <v>1</v>
      </c>
      <c r="D720" s="3275">
        <v>1015</v>
      </c>
      <c r="E720" s="3276">
        <v>1</v>
      </c>
      <c r="F720" s="3276">
        <v>0</v>
      </c>
      <c r="G720" s="3276">
        <v>1</v>
      </c>
      <c r="H720" s="3275" t="s">
        <v>3304</v>
      </c>
      <c r="I720" s="3275" t="s">
        <v>3330</v>
      </c>
      <c r="J720" s="3269"/>
      <c r="K720" s="3269">
        <v>31.54</v>
      </c>
      <c r="L720" s="3276"/>
      <c r="M720" s="3276"/>
      <c r="N720" s="3501"/>
      <c r="O720" s="3503"/>
      <c r="P720" s="3503"/>
      <c r="Q720" s="3276"/>
      <c r="R720" s="3276"/>
    </row>
    <row r="721" spans="1:18">
      <c r="A721" s="3269">
        <v>718</v>
      </c>
      <c r="B721" s="3270">
        <v>2</v>
      </c>
      <c r="C721" s="3270">
        <v>1</v>
      </c>
      <c r="D721" s="3275">
        <v>1016</v>
      </c>
      <c r="E721" s="3276">
        <v>1</v>
      </c>
      <c r="F721" s="3276">
        <v>0</v>
      </c>
      <c r="G721" s="3276">
        <v>1</v>
      </c>
      <c r="H721" s="3278" t="s">
        <v>3304</v>
      </c>
      <c r="I721" s="3275" t="s">
        <v>3330</v>
      </c>
      <c r="J721" s="3269"/>
      <c r="K721" s="3269">
        <v>31.54</v>
      </c>
      <c r="L721" s="3276"/>
      <c r="M721" s="3276"/>
      <c r="N721" s="3501"/>
      <c r="O721" s="3503"/>
      <c r="P721" s="3503"/>
      <c r="Q721" s="3276"/>
      <c r="R721" s="3276"/>
    </row>
    <row r="722" spans="1:18">
      <c r="A722" s="3269">
        <v>719</v>
      </c>
      <c r="B722" s="3270">
        <v>2</v>
      </c>
      <c r="C722" s="3270">
        <v>1</v>
      </c>
      <c r="D722" s="3275">
        <v>1017</v>
      </c>
      <c r="E722" s="3276">
        <v>1</v>
      </c>
      <c r="F722" s="3276">
        <v>0</v>
      </c>
      <c r="G722" s="3276">
        <v>1</v>
      </c>
      <c r="H722" s="3278" t="s">
        <v>3304</v>
      </c>
      <c r="I722" s="3275" t="s">
        <v>3331</v>
      </c>
      <c r="J722" s="3269"/>
      <c r="K722" s="3269">
        <v>32.26</v>
      </c>
      <c r="L722" s="3276"/>
      <c r="M722" s="3276"/>
      <c r="N722" s="3501"/>
      <c r="O722" s="3503"/>
      <c r="P722" s="3503"/>
      <c r="Q722" s="3276"/>
      <c r="R722" s="3276"/>
    </row>
    <row r="723" spans="1:18">
      <c r="A723" s="3269">
        <v>720</v>
      </c>
      <c r="B723" s="3270">
        <v>2</v>
      </c>
      <c r="C723" s="3270">
        <v>1</v>
      </c>
      <c r="D723" s="3275">
        <v>1018</v>
      </c>
      <c r="E723" s="3276">
        <v>1</v>
      </c>
      <c r="F723" s="3276">
        <v>0</v>
      </c>
      <c r="G723" s="3276">
        <v>1</v>
      </c>
      <c r="H723" s="3278" t="s">
        <v>3304</v>
      </c>
      <c r="I723" s="3275" t="s">
        <v>3331</v>
      </c>
      <c r="J723" s="3269"/>
      <c r="K723" s="3269">
        <v>32.26</v>
      </c>
      <c r="L723" s="3276"/>
      <c r="M723" s="3276"/>
      <c r="N723" s="3501"/>
      <c r="O723" s="3503"/>
      <c r="P723" s="3503"/>
      <c r="Q723" s="3276"/>
      <c r="R723" s="3276"/>
    </row>
    <row r="724" spans="1:18">
      <c r="A724" s="3269">
        <v>721</v>
      </c>
      <c r="B724" s="3270">
        <v>2</v>
      </c>
      <c r="C724" s="3270">
        <v>1</v>
      </c>
      <c r="D724" s="3275">
        <v>1019</v>
      </c>
      <c r="E724" s="3276">
        <v>1</v>
      </c>
      <c r="F724" s="3276">
        <v>0</v>
      </c>
      <c r="G724" s="3276">
        <v>1</v>
      </c>
      <c r="H724" s="3278" t="s">
        <v>3304</v>
      </c>
      <c r="I724" s="3275" t="s">
        <v>3330</v>
      </c>
      <c r="J724" s="3269"/>
      <c r="K724" s="3269">
        <v>31.54</v>
      </c>
      <c r="L724" s="3276"/>
      <c r="M724" s="3276"/>
      <c r="N724" s="3501"/>
      <c r="O724" s="3503"/>
      <c r="P724" s="3503"/>
      <c r="Q724" s="3276"/>
      <c r="R724" s="3276"/>
    </row>
    <row r="725" spans="1:18">
      <c r="A725" s="3269">
        <v>722</v>
      </c>
      <c r="B725" s="3270">
        <v>2</v>
      </c>
      <c r="C725" s="3270">
        <v>1</v>
      </c>
      <c r="D725" s="3275">
        <v>1020</v>
      </c>
      <c r="E725" s="3276">
        <v>1</v>
      </c>
      <c r="F725" s="3276">
        <v>0</v>
      </c>
      <c r="G725" s="3276">
        <v>1</v>
      </c>
      <c r="H725" s="3278" t="s">
        <v>3304</v>
      </c>
      <c r="I725" s="3275" t="s">
        <v>3330</v>
      </c>
      <c r="J725" s="3269"/>
      <c r="K725" s="3269">
        <v>31.54</v>
      </c>
      <c r="L725" s="3276"/>
      <c r="M725" s="3276"/>
      <c r="N725" s="3501"/>
      <c r="O725" s="3503"/>
      <c r="P725" s="3503"/>
      <c r="Q725" s="3276"/>
      <c r="R725" s="3276"/>
    </row>
    <row r="726" spans="1:18">
      <c r="A726" s="3269">
        <v>723</v>
      </c>
      <c r="B726" s="3270">
        <v>2</v>
      </c>
      <c r="C726" s="3270">
        <v>1</v>
      </c>
      <c r="D726" s="3275">
        <v>1021</v>
      </c>
      <c r="E726" s="3276">
        <v>1</v>
      </c>
      <c r="F726" s="3276">
        <v>1</v>
      </c>
      <c r="G726" s="3276">
        <v>1</v>
      </c>
      <c r="H726" s="3275" t="s">
        <v>3310</v>
      </c>
      <c r="I726" s="3275" t="s">
        <v>3303</v>
      </c>
      <c r="J726" s="3269"/>
      <c r="K726" s="3277">
        <v>40.520000000000003</v>
      </c>
      <c r="L726" s="3276"/>
      <c r="M726" s="3276"/>
      <c r="N726" s="3501"/>
      <c r="O726" s="3503"/>
      <c r="P726" s="3503"/>
      <c r="Q726" s="3276"/>
      <c r="R726" s="3276"/>
    </row>
    <row r="727" spans="1:18">
      <c r="A727" s="3269">
        <v>724</v>
      </c>
      <c r="B727" s="3270">
        <v>2</v>
      </c>
      <c r="C727" s="3270">
        <v>1</v>
      </c>
      <c r="D727" s="3275">
        <v>1022</v>
      </c>
      <c r="E727" s="3276">
        <v>1</v>
      </c>
      <c r="F727" s="3276">
        <v>0</v>
      </c>
      <c r="G727" s="3276">
        <v>1</v>
      </c>
      <c r="H727" s="3275" t="s">
        <v>3312</v>
      </c>
      <c r="I727" s="3275" t="s">
        <v>3323</v>
      </c>
      <c r="J727" s="3269"/>
      <c r="K727" s="3277">
        <v>32.42</v>
      </c>
      <c r="L727" s="3276"/>
      <c r="M727" s="3276"/>
      <c r="N727" s="3501"/>
      <c r="O727" s="3503"/>
      <c r="P727" s="3503"/>
      <c r="Q727" s="3276"/>
      <c r="R727" s="3276"/>
    </row>
    <row r="728" spans="1:18">
      <c r="A728" s="3269">
        <v>725</v>
      </c>
      <c r="B728" s="3270">
        <v>2</v>
      </c>
      <c r="C728" s="3270">
        <v>1</v>
      </c>
      <c r="D728" s="3275">
        <v>1023</v>
      </c>
      <c r="E728" s="3276">
        <v>1</v>
      </c>
      <c r="F728" s="3276">
        <v>0</v>
      </c>
      <c r="G728" s="3276">
        <v>1</v>
      </c>
      <c r="H728" s="3275" t="s">
        <v>3332</v>
      </c>
      <c r="I728" s="3275" t="s">
        <v>3333</v>
      </c>
      <c r="J728" s="3269"/>
      <c r="K728" s="3269">
        <v>35.26</v>
      </c>
      <c r="L728" s="3276"/>
      <c r="M728" s="3276"/>
      <c r="N728" s="3501"/>
      <c r="O728" s="3503"/>
      <c r="P728" s="3503"/>
      <c r="Q728" s="3276"/>
      <c r="R728" s="3276"/>
    </row>
    <row r="729" spans="1:18">
      <c r="A729" s="3269">
        <v>726</v>
      </c>
      <c r="B729" s="3270">
        <v>2</v>
      </c>
      <c r="C729" s="3270">
        <v>1</v>
      </c>
      <c r="D729" s="3275">
        <v>1024</v>
      </c>
      <c r="E729" s="3276">
        <v>1</v>
      </c>
      <c r="F729" s="3276">
        <v>0</v>
      </c>
      <c r="G729" s="3276">
        <v>1</v>
      </c>
      <c r="H729" s="3275" t="s">
        <v>3332</v>
      </c>
      <c r="I729" s="3275" t="s">
        <v>3334</v>
      </c>
      <c r="J729" s="3269"/>
      <c r="K729" s="3269">
        <v>34.5</v>
      </c>
      <c r="L729" s="3276"/>
      <c r="M729" s="3276"/>
      <c r="N729" s="3501"/>
      <c r="O729" s="3503"/>
      <c r="P729" s="3503"/>
      <c r="Q729" s="3276"/>
      <c r="R729" s="3276"/>
    </row>
    <row r="730" spans="1:18">
      <c r="A730" s="3269">
        <v>727</v>
      </c>
      <c r="B730" s="3270">
        <v>2</v>
      </c>
      <c r="C730" s="3270">
        <v>1</v>
      </c>
      <c r="D730" s="3275">
        <v>1025</v>
      </c>
      <c r="E730" s="3276">
        <v>1</v>
      </c>
      <c r="F730" s="3276">
        <v>1</v>
      </c>
      <c r="G730" s="3276">
        <v>1</v>
      </c>
      <c r="H730" s="3275" t="s">
        <v>3332</v>
      </c>
      <c r="I730" s="3275" t="s">
        <v>3335</v>
      </c>
      <c r="J730" s="3269"/>
      <c r="K730" s="3269">
        <v>40.32</v>
      </c>
      <c r="L730" s="3276"/>
      <c r="M730" s="3276"/>
      <c r="N730" s="3501"/>
      <c r="O730" s="3503"/>
      <c r="P730" s="3503"/>
      <c r="Q730" s="3276"/>
      <c r="R730" s="3276"/>
    </row>
    <row r="731" spans="1:18">
      <c r="A731" s="3269">
        <v>728</v>
      </c>
      <c r="B731" s="3270">
        <v>2</v>
      </c>
      <c r="C731" s="3270">
        <v>1</v>
      </c>
      <c r="D731" s="3275">
        <v>1026</v>
      </c>
      <c r="E731" s="3276">
        <v>1</v>
      </c>
      <c r="F731" s="3276">
        <v>1</v>
      </c>
      <c r="G731" s="3276">
        <v>1</v>
      </c>
      <c r="H731" s="3275" t="s">
        <v>3332</v>
      </c>
      <c r="I731" s="3275" t="s">
        <v>3335</v>
      </c>
      <c r="J731" s="3269"/>
      <c r="K731" s="3269">
        <v>40.32</v>
      </c>
      <c r="L731" s="3276"/>
      <c r="M731" s="3276"/>
      <c r="N731" s="3501"/>
      <c r="O731" s="3503"/>
      <c r="P731" s="3503"/>
      <c r="Q731" s="3276"/>
      <c r="R731" s="3276"/>
    </row>
    <row r="732" spans="1:18">
      <c r="A732" s="3269">
        <v>729</v>
      </c>
      <c r="B732" s="3270">
        <v>2</v>
      </c>
      <c r="C732" s="3270">
        <v>1</v>
      </c>
      <c r="D732" s="3275">
        <v>1027</v>
      </c>
      <c r="E732" s="3276">
        <v>1</v>
      </c>
      <c r="F732" s="3276">
        <v>1</v>
      </c>
      <c r="G732" s="3276">
        <v>1</v>
      </c>
      <c r="H732" s="3275" t="s">
        <v>3332</v>
      </c>
      <c r="I732" s="3275" t="s">
        <v>3335</v>
      </c>
      <c r="J732" s="3269"/>
      <c r="K732" s="3269">
        <v>40.32</v>
      </c>
      <c r="L732" s="3276"/>
      <c r="M732" s="3276"/>
      <c r="N732" s="3501"/>
      <c r="O732" s="3503"/>
      <c r="P732" s="3503"/>
      <c r="Q732" s="3276"/>
      <c r="R732" s="3276"/>
    </row>
    <row r="733" spans="1:18">
      <c r="A733" s="3269">
        <v>730</v>
      </c>
      <c r="B733" s="3270">
        <v>2</v>
      </c>
      <c r="C733" s="3270">
        <v>1</v>
      </c>
      <c r="D733" s="3275">
        <v>1028</v>
      </c>
      <c r="E733" s="3276">
        <v>1</v>
      </c>
      <c r="F733" s="3276">
        <v>1</v>
      </c>
      <c r="G733" s="3276">
        <v>1</v>
      </c>
      <c r="H733" s="3275" t="s">
        <v>3332</v>
      </c>
      <c r="I733" s="3275" t="s">
        <v>3335</v>
      </c>
      <c r="J733" s="3269"/>
      <c r="K733" s="3269">
        <v>40.32</v>
      </c>
      <c r="L733" s="3276"/>
      <c r="M733" s="3276"/>
      <c r="N733" s="3501"/>
      <c r="O733" s="3503"/>
      <c r="P733" s="3503"/>
      <c r="Q733" s="3276"/>
      <c r="R733" s="3276"/>
    </row>
    <row r="734" spans="1:18">
      <c r="A734" s="3269">
        <v>731</v>
      </c>
      <c r="B734" s="3270">
        <v>2</v>
      </c>
      <c r="C734" s="3270">
        <v>1</v>
      </c>
      <c r="D734" s="3275">
        <v>1029</v>
      </c>
      <c r="E734" s="3276">
        <v>1</v>
      </c>
      <c r="F734" s="3276">
        <v>1</v>
      </c>
      <c r="G734" s="3276">
        <v>1</v>
      </c>
      <c r="H734" s="3275" t="s">
        <v>3332</v>
      </c>
      <c r="I734" s="3275" t="s">
        <v>3335</v>
      </c>
      <c r="J734" s="3269"/>
      <c r="K734" s="3269">
        <v>40.32</v>
      </c>
      <c r="L734" s="3276"/>
      <c r="M734" s="3276"/>
      <c r="N734" s="3501"/>
      <c r="O734" s="3503"/>
      <c r="P734" s="3503"/>
      <c r="Q734" s="3276"/>
      <c r="R734" s="3276"/>
    </row>
    <row r="735" spans="1:18">
      <c r="A735" s="3269">
        <v>732</v>
      </c>
      <c r="B735" s="3270">
        <v>2</v>
      </c>
      <c r="C735" s="3270">
        <v>1</v>
      </c>
      <c r="D735" s="3275">
        <v>1030</v>
      </c>
      <c r="E735" s="3276">
        <v>1</v>
      </c>
      <c r="F735" s="3276">
        <v>1</v>
      </c>
      <c r="G735" s="3276">
        <v>1</v>
      </c>
      <c r="H735" s="3275" t="s">
        <v>3332</v>
      </c>
      <c r="I735" s="3275" t="s">
        <v>3335</v>
      </c>
      <c r="J735" s="3269"/>
      <c r="K735" s="3269">
        <v>40.32</v>
      </c>
      <c r="L735" s="3276"/>
      <c r="M735" s="3276"/>
      <c r="N735" s="3501"/>
      <c r="O735" s="3503"/>
      <c r="P735" s="3503"/>
      <c r="Q735" s="3276"/>
      <c r="R735" s="3276"/>
    </row>
    <row r="736" spans="1:18">
      <c r="A736" s="3269">
        <v>733</v>
      </c>
      <c r="B736" s="3270">
        <v>2</v>
      </c>
      <c r="C736" s="3270">
        <v>1</v>
      </c>
      <c r="D736" s="3275">
        <v>1031</v>
      </c>
      <c r="E736" s="3276">
        <v>1</v>
      </c>
      <c r="F736" s="3276">
        <v>1</v>
      </c>
      <c r="G736" s="3276">
        <v>1</v>
      </c>
      <c r="H736" s="3275" t="s">
        <v>3332</v>
      </c>
      <c r="I736" s="3275" t="s">
        <v>3335</v>
      </c>
      <c r="J736" s="3269"/>
      <c r="K736" s="3269">
        <v>40.32</v>
      </c>
      <c r="L736" s="3276"/>
      <c r="M736" s="3276"/>
      <c r="N736" s="3501"/>
      <c r="O736" s="3503"/>
      <c r="P736" s="3503"/>
      <c r="Q736" s="3276"/>
      <c r="R736" s="3276"/>
    </row>
    <row r="737" spans="1:18">
      <c r="A737" s="3269">
        <v>734</v>
      </c>
      <c r="B737" s="3270">
        <v>2</v>
      </c>
      <c r="C737" s="3270">
        <v>1</v>
      </c>
      <c r="D737" s="3275">
        <v>1032</v>
      </c>
      <c r="E737" s="3276">
        <v>1</v>
      </c>
      <c r="F737" s="3276">
        <v>1</v>
      </c>
      <c r="G737" s="3276">
        <v>1</v>
      </c>
      <c r="H737" s="3275" t="s">
        <v>3332</v>
      </c>
      <c r="I737" s="3275" t="s">
        <v>3335</v>
      </c>
      <c r="J737" s="3269"/>
      <c r="K737" s="3269">
        <v>40.32</v>
      </c>
      <c r="L737" s="3276"/>
      <c r="M737" s="3276"/>
      <c r="N737" s="3501"/>
      <c r="O737" s="3503"/>
      <c r="P737" s="3503"/>
      <c r="Q737" s="3276"/>
      <c r="R737" s="3276"/>
    </row>
    <row r="738" spans="1:18">
      <c r="A738" s="3269">
        <v>735</v>
      </c>
      <c r="B738" s="3270">
        <v>2</v>
      </c>
      <c r="C738" s="3270">
        <v>1</v>
      </c>
      <c r="D738" s="3275">
        <v>1033</v>
      </c>
      <c r="E738" s="3276">
        <v>1</v>
      </c>
      <c r="F738" s="3276">
        <v>1</v>
      </c>
      <c r="G738" s="3276">
        <v>1</v>
      </c>
      <c r="H738" s="3275" t="s">
        <v>3332</v>
      </c>
      <c r="I738" s="3275" t="s">
        <v>3335</v>
      </c>
      <c r="J738" s="3269"/>
      <c r="K738" s="3269">
        <v>40.32</v>
      </c>
      <c r="L738" s="3276"/>
      <c r="M738" s="3276"/>
      <c r="N738" s="3501"/>
      <c r="O738" s="3503"/>
      <c r="P738" s="3503"/>
      <c r="Q738" s="3276"/>
      <c r="R738" s="3276"/>
    </row>
    <row r="739" spans="1:18">
      <c r="A739" s="3269">
        <v>736</v>
      </c>
      <c r="B739" s="3270">
        <v>2</v>
      </c>
      <c r="C739" s="3270">
        <v>1</v>
      </c>
      <c r="D739" s="3275">
        <v>1034</v>
      </c>
      <c r="E739" s="3276">
        <v>1</v>
      </c>
      <c r="F739" s="3276">
        <v>1</v>
      </c>
      <c r="G739" s="3276">
        <v>1</v>
      </c>
      <c r="H739" s="3275" t="s">
        <v>3332</v>
      </c>
      <c r="I739" s="3275" t="s">
        <v>3335</v>
      </c>
      <c r="J739" s="3269"/>
      <c r="K739" s="3269">
        <v>40.32</v>
      </c>
      <c r="L739" s="3276"/>
      <c r="M739" s="3276"/>
      <c r="N739" s="3501"/>
      <c r="O739" s="3503"/>
      <c r="P739" s="3503"/>
      <c r="Q739" s="3276"/>
      <c r="R739" s="3276"/>
    </row>
    <row r="740" spans="1:18">
      <c r="A740" s="3269">
        <v>737</v>
      </c>
      <c r="B740" s="3270">
        <v>2</v>
      </c>
      <c r="C740" s="3270">
        <v>1</v>
      </c>
      <c r="D740" s="3275">
        <v>1035</v>
      </c>
      <c r="E740" s="3276">
        <v>1</v>
      </c>
      <c r="F740" s="3276">
        <v>1</v>
      </c>
      <c r="G740" s="3276">
        <v>1</v>
      </c>
      <c r="H740" s="3275" t="s">
        <v>3332</v>
      </c>
      <c r="I740" s="3275" t="s">
        <v>3336</v>
      </c>
      <c r="J740" s="3269"/>
      <c r="K740" s="3269">
        <v>42.56</v>
      </c>
      <c r="L740" s="3276"/>
      <c r="M740" s="3276"/>
      <c r="N740" s="3501"/>
      <c r="O740" s="3503"/>
      <c r="P740" s="3503"/>
      <c r="Q740" s="3276"/>
      <c r="R740" s="3276"/>
    </row>
    <row r="741" spans="1:18">
      <c r="A741" s="3269">
        <v>738</v>
      </c>
      <c r="B741" s="3270">
        <v>2</v>
      </c>
      <c r="C741" s="3270">
        <v>1</v>
      </c>
      <c r="D741" s="3275">
        <v>1036</v>
      </c>
      <c r="E741" s="3276">
        <v>1</v>
      </c>
      <c r="F741" s="3276">
        <v>1</v>
      </c>
      <c r="G741" s="3276">
        <v>1</v>
      </c>
      <c r="H741" s="3275" t="s">
        <v>3312</v>
      </c>
      <c r="I741" s="3275" t="s">
        <v>3337</v>
      </c>
      <c r="J741" s="3269"/>
      <c r="K741" s="3269">
        <v>40.42</v>
      </c>
      <c r="L741" s="3276"/>
      <c r="M741" s="3276"/>
      <c r="N741" s="3501"/>
      <c r="O741" s="3503"/>
      <c r="P741" s="3503"/>
      <c r="Q741" s="3276"/>
      <c r="R741" s="3276"/>
    </row>
    <row r="742" spans="1:18">
      <c r="A742" s="3269">
        <v>739</v>
      </c>
      <c r="B742" s="3270">
        <v>2</v>
      </c>
      <c r="C742" s="3270">
        <v>1</v>
      </c>
      <c r="D742" s="3275">
        <v>1037</v>
      </c>
      <c r="E742" s="3276">
        <v>1</v>
      </c>
      <c r="F742" s="3276">
        <v>1</v>
      </c>
      <c r="G742" s="3276">
        <v>1</v>
      </c>
      <c r="H742" s="3275" t="s">
        <v>3312</v>
      </c>
      <c r="I742" s="3275" t="s">
        <v>3335</v>
      </c>
      <c r="J742" s="3269"/>
      <c r="K742" s="3269">
        <v>40.32</v>
      </c>
      <c r="L742" s="3276"/>
      <c r="M742" s="3276"/>
      <c r="N742" s="3501"/>
      <c r="O742" s="3503"/>
      <c r="P742" s="3503"/>
      <c r="Q742" s="3276"/>
      <c r="R742" s="3276"/>
    </row>
    <row r="743" spans="1:18">
      <c r="A743" s="3269">
        <v>740</v>
      </c>
      <c r="B743" s="3270">
        <v>2</v>
      </c>
      <c r="C743" s="3270">
        <v>1</v>
      </c>
      <c r="D743" s="3275">
        <v>1038</v>
      </c>
      <c r="E743" s="3276">
        <v>1</v>
      </c>
      <c r="F743" s="3276">
        <v>1</v>
      </c>
      <c r="G743" s="3276">
        <v>1</v>
      </c>
      <c r="H743" s="3275" t="s">
        <v>3312</v>
      </c>
      <c r="I743" s="3275" t="s">
        <v>3338</v>
      </c>
      <c r="J743" s="3269"/>
      <c r="K743" s="3269">
        <v>32.26</v>
      </c>
      <c r="L743" s="3276"/>
      <c r="M743" s="3276"/>
      <c r="N743" s="3501"/>
      <c r="O743" s="3503"/>
      <c r="P743" s="3503"/>
      <c r="Q743" s="3276"/>
      <c r="R743" s="3276"/>
    </row>
    <row r="744" spans="1:18" ht="14.25" thickBot="1">
      <c r="A744" s="3269">
        <v>741</v>
      </c>
      <c r="B744" s="3270">
        <v>2</v>
      </c>
      <c r="C744" s="3270">
        <v>1</v>
      </c>
      <c r="D744" s="3279">
        <v>1039</v>
      </c>
      <c r="E744" s="3284">
        <v>4</v>
      </c>
      <c r="F744" s="3280">
        <v>1</v>
      </c>
      <c r="G744" s="3280">
        <v>1</v>
      </c>
      <c r="H744" s="3279" t="s">
        <v>3316</v>
      </c>
      <c r="I744" s="3279" t="s">
        <v>3319</v>
      </c>
      <c r="J744" s="3281"/>
      <c r="K744" s="3282">
        <v>75.8</v>
      </c>
      <c r="L744" s="3280"/>
      <c r="M744" s="3280"/>
      <c r="N744" s="3502"/>
      <c r="O744" s="3504"/>
      <c r="P744" s="3504"/>
      <c r="Q744" s="3280"/>
      <c r="R744" s="3280"/>
    </row>
    <row r="745" spans="1:18" ht="14.25" thickTop="1">
      <c r="A745" s="3269">
        <v>742</v>
      </c>
      <c r="B745" s="3270">
        <v>2</v>
      </c>
      <c r="C745" s="3270">
        <v>1</v>
      </c>
      <c r="D745" s="3271">
        <v>1101</v>
      </c>
      <c r="E745" s="3272">
        <v>4</v>
      </c>
      <c r="F745" s="3272">
        <v>1</v>
      </c>
      <c r="G745" s="3272">
        <v>1</v>
      </c>
      <c r="H745" s="3271" t="s">
        <v>3318</v>
      </c>
      <c r="I745" s="3271" t="s">
        <v>3317</v>
      </c>
      <c r="J745" s="3273"/>
      <c r="K745" s="3274">
        <v>75.8</v>
      </c>
      <c r="L745" s="3272"/>
      <c r="M745" s="3272"/>
      <c r="N745" s="3500">
        <v>2.9</v>
      </c>
      <c r="O745" s="3500" t="s">
        <v>3297</v>
      </c>
      <c r="P745" s="3500" t="s">
        <v>3298</v>
      </c>
      <c r="Q745" s="3272"/>
      <c r="R745" s="3272"/>
    </row>
    <row r="746" spans="1:18">
      <c r="A746" s="3269">
        <v>743</v>
      </c>
      <c r="B746" s="3270">
        <v>2</v>
      </c>
      <c r="C746" s="3270">
        <v>1</v>
      </c>
      <c r="D746" s="3275">
        <v>1102</v>
      </c>
      <c r="E746" s="3276">
        <v>1</v>
      </c>
      <c r="F746" s="3276">
        <v>1</v>
      </c>
      <c r="G746" s="3276">
        <v>1</v>
      </c>
      <c r="H746" s="3275" t="s">
        <v>3300</v>
      </c>
      <c r="I746" s="3275" t="s">
        <v>3324</v>
      </c>
      <c r="J746" s="3269"/>
      <c r="K746" s="3277">
        <v>41.22</v>
      </c>
      <c r="L746" s="3276"/>
      <c r="M746" s="3276"/>
      <c r="N746" s="3501"/>
      <c r="O746" s="3503"/>
      <c r="P746" s="3503"/>
      <c r="Q746" s="3276"/>
      <c r="R746" s="3276"/>
    </row>
    <row r="747" spans="1:18">
      <c r="A747" s="3269">
        <v>744</v>
      </c>
      <c r="B747" s="3270">
        <v>2</v>
      </c>
      <c r="C747" s="3270">
        <v>1</v>
      </c>
      <c r="D747" s="3275">
        <v>1103</v>
      </c>
      <c r="E747" s="3276">
        <v>1</v>
      </c>
      <c r="F747" s="3276">
        <v>1</v>
      </c>
      <c r="G747" s="3276">
        <v>1</v>
      </c>
      <c r="H747" s="3275" t="s">
        <v>3300</v>
      </c>
      <c r="I747" s="3275" t="s">
        <v>3325</v>
      </c>
      <c r="J747" s="3269"/>
      <c r="K747" s="3269">
        <v>39.869999999999997</v>
      </c>
      <c r="L747" s="3276"/>
      <c r="M747" s="3276"/>
      <c r="N747" s="3501"/>
      <c r="O747" s="3503"/>
      <c r="P747" s="3503"/>
      <c r="Q747" s="3276"/>
      <c r="R747" s="3276"/>
    </row>
    <row r="748" spans="1:18">
      <c r="A748" s="3269">
        <v>745</v>
      </c>
      <c r="B748" s="3270">
        <v>2</v>
      </c>
      <c r="C748" s="3270">
        <v>1</v>
      </c>
      <c r="D748" s="3275">
        <v>1104</v>
      </c>
      <c r="E748" s="3276">
        <v>1</v>
      </c>
      <c r="F748" s="3276">
        <v>1</v>
      </c>
      <c r="G748" s="3276">
        <v>1</v>
      </c>
      <c r="H748" s="3275" t="s">
        <v>3300</v>
      </c>
      <c r="I748" s="3275" t="s">
        <v>3326</v>
      </c>
      <c r="J748" s="3269"/>
      <c r="K748" s="3269">
        <v>40.32</v>
      </c>
      <c r="L748" s="3276"/>
      <c r="M748" s="3276"/>
      <c r="N748" s="3501"/>
      <c r="O748" s="3503"/>
      <c r="P748" s="3503"/>
      <c r="Q748" s="3276"/>
      <c r="R748" s="3276"/>
    </row>
    <row r="749" spans="1:18">
      <c r="A749" s="3269">
        <v>746</v>
      </c>
      <c r="B749" s="3270">
        <v>2</v>
      </c>
      <c r="C749" s="3270">
        <v>1</v>
      </c>
      <c r="D749" s="3275">
        <v>1106</v>
      </c>
      <c r="E749" s="3276">
        <v>1</v>
      </c>
      <c r="F749" s="3276">
        <v>1</v>
      </c>
      <c r="G749" s="3276">
        <v>1</v>
      </c>
      <c r="H749" s="3275" t="s">
        <v>3300</v>
      </c>
      <c r="I749" s="3275" t="s">
        <v>3326</v>
      </c>
      <c r="J749" s="3269"/>
      <c r="K749" s="3269">
        <v>40.32</v>
      </c>
      <c r="L749" s="3276"/>
      <c r="M749" s="3276"/>
      <c r="N749" s="3501"/>
      <c r="O749" s="3503"/>
      <c r="P749" s="3503"/>
      <c r="Q749" s="3276"/>
      <c r="R749" s="3276"/>
    </row>
    <row r="750" spans="1:18">
      <c r="A750" s="3269">
        <v>747</v>
      </c>
      <c r="B750" s="3270">
        <v>2</v>
      </c>
      <c r="C750" s="3270">
        <v>1</v>
      </c>
      <c r="D750" s="3275">
        <v>1106</v>
      </c>
      <c r="E750" s="3276">
        <v>1</v>
      </c>
      <c r="F750" s="3276">
        <v>1</v>
      </c>
      <c r="G750" s="3276">
        <v>1</v>
      </c>
      <c r="H750" s="3275" t="s">
        <v>3300</v>
      </c>
      <c r="I750" s="3275" t="s">
        <v>3327</v>
      </c>
      <c r="J750" s="3269"/>
      <c r="K750" s="3269">
        <v>39.97</v>
      </c>
      <c r="L750" s="3276"/>
      <c r="M750" s="3276"/>
      <c r="N750" s="3501"/>
      <c r="O750" s="3503"/>
      <c r="P750" s="3503"/>
      <c r="Q750" s="3276"/>
      <c r="R750" s="3276"/>
    </row>
    <row r="751" spans="1:18">
      <c r="A751" s="3269">
        <v>748</v>
      </c>
      <c r="B751" s="3270">
        <v>2</v>
      </c>
      <c r="C751" s="3270">
        <v>1</v>
      </c>
      <c r="D751" s="3275">
        <v>1107</v>
      </c>
      <c r="E751" s="3276">
        <v>2</v>
      </c>
      <c r="F751" s="3276">
        <v>1</v>
      </c>
      <c r="G751" s="3276">
        <v>1</v>
      </c>
      <c r="H751" s="3275" t="s">
        <v>3300</v>
      </c>
      <c r="I751" s="3275" t="s">
        <v>3313</v>
      </c>
      <c r="J751" s="3269"/>
      <c r="K751" s="3277">
        <v>67.27</v>
      </c>
      <c r="L751" s="3276"/>
      <c r="M751" s="3276"/>
      <c r="N751" s="3501"/>
      <c r="O751" s="3503"/>
      <c r="P751" s="3503"/>
      <c r="Q751" s="3276"/>
      <c r="R751" s="3276"/>
    </row>
    <row r="752" spans="1:18">
      <c r="A752" s="3269">
        <v>749</v>
      </c>
      <c r="B752" s="3270">
        <v>2</v>
      </c>
      <c r="C752" s="3270">
        <v>1</v>
      </c>
      <c r="D752" s="3275">
        <v>1108</v>
      </c>
      <c r="E752" s="3276">
        <v>1</v>
      </c>
      <c r="F752" s="3276">
        <v>1</v>
      </c>
      <c r="G752" s="3276">
        <v>1</v>
      </c>
      <c r="H752" s="3275" t="s">
        <v>3302</v>
      </c>
      <c r="I752" s="3275" t="s">
        <v>3311</v>
      </c>
      <c r="J752" s="3269"/>
      <c r="K752" s="3277">
        <v>38.54</v>
      </c>
      <c r="L752" s="3276"/>
      <c r="M752" s="3276"/>
      <c r="N752" s="3501"/>
      <c r="O752" s="3503"/>
      <c r="P752" s="3503"/>
      <c r="Q752" s="3276"/>
      <c r="R752" s="3276"/>
    </row>
    <row r="753" spans="1:18">
      <c r="A753" s="3269">
        <v>750</v>
      </c>
      <c r="B753" s="3270">
        <v>2</v>
      </c>
      <c r="C753" s="3270">
        <v>1</v>
      </c>
      <c r="D753" s="3275">
        <v>1109</v>
      </c>
      <c r="E753" s="3276">
        <v>1</v>
      </c>
      <c r="F753" s="3276">
        <v>1</v>
      </c>
      <c r="G753" s="3276">
        <v>1</v>
      </c>
      <c r="H753" s="3275" t="s">
        <v>3304</v>
      </c>
      <c r="I753" s="3275" t="s">
        <v>3328</v>
      </c>
      <c r="J753" s="3269"/>
      <c r="K753" s="3277">
        <v>39.96</v>
      </c>
      <c r="L753" s="3276"/>
      <c r="M753" s="3276"/>
      <c r="N753" s="3501"/>
      <c r="O753" s="3503"/>
      <c r="P753" s="3503"/>
      <c r="Q753" s="3276"/>
      <c r="R753" s="3276"/>
    </row>
    <row r="754" spans="1:18">
      <c r="A754" s="3269">
        <v>751</v>
      </c>
      <c r="B754" s="3270">
        <v>2</v>
      </c>
      <c r="C754" s="3270">
        <v>1</v>
      </c>
      <c r="D754" s="3275">
        <v>1110</v>
      </c>
      <c r="E754" s="3276">
        <v>1</v>
      </c>
      <c r="F754" s="3276">
        <v>1</v>
      </c>
      <c r="G754" s="3276">
        <v>1</v>
      </c>
      <c r="H754" s="3275" t="s">
        <v>3304</v>
      </c>
      <c r="I754" s="3275" t="s">
        <v>3325</v>
      </c>
      <c r="J754" s="3269"/>
      <c r="K754" s="3269">
        <v>39.869999999999997</v>
      </c>
      <c r="L754" s="3276"/>
      <c r="M754" s="3276"/>
      <c r="N754" s="3501"/>
      <c r="O754" s="3503"/>
      <c r="P754" s="3503"/>
      <c r="Q754" s="3276"/>
      <c r="R754" s="3276"/>
    </row>
    <row r="755" spans="1:18">
      <c r="A755" s="3269">
        <v>752</v>
      </c>
      <c r="B755" s="3270">
        <v>2</v>
      </c>
      <c r="C755" s="3270">
        <v>1</v>
      </c>
      <c r="D755" s="3275">
        <v>1111</v>
      </c>
      <c r="E755" s="3276">
        <v>1</v>
      </c>
      <c r="F755" s="3276">
        <v>0</v>
      </c>
      <c r="G755" s="3276">
        <v>1</v>
      </c>
      <c r="H755" s="3275" t="s">
        <v>3304</v>
      </c>
      <c r="I755" s="3275" t="s">
        <v>3329</v>
      </c>
      <c r="J755" s="3269"/>
      <c r="K755" s="3269">
        <v>31.98</v>
      </c>
      <c r="L755" s="3276"/>
      <c r="M755" s="3276"/>
      <c r="N755" s="3501"/>
      <c r="O755" s="3503"/>
      <c r="P755" s="3503"/>
      <c r="Q755" s="3276"/>
      <c r="R755" s="3276"/>
    </row>
    <row r="756" spans="1:18">
      <c r="A756" s="3269">
        <v>753</v>
      </c>
      <c r="B756" s="3270">
        <v>2</v>
      </c>
      <c r="C756" s="3270">
        <v>1</v>
      </c>
      <c r="D756" s="3275">
        <v>1112</v>
      </c>
      <c r="E756" s="3276">
        <v>1</v>
      </c>
      <c r="F756" s="3276">
        <v>0</v>
      </c>
      <c r="G756" s="3276">
        <v>1</v>
      </c>
      <c r="H756" s="3275" t="s">
        <v>3304</v>
      </c>
      <c r="I756" s="3275" t="s">
        <v>3330</v>
      </c>
      <c r="J756" s="3269"/>
      <c r="K756" s="3269">
        <v>31.54</v>
      </c>
      <c r="L756" s="3276"/>
      <c r="M756" s="3276"/>
      <c r="N756" s="3501"/>
      <c r="O756" s="3503"/>
      <c r="P756" s="3503"/>
      <c r="Q756" s="3276"/>
      <c r="R756" s="3276"/>
    </row>
    <row r="757" spans="1:18">
      <c r="A757" s="3269">
        <v>754</v>
      </c>
      <c r="B757" s="3270">
        <v>2</v>
      </c>
      <c r="C757" s="3270">
        <v>1</v>
      </c>
      <c r="D757" s="3275">
        <v>1113</v>
      </c>
      <c r="E757" s="3276">
        <v>1</v>
      </c>
      <c r="F757" s="3276">
        <v>0</v>
      </c>
      <c r="G757" s="3276">
        <v>1</v>
      </c>
      <c r="H757" s="3275" t="s">
        <v>3304</v>
      </c>
      <c r="I757" s="3275" t="s">
        <v>3330</v>
      </c>
      <c r="J757" s="3269"/>
      <c r="K757" s="3269">
        <v>31.54</v>
      </c>
      <c r="L757" s="3276"/>
      <c r="M757" s="3276"/>
      <c r="N757" s="3501"/>
      <c r="O757" s="3503"/>
      <c r="P757" s="3503"/>
      <c r="Q757" s="3276"/>
      <c r="R757" s="3276"/>
    </row>
    <row r="758" spans="1:18">
      <c r="A758" s="3269">
        <v>755</v>
      </c>
      <c r="B758" s="3270">
        <v>2</v>
      </c>
      <c r="C758" s="3270">
        <v>1</v>
      </c>
      <c r="D758" s="3275">
        <v>1114</v>
      </c>
      <c r="E758" s="3276">
        <v>1</v>
      </c>
      <c r="F758" s="3276">
        <v>0</v>
      </c>
      <c r="G758" s="3276">
        <v>1</v>
      </c>
      <c r="H758" s="3275" t="s">
        <v>3304</v>
      </c>
      <c r="I758" s="3275" t="s">
        <v>3330</v>
      </c>
      <c r="J758" s="3269"/>
      <c r="K758" s="3269">
        <v>31.54</v>
      </c>
      <c r="L758" s="3276"/>
      <c r="M758" s="3276"/>
      <c r="N758" s="3501"/>
      <c r="O758" s="3503"/>
      <c r="P758" s="3503"/>
      <c r="Q758" s="3276"/>
      <c r="R758" s="3276"/>
    </row>
    <row r="759" spans="1:18">
      <c r="A759" s="3269">
        <v>756</v>
      </c>
      <c r="B759" s="3270">
        <v>2</v>
      </c>
      <c r="C759" s="3270">
        <v>1</v>
      </c>
      <c r="D759" s="3275">
        <v>1115</v>
      </c>
      <c r="E759" s="3276">
        <v>1</v>
      </c>
      <c r="F759" s="3276">
        <v>0</v>
      </c>
      <c r="G759" s="3276">
        <v>1</v>
      </c>
      <c r="H759" s="3275" t="s">
        <v>3304</v>
      </c>
      <c r="I759" s="3275" t="s">
        <v>3330</v>
      </c>
      <c r="J759" s="3269"/>
      <c r="K759" s="3269">
        <v>31.54</v>
      </c>
      <c r="L759" s="3276"/>
      <c r="M759" s="3276"/>
      <c r="N759" s="3501"/>
      <c r="O759" s="3503"/>
      <c r="P759" s="3503"/>
      <c r="Q759" s="3276"/>
      <c r="R759" s="3276"/>
    </row>
    <row r="760" spans="1:18">
      <c r="A760" s="3269">
        <v>757</v>
      </c>
      <c r="B760" s="3270">
        <v>2</v>
      </c>
      <c r="C760" s="3270">
        <v>1</v>
      </c>
      <c r="D760" s="3275">
        <v>1116</v>
      </c>
      <c r="E760" s="3276">
        <v>1</v>
      </c>
      <c r="F760" s="3276">
        <v>0</v>
      </c>
      <c r="G760" s="3276">
        <v>1</v>
      </c>
      <c r="H760" s="3278" t="s">
        <v>3304</v>
      </c>
      <c r="I760" s="3275" t="s">
        <v>3330</v>
      </c>
      <c r="J760" s="3269"/>
      <c r="K760" s="3269">
        <v>31.54</v>
      </c>
      <c r="L760" s="3276"/>
      <c r="M760" s="3276"/>
      <c r="N760" s="3501"/>
      <c r="O760" s="3503"/>
      <c r="P760" s="3503"/>
      <c r="Q760" s="3276"/>
      <c r="R760" s="3276"/>
    </row>
    <row r="761" spans="1:18">
      <c r="A761" s="3269">
        <v>758</v>
      </c>
      <c r="B761" s="3270">
        <v>2</v>
      </c>
      <c r="C761" s="3270">
        <v>1</v>
      </c>
      <c r="D761" s="3275">
        <v>1117</v>
      </c>
      <c r="E761" s="3276">
        <v>1</v>
      </c>
      <c r="F761" s="3276">
        <v>0</v>
      </c>
      <c r="G761" s="3276">
        <v>1</v>
      </c>
      <c r="H761" s="3278" t="s">
        <v>3304</v>
      </c>
      <c r="I761" s="3275" t="s">
        <v>3331</v>
      </c>
      <c r="J761" s="3269"/>
      <c r="K761" s="3269">
        <v>32.26</v>
      </c>
      <c r="L761" s="3276"/>
      <c r="M761" s="3276"/>
      <c r="N761" s="3501"/>
      <c r="O761" s="3503"/>
      <c r="P761" s="3503"/>
      <c r="Q761" s="3276"/>
      <c r="R761" s="3276"/>
    </row>
    <row r="762" spans="1:18">
      <c r="A762" s="3269">
        <v>759</v>
      </c>
      <c r="B762" s="3270">
        <v>2</v>
      </c>
      <c r="C762" s="3270">
        <v>1</v>
      </c>
      <c r="D762" s="3275">
        <v>1118</v>
      </c>
      <c r="E762" s="3276">
        <v>1</v>
      </c>
      <c r="F762" s="3276">
        <v>0</v>
      </c>
      <c r="G762" s="3276">
        <v>1</v>
      </c>
      <c r="H762" s="3278" t="s">
        <v>3304</v>
      </c>
      <c r="I762" s="3275" t="s">
        <v>3331</v>
      </c>
      <c r="J762" s="3269"/>
      <c r="K762" s="3269">
        <v>32.26</v>
      </c>
      <c r="L762" s="3276"/>
      <c r="M762" s="3276"/>
      <c r="N762" s="3501"/>
      <c r="O762" s="3503"/>
      <c r="P762" s="3503"/>
      <c r="Q762" s="3276"/>
      <c r="R762" s="3276"/>
    </row>
    <row r="763" spans="1:18">
      <c r="A763" s="3269">
        <v>760</v>
      </c>
      <c r="B763" s="3270">
        <v>2</v>
      </c>
      <c r="C763" s="3270">
        <v>1</v>
      </c>
      <c r="D763" s="3275">
        <v>1119</v>
      </c>
      <c r="E763" s="3276">
        <v>1</v>
      </c>
      <c r="F763" s="3276">
        <v>0</v>
      </c>
      <c r="G763" s="3276">
        <v>1</v>
      </c>
      <c r="H763" s="3278" t="s">
        <v>3304</v>
      </c>
      <c r="I763" s="3275" t="s">
        <v>3330</v>
      </c>
      <c r="J763" s="3269"/>
      <c r="K763" s="3269">
        <v>31.54</v>
      </c>
      <c r="L763" s="3276"/>
      <c r="M763" s="3276"/>
      <c r="N763" s="3501"/>
      <c r="O763" s="3503"/>
      <c r="P763" s="3503"/>
      <c r="Q763" s="3276"/>
      <c r="R763" s="3276"/>
    </row>
    <row r="764" spans="1:18">
      <c r="A764" s="3269">
        <v>761</v>
      </c>
      <c r="B764" s="3270">
        <v>2</v>
      </c>
      <c r="C764" s="3270">
        <v>1</v>
      </c>
      <c r="D764" s="3275">
        <v>1120</v>
      </c>
      <c r="E764" s="3276">
        <v>1</v>
      </c>
      <c r="F764" s="3276">
        <v>0</v>
      </c>
      <c r="G764" s="3276">
        <v>1</v>
      </c>
      <c r="H764" s="3278" t="s">
        <v>3304</v>
      </c>
      <c r="I764" s="3275" t="s">
        <v>3330</v>
      </c>
      <c r="J764" s="3269"/>
      <c r="K764" s="3269">
        <v>31.54</v>
      </c>
      <c r="L764" s="3276"/>
      <c r="M764" s="3276"/>
      <c r="N764" s="3501"/>
      <c r="O764" s="3503"/>
      <c r="P764" s="3503"/>
      <c r="Q764" s="3276"/>
      <c r="R764" s="3276"/>
    </row>
    <row r="765" spans="1:18">
      <c r="A765" s="3269">
        <v>762</v>
      </c>
      <c r="B765" s="3270">
        <v>2</v>
      </c>
      <c r="C765" s="3270">
        <v>1</v>
      </c>
      <c r="D765" s="3275">
        <v>1121</v>
      </c>
      <c r="E765" s="3276">
        <v>1</v>
      </c>
      <c r="F765" s="3276">
        <v>1</v>
      </c>
      <c r="G765" s="3276">
        <v>1</v>
      </c>
      <c r="H765" s="3275" t="s">
        <v>3310</v>
      </c>
      <c r="I765" s="3275" t="s">
        <v>3303</v>
      </c>
      <c r="J765" s="3269"/>
      <c r="K765" s="3277">
        <v>40.520000000000003</v>
      </c>
      <c r="L765" s="3276"/>
      <c r="M765" s="3276"/>
      <c r="N765" s="3501"/>
      <c r="O765" s="3503"/>
      <c r="P765" s="3503"/>
      <c r="Q765" s="3276"/>
      <c r="R765" s="3276"/>
    </row>
    <row r="766" spans="1:18">
      <c r="A766" s="3269">
        <v>763</v>
      </c>
      <c r="B766" s="3270">
        <v>2</v>
      </c>
      <c r="C766" s="3270">
        <v>1</v>
      </c>
      <c r="D766" s="3275">
        <v>1122</v>
      </c>
      <c r="E766" s="3276">
        <v>1</v>
      </c>
      <c r="F766" s="3276">
        <v>0</v>
      </c>
      <c r="G766" s="3276">
        <v>1</v>
      </c>
      <c r="H766" s="3275" t="s">
        <v>3312</v>
      </c>
      <c r="I766" s="3275" t="s">
        <v>3323</v>
      </c>
      <c r="J766" s="3269"/>
      <c r="K766" s="3277">
        <v>32.42</v>
      </c>
      <c r="L766" s="3276"/>
      <c r="M766" s="3276"/>
      <c r="N766" s="3501"/>
      <c r="O766" s="3503"/>
      <c r="P766" s="3503"/>
      <c r="Q766" s="3276"/>
      <c r="R766" s="3276"/>
    </row>
    <row r="767" spans="1:18">
      <c r="A767" s="3269">
        <v>764</v>
      </c>
      <c r="B767" s="3270">
        <v>2</v>
      </c>
      <c r="C767" s="3270">
        <v>1</v>
      </c>
      <c r="D767" s="3275">
        <v>1123</v>
      </c>
      <c r="E767" s="3276">
        <v>1</v>
      </c>
      <c r="F767" s="3276">
        <v>0</v>
      </c>
      <c r="G767" s="3276">
        <v>1</v>
      </c>
      <c r="H767" s="3275" t="s">
        <v>3332</v>
      </c>
      <c r="I767" s="3275" t="s">
        <v>3333</v>
      </c>
      <c r="J767" s="3269"/>
      <c r="K767" s="3269">
        <v>35.26</v>
      </c>
      <c r="L767" s="3276"/>
      <c r="M767" s="3276"/>
      <c r="N767" s="3501"/>
      <c r="O767" s="3503"/>
      <c r="P767" s="3503"/>
      <c r="Q767" s="3276"/>
      <c r="R767" s="3276"/>
    </row>
    <row r="768" spans="1:18">
      <c r="A768" s="3269">
        <v>765</v>
      </c>
      <c r="B768" s="3270">
        <v>2</v>
      </c>
      <c r="C768" s="3270">
        <v>1</v>
      </c>
      <c r="D768" s="3275">
        <v>1124</v>
      </c>
      <c r="E768" s="3276">
        <v>1</v>
      </c>
      <c r="F768" s="3276">
        <v>0</v>
      </c>
      <c r="G768" s="3276">
        <v>1</v>
      </c>
      <c r="H768" s="3275" t="s">
        <v>3332</v>
      </c>
      <c r="I768" s="3275" t="s">
        <v>3334</v>
      </c>
      <c r="J768" s="3269"/>
      <c r="K768" s="3269">
        <v>34.5</v>
      </c>
      <c r="L768" s="3276"/>
      <c r="M768" s="3276"/>
      <c r="N768" s="3501"/>
      <c r="O768" s="3503"/>
      <c r="P768" s="3503"/>
      <c r="Q768" s="3276"/>
      <c r="R768" s="3276"/>
    </row>
    <row r="769" spans="1:18">
      <c r="A769" s="3269">
        <v>766</v>
      </c>
      <c r="B769" s="3270">
        <v>2</v>
      </c>
      <c r="C769" s="3270">
        <v>1</v>
      </c>
      <c r="D769" s="3275">
        <v>1125</v>
      </c>
      <c r="E769" s="3276">
        <v>1</v>
      </c>
      <c r="F769" s="3276">
        <v>1</v>
      </c>
      <c r="G769" s="3276">
        <v>1</v>
      </c>
      <c r="H769" s="3275" t="s">
        <v>3332</v>
      </c>
      <c r="I769" s="3275" t="s">
        <v>3335</v>
      </c>
      <c r="J769" s="3269"/>
      <c r="K769" s="3269">
        <v>40.32</v>
      </c>
      <c r="L769" s="3276"/>
      <c r="M769" s="3276"/>
      <c r="N769" s="3501"/>
      <c r="O769" s="3503"/>
      <c r="P769" s="3503"/>
      <c r="Q769" s="3276"/>
      <c r="R769" s="3276"/>
    </row>
    <row r="770" spans="1:18">
      <c r="A770" s="3269">
        <v>767</v>
      </c>
      <c r="B770" s="3270">
        <v>2</v>
      </c>
      <c r="C770" s="3270">
        <v>1</v>
      </c>
      <c r="D770" s="3275">
        <v>1126</v>
      </c>
      <c r="E770" s="3276">
        <v>1</v>
      </c>
      <c r="F770" s="3276">
        <v>1</v>
      </c>
      <c r="G770" s="3276">
        <v>1</v>
      </c>
      <c r="H770" s="3275" t="s">
        <v>3332</v>
      </c>
      <c r="I770" s="3275" t="s">
        <v>3335</v>
      </c>
      <c r="J770" s="3269"/>
      <c r="K770" s="3269">
        <v>40.32</v>
      </c>
      <c r="L770" s="3276"/>
      <c r="M770" s="3276"/>
      <c r="N770" s="3501"/>
      <c r="O770" s="3503"/>
      <c r="P770" s="3503"/>
      <c r="Q770" s="3276"/>
      <c r="R770" s="3276"/>
    </row>
    <row r="771" spans="1:18">
      <c r="A771" s="3269">
        <v>768</v>
      </c>
      <c r="B771" s="3270">
        <v>2</v>
      </c>
      <c r="C771" s="3270">
        <v>1</v>
      </c>
      <c r="D771" s="3275">
        <v>1127</v>
      </c>
      <c r="E771" s="3276">
        <v>1</v>
      </c>
      <c r="F771" s="3276">
        <v>1</v>
      </c>
      <c r="G771" s="3276">
        <v>1</v>
      </c>
      <c r="H771" s="3275" t="s">
        <v>3332</v>
      </c>
      <c r="I771" s="3275" t="s">
        <v>3335</v>
      </c>
      <c r="J771" s="3269"/>
      <c r="K771" s="3269">
        <v>40.32</v>
      </c>
      <c r="L771" s="3276"/>
      <c r="M771" s="3276"/>
      <c r="N771" s="3501"/>
      <c r="O771" s="3503"/>
      <c r="P771" s="3503"/>
      <c r="Q771" s="3276"/>
      <c r="R771" s="3276"/>
    </row>
    <row r="772" spans="1:18">
      <c r="A772" s="3269">
        <v>769</v>
      </c>
      <c r="B772" s="3270">
        <v>2</v>
      </c>
      <c r="C772" s="3270">
        <v>1</v>
      </c>
      <c r="D772" s="3275">
        <v>1128</v>
      </c>
      <c r="E772" s="3276">
        <v>1</v>
      </c>
      <c r="F772" s="3276">
        <v>1</v>
      </c>
      <c r="G772" s="3276">
        <v>1</v>
      </c>
      <c r="H772" s="3275" t="s">
        <v>3332</v>
      </c>
      <c r="I772" s="3275" t="s">
        <v>3335</v>
      </c>
      <c r="J772" s="3269"/>
      <c r="K772" s="3269">
        <v>40.32</v>
      </c>
      <c r="L772" s="3276"/>
      <c r="M772" s="3276"/>
      <c r="N772" s="3501"/>
      <c r="O772" s="3503"/>
      <c r="P772" s="3503"/>
      <c r="Q772" s="3276"/>
      <c r="R772" s="3276"/>
    </row>
    <row r="773" spans="1:18">
      <c r="A773" s="3269">
        <v>770</v>
      </c>
      <c r="B773" s="3270">
        <v>2</v>
      </c>
      <c r="C773" s="3270">
        <v>1</v>
      </c>
      <c r="D773" s="3275">
        <v>1129</v>
      </c>
      <c r="E773" s="3276">
        <v>1</v>
      </c>
      <c r="F773" s="3276">
        <v>1</v>
      </c>
      <c r="G773" s="3276">
        <v>1</v>
      </c>
      <c r="H773" s="3275" t="s">
        <v>3332</v>
      </c>
      <c r="I773" s="3275" t="s">
        <v>3335</v>
      </c>
      <c r="J773" s="3269"/>
      <c r="K773" s="3269">
        <v>40.32</v>
      </c>
      <c r="L773" s="3276"/>
      <c r="M773" s="3276"/>
      <c r="N773" s="3501"/>
      <c r="O773" s="3503"/>
      <c r="P773" s="3503"/>
      <c r="Q773" s="3276"/>
      <c r="R773" s="3276"/>
    </row>
    <row r="774" spans="1:18">
      <c r="A774" s="3269">
        <v>771</v>
      </c>
      <c r="B774" s="3270">
        <v>2</v>
      </c>
      <c r="C774" s="3270">
        <v>1</v>
      </c>
      <c r="D774" s="3275">
        <v>1130</v>
      </c>
      <c r="E774" s="3276">
        <v>1</v>
      </c>
      <c r="F774" s="3276">
        <v>1</v>
      </c>
      <c r="G774" s="3276">
        <v>1</v>
      </c>
      <c r="H774" s="3275" t="s">
        <v>3332</v>
      </c>
      <c r="I774" s="3275" t="s">
        <v>3335</v>
      </c>
      <c r="J774" s="3269"/>
      <c r="K774" s="3269">
        <v>40.32</v>
      </c>
      <c r="L774" s="3276"/>
      <c r="M774" s="3276"/>
      <c r="N774" s="3501"/>
      <c r="O774" s="3503"/>
      <c r="P774" s="3503"/>
      <c r="Q774" s="3276"/>
      <c r="R774" s="3276"/>
    </row>
    <row r="775" spans="1:18">
      <c r="A775" s="3269">
        <v>772</v>
      </c>
      <c r="B775" s="3270">
        <v>2</v>
      </c>
      <c r="C775" s="3270">
        <v>1</v>
      </c>
      <c r="D775" s="3275">
        <v>1131</v>
      </c>
      <c r="E775" s="3276">
        <v>1</v>
      </c>
      <c r="F775" s="3276">
        <v>1</v>
      </c>
      <c r="G775" s="3276">
        <v>1</v>
      </c>
      <c r="H775" s="3275" t="s">
        <v>3332</v>
      </c>
      <c r="I775" s="3275" t="s">
        <v>3335</v>
      </c>
      <c r="J775" s="3269"/>
      <c r="K775" s="3269">
        <v>40.32</v>
      </c>
      <c r="L775" s="3276"/>
      <c r="M775" s="3276"/>
      <c r="N775" s="3501"/>
      <c r="O775" s="3503"/>
      <c r="P775" s="3503"/>
      <c r="Q775" s="3276"/>
      <c r="R775" s="3276"/>
    </row>
    <row r="776" spans="1:18">
      <c r="A776" s="3269">
        <v>773</v>
      </c>
      <c r="B776" s="3270">
        <v>2</v>
      </c>
      <c r="C776" s="3270">
        <v>1</v>
      </c>
      <c r="D776" s="3275">
        <v>1132</v>
      </c>
      <c r="E776" s="3276">
        <v>1</v>
      </c>
      <c r="F776" s="3276">
        <v>1</v>
      </c>
      <c r="G776" s="3276">
        <v>1</v>
      </c>
      <c r="H776" s="3275" t="s">
        <v>3332</v>
      </c>
      <c r="I776" s="3275" t="s">
        <v>3335</v>
      </c>
      <c r="J776" s="3269"/>
      <c r="K776" s="3269">
        <v>40.32</v>
      </c>
      <c r="L776" s="3276"/>
      <c r="M776" s="3276"/>
      <c r="N776" s="3501"/>
      <c r="O776" s="3503"/>
      <c r="P776" s="3503"/>
      <c r="Q776" s="3276"/>
      <c r="R776" s="3276"/>
    </row>
    <row r="777" spans="1:18">
      <c r="A777" s="3269">
        <v>774</v>
      </c>
      <c r="B777" s="3270">
        <v>2</v>
      </c>
      <c r="C777" s="3270">
        <v>1</v>
      </c>
      <c r="D777" s="3275">
        <v>1133</v>
      </c>
      <c r="E777" s="3276">
        <v>1</v>
      </c>
      <c r="F777" s="3276">
        <v>1</v>
      </c>
      <c r="G777" s="3276">
        <v>1</v>
      </c>
      <c r="H777" s="3275" t="s">
        <v>3332</v>
      </c>
      <c r="I777" s="3275" t="s">
        <v>3335</v>
      </c>
      <c r="J777" s="3269"/>
      <c r="K777" s="3269">
        <v>40.32</v>
      </c>
      <c r="L777" s="3276"/>
      <c r="M777" s="3276"/>
      <c r="N777" s="3501"/>
      <c r="O777" s="3503"/>
      <c r="P777" s="3503"/>
      <c r="Q777" s="3276"/>
      <c r="R777" s="3276"/>
    </row>
    <row r="778" spans="1:18">
      <c r="A778" s="3269">
        <v>775</v>
      </c>
      <c r="B778" s="3270">
        <v>2</v>
      </c>
      <c r="C778" s="3270">
        <v>1</v>
      </c>
      <c r="D778" s="3275">
        <v>1134</v>
      </c>
      <c r="E778" s="3276">
        <v>1</v>
      </c>
      <c r="F778" s="3276">
        <v>1</v>
      </c>
      <c r="G778" s="3276">
        <v>1</v>
      </c>
      <c r="H778" s="3275" t="s">
        <v>3332</v>
      </c>
      <c r="I778" s="3275" t="s">
        <v>3335</v>
      </c>
      <c r="J778" s="3269"/>
      <c r="K778" s="3269">
        <v>40.32</v>
      </c>
      <c r="L778" s="3276"/>
      <c r="M778" s="3276"/>
      <c r="N778" s="3501"/>
      <c r="O778" s="3503"/>
      <c r="P778" s="3503"/>
      <c r="Q778" s="3276"/>
      <c r="R778" s="3276"/>
    </row>
    <row r="779" spans="1:18">
      <c r="A779" s="3269">
        <v>776</v>
      </c>
      <c r="B779" s="3270">
        <v>2</v>
      </c>
      <c r="C779" s="3270">
        <v>1</v>
      </c>
      <c r="D779" s="3275">
        <v>1135</v>
      </c>
      <c r="E779" s="3276">
        <v>1</v>
      </c>
      <c r="F779" s="3276">
        <v>1</v>
      </c>
      <c r="G779" s="3276">
        <v>1</v>
      </c>
      <c r="H779" s="3275" t="s">
        <v>3332</v>
      </c>
      <c r="I779" s="3275" t="s">
        <v>3336</v>
      </c>
      <c r="J779" s="3269"/>
      <c r="K779" s="3269">
        <v>42.56</v>
      </c>
      <c r="L779" s="3276"/>
      <c r="M779" s="3276"/>
      <c r="N779" s="3501"/>
      <c r="O779" s="3503"/>
      <c r="P779" s="3503"/>
      <c r="Q779" s="3276"/>
      <c r="R779" s="3276"/>
    </row>
    <row r="780" spans="1:18">
      <c r="A780" s="3269">
        <v>777</v>
      </c>
      <c r="B780" s="3270">
        <v>2</v>
      </c>
      <c r="C780" s="3270">
        <v>1</v>
      </c>
      <c r="D780" s="3275">
        <v>1136</v>
      </c>
      <c r="E780" s="3276">
        <v>1</v>
      </c>
      <c r="F780" s="3276">
        <v>1</v>
      </c>
      <c r="G780" s="3276">
        <v>1</v>
      </c>
      <c r="H780" s="3275" t="s">
        <v>3312</v>
      </c>
      <c r="I780" s="3275" t="s">
        <v>3337</v>
      </c>
      <c r="J780" s="3269"/>
      <c r="K780" s="3269">
        <v>40.42</v>
      </c>
      <c r="L780" s="3276"/>
      <c r="M780" s="3276"/>
      <c r="N780" s="3501"/>
      <c r="O780" s="3503"/>
      <c r="P780" s="3503"/>
      <c r="Q780" s="3276"/>
      <c r="R780" s="3276"/>
    </row>
    <row r="781" spans="1:18">
      <c r="A781" s="3269">
        <v>778</v>
      </c>
      <c r="B781" s="3270">
        <v>2</v>
      </c>
      <c r="C781" s="3270">
        <v>1</v>
      </c>
      <c r="D781" s="3275">
        <v>1137</v>
      </c>
      <c r="E781" s="3276">
        <v>1</v>
      </c>
      <c r="F781" s="3276">
        <v>1</v>
      </c>
      <c r="G781" s="3276">
        <v>1</v>
      </c>
      <c r="H781" s="3275" t="s">
        <v>3312</v>
      </c>
      <c r="I781" s="3275" t="s">
        <v>3335</v>
      </c>
      <c r="J781" s="3269"/>
      <c r="K781" s="3269">
        <v>40.32</v>
      </c>
      <c r="L781" s="3276"/>
      <c r="M781" s="3276"/>
      <c r="N781" s="3501"/>
      <c r="O781" s="3503"/>
      <c r="P781" s="3503"/>
      <c r="Q781" s="3276"/>
      <c r="R781" s="3276"/>
    </row>
    <row r="782" spans="1:18">
      <c r="A782" s="3269">
        <v>779</v>
      </c>
      <c r="B782" s="3270">
        <v>2</v>
      </c>
      <c r="C782" s="3270">
        <v>1</v>
      </c>
      <c r="D782" s="3275">
        <v>1138</v>
      </c>
      <c r="E782" s="3276">
        <v>1</v>
      </c>
      <c r="F782" s="3276">
        <v>1</v>
      </c>
      <c r="G782" s="3276">
        <v>1</v>
      </c>
      <c r="H782" s="3275" t="s">
        <v>3312</v>
      </c>
      <c r="I782" s="3275" t="s">
        <v>3338</v>
      </c>
      <c r="J782" s="3269"/>
      <c r="K782" s="3269">
        <v>32.26</v>
      </c>
      <c r="L782" s="3276"/>
      <c r="M782" s="3276"/>
      <c r="N782" s="3501"/>
      <c r="O782" s="3503"/>
      <c r="P782" s="3503"/>
      <c r="Q782" s="3276"/>
      <c r="R782" s="3276"/>
    </row>
    <row r="783" spans="1:18" ht="14.25" thickBot="1">
      <c r="A783" s="3281">
        <v>780</v>
      </c>
      <c r="B783" s="3270">
        <v>2</v>
      </c>
      <c r="C783" s="3270">
        <v>1</v>
      </c>
      <c r="D783" s="3279">
        <v>1139</v>
      </c>
      <c r="E783" s="3284">
        <v>4</v>
      </c>
      <c r="F783" s="3280">
        <v>1</v>
      </c>
      <c r="G783" s="3280">
        <v>1</v>
      </c>
      <c r="H783" s="3279" t="s">
        <v>3316</v>
      </c>
      <c r="I783" s="3279" t="s">
        <v>3319</v>
      </c>
      <c r="J783" s="3281"/>
      <c r="K783" s="3282">
        <v>75.8</v>
      </c>
      <c r="L783" s="3280"/>
      <c r="M783" s="3280"/>
      <c r="N783" s="3502"/>
      <c r="O783" s="3504"/>
      <c r="P783" s="3504"/>
      <c r="Q783" s="3280"/>
      <c r="R783" s="3280"/>
    </row>
    <row r="784" spans="1:18" ht="14.25" thickTop="1">
      <c r="A784" s="3285">
        <v>781</v>
      </c>
      <c r="B784" s="3285">
        <v>3</v>
      </c>
      <c r="C784" s="3285">
        <v>1</v>
      </c>
      <c r="D784" s="3286">
        <v>201</v>
      </c>
      <c r="E784" s="3287">
        <v>4</v>
      </c>
      <c r="F784" s="3287">
        <v>1</v>
      </c>
      <c r="G784" s="3287">
        <v>1</v>
      </c>
      <c r="H784" s="3286" t="s">
        <v>3318</v>
      </c>
      <c r="I784" s="3286" t="s">
        <v>3339</v>
      </c>
      <c r="J784" s="3285"/>
      <c r="K784" s="3288">
        <v>76.66</v>
      </c>
      <c r="L784" s="3287"/>
      <c r="M784" s="3287"/>
      <c r="N784" s="3495">
        <v>2.9</v>
      </c>
      <c r="O784" s="3497" t="s">
        <v>3297</v>
      </c>
      <c r="P784" s="3497" t="s">
        <v>3298</v>
      </c>
      <c r="Q784" s="3287"/>
      <c r="R784" s="3287"/>
    </row>
    <row r="785" spans="1:18">
      <c r="A785" s="3289">
        <v>782</v>
      </c>
      <c r="B785" s="3289">
        <v>3</v>
      </c>
      <c r="C785" s="3289">
        <v>1</v>
      </c>
      <c r="D785" s="3290">
        <v>202</v>
      </c>
      <c r="E785" s="3291">
        <v>1</v>
      </c>
      <c r="F785" s="3291">
        <v>1</v>
      </c>
      <c r="G785" s="3291">
        <v>1</v>
      </c>
      <c r="H785" s="3290" t="s">
        <v>3300</v>
      </c>
      <c r="I785" s="3290" t="s">
        <v>3340</v>
      </c>
      <c r="J785" s="3289"/>
      <c r="K785" s="3289">
        <v>40.65</v>
      </c>
      <c r="L785" s="3291"/>
      <c r="M785" s="3291"/>
      <c r="N785" s="3496"/>
      <c r="O785" s="3496"/>
      <c r="P785" s="3496"/>
      <c r="Q785" s="3291"/>
      <c r="R785" s="3291"/>
    </row>
    <row r="786" spans="1:18">
      <c r="A786" s="3289">
        <v>783</v>
      </c>
      <c r="B786" s="3289">
        <v>3</v>
      </c>
      <c r="C786" s="3289">
        <v>1</v>
      </c>
      <c r="D786" s="3290">
        <v>203</v>
      </c>
      <c r="E786" s="3291">
        <v>1</v>
      </c>
      <c r="F786" s="3291">
        <v>1</v>
      </c>
      <c r="G786" s="3291">
        <v>1</v>
      </c>
      <c r="H786" s="3290" t="s">
        <v>3300</v>
      </c>
      <c r="I786" s="3290" t="s">
        <v>3326</v>
      </c>
      <c r="J786" s="3289"/>
      <c r="K786" s="3289">
        <v>40.32</v>
      </c>
      <c r="L786" s="3291"/>
      <c r="M786" s="3291"/>
      <c r="N786" s="3496"/>
      <c r="O786" s="3496"/>
      <c r="P786" s="3496"/>
      <c r="Q786" s="3291"/>
      <c r="R786" s="3291"/>
    </row>
    <row r="787" spans="1:18">
      <c r="A787" s="3289">
        <v>784</v>
      </c>
      <c r="B787" s="3289">
        <v>3</v>
      </c>
      <c r="C787" s="3289">
        <v>1</v>
      </c>
      <c r="D787" s="3290">
        <v>204</v>
      </c>
      <c r="E787" s="3291">
        <v>1</v>
      </c>
      <c r="F787" s="3291">
        <v>1</v>
      </c>
      <c r="G787" s="3291">
        <v>1</v>
      </c>
      <c r="H787" s="3290" t="s">
        <v>3300</v>
      </c>
      <c r="I787" s="3290" t="s">
        <v>3326</v>
      </c>
      <c r="J787" s="3289"/>
      <c r="K787" s="3289">
        <v>40.32</v>
      </c>
      <c r="L787" s="3291"/>
      <c r="M787" s="3291"/>
      <c r="N787" s="3496"/>
      <c r="O787" s="3496"/>
      <c r="P787" s="3496"/>
      <c r="Q787" s="3291"/>
      <c r="R787" s="3291"/>
    </row>
    <row r="788" spans="1:18">
      <c r="A788" s="3289">
        <v>785</v>
      </c>
      <c r="B788" s="3289">
        <v>3</v>
      </c>
      <c r="C788" s="3289">
        <v>1</v>
      </c>
      <c r="D788" s="3290">
        <v>205</v>
      </c>
      <c r="E788" s="3291">
        <v>1</v>
      </c>
      <c r="F788" s="3291">
        <v>1</v>
      </c>
      <c r="G788" s="3291">
        <v>1</v>
      </c>
      <c r="H788" s="3290" t="s">
        <v>3300</v>
      </c>
      <c r="I788" s="3290" t="s">
        <v>3326</v>
      </c>
      <c r="J788" s="3289"/>
      <c r="K788" s="3289">
        <v>40.32</v>
      </c>
      <c r="L788" s="3291"/>
      <c r="M788" s="3291"/>
      <c r="N788" s="3496"/>
      <c r="O788" s="3496"/>
      <c r="P788" s="3496"/>
      <c r="Q788" s="3291"/>
      <c r="R788" s="3291"/>
    </row>
    <row r="789" spans="1:18">
      <c r="A789" s="3289">
        <v>786</v>
      </c>
      <c r="B789" s="3289">
        <v>3</v>
      </c>
      <c r="C789" s="3289">
        <v>1</v>
      </c>
      <c r="D789" s="3290">
        <v>206</v>
      </c>
      <c r="E789" s="3291">
        <v>1</v>
      </c>
      <c r="F789" s="3291">
        <v>1</v>
      </c>
      <c r="G789" s="3291">
        <v>1</v>
      </c>
      <c r="H789" s="3290" t="s">
        <v>3300</v>
      </c>
      <c r="I789" s="3290" t="s">
        <v>3326</v>
      </c>
      <c r="J789" s="3289"/>
      <c r="K789" s="3289">
        <v>40.32</v>
      </c>
      <c r="L789" s="3291"/>
      <c r="M789" s="3291"/>
      <c r="N789" s="3496"/>
      <c r="O789" s="3496"/>
      <c r="P789" s="3496"/>
      <c r="Q789" s="3291"/>
      <c r="R789" s="3291"/>
    </row>
    <row r="790" spans="1:18">
      <c r="A790" s="3289">
        <v>787</v>
      </c>
      <c r="B790" s="3289">
        <v>3</v>
      </c>
      <c r="C790" s="3289">
        <v>1</v>
      </c>
      <c r="D790" s="3290">
        <v>207</v>
      </c>
      <c r="E790" s="3291">
        <v>1</v>
      </c>
      <c r="F790" s="3291">
        <v>1</v>
      </c>
      <c r="G790" s="3291">
        <v>1</v>
      </c>
      <c r="H790" s="3290" t="s">
        <v>3300</v>
      </c>
      <c r="I790" s="3290" t="s">
        <v>3326</v>
      </c>
      <c r="J790" s="3289"/>
      <c r="K790" s="3289">
        <v>40.32</v>
      </c>
      <c r="L790" s="3291"/>
      <c r="M790" s="3291"/>
      <c r="N790" s="3496"/>
      <c r="O790" s="3496"/>
      <c r="P790" s="3496"/>
      <c r="Q790" s="3291"/>
      <c r="R790" s="3291"/>
    </row>
    <row r="791" spans="1:18">
      <c r="A791" s="3289">
        <v>788</v>
      </c>
      <c r="B791" s="3289">
        <v>3</v>
      </c>
      <c r="C791" s="3289">
        <v>1</v>
      </c>
      <c r="D791" s="3290">
        <v>208</v>
      </c>
      <c r="E791" s="3291">
        <v>1</v>
      </c>
      <c r="F791" s="3291">
        <v>1</v>
      </c>
      <c r="G791" s="3291">
        <v>1</v>
      </c>
      <c r="H791" s="3290" t="s">
        <v>3300</v>
      </c>
      <c r="I791" s="3290" t="s">
        <v>3326</v>
      </c>
      <c r="J791" s="3289"/>
      <c r="K791" s="3289">
        <v>40.32</v>
      </c>
      <c r="L791" s="3291"/>
      <c r="M791" s="3291"/>
      <c r="N791" s="3496"/>
      <c r="O791" s="3496"/>
      <c r="P791" s="3496"/>
      <c r="Q791" s="3291"/>
      <c r="R791" s="3291"/>
    </row>
    <row r="792" spans="1:18">
      <c r="A792" s="3289">
        <v>789</v>
      </c>
      <c r="B792" s="3289">
        <v>3</v>
      </c>
      <c r="C792" s="3289">
        <v>1</v>
      </c>
      <c r="D792" s="3290">
        <v>209</v>
      </c>
      <c r="E792" s="3291">
        <v>1</v>
      </c>
      <c r="F792" s="3291">
        <v>1</v>
      </c>
      <c r="G792" s="3291">
        <v>1</v>
      </c>
      <c r="H792" s="3290" t="s">
        <v>3300</v>
      </c>
      <c r="I792" s="3290" t="s">
        <v>3326</v>
      </c>
      <c r="J792" s="3289"/>
      <c r="K792" s="3289">
        <v>40.32</v>
      </c>
      <c r="L792" s="3291"/>
      <c r="M792" s="3291"/>
      <c r="N792" s="3496"/>
      <c r="O792" s="3496"/>
      <c r="P792" s="3496"/>
      <c r="Q792" s="3291"/>
      <c r="R792" s="3291"/>
    </row>
    <row r="793" spans="1:18">
      <c r="A793" s="3289">
        <v>790</v>
      </c>
      <c r="B793" s="3289">
        <v>3</v>
      </c>
      <c r="C793" s="3289">
        <v>1</v>
      </c>
      <c r="D793" s="3290">
        <v>210</v>
      </c>
      <c r="E793" s="3291">
        <v>1</v>
      </c>
      <c r="F793" s="3291">
        <v>1</v>
      </c>
      <c r="G793" s="3291">
        <v>1</v>
      </c>
      <c r="H793" s="3290" t="s">
        <v>3300</v>
      </c>
      <c r="I793" s="3290" t="s">
        <v>3341</v>
      </c>
      <c r="J793" s="3289"/>
      <c r="K793" s="3289">
        <v>40.32</v>
      </c>
      <c r="L793" s="3291"/>
      <c r="M793" s="3291"/>
      <c r="N793" s="3496"/>
      <c r="O793" s="3496"/>
      <c r="P793" s="3496"/>
      <c r="Q793" s="3291"/>
      <c r="R793" s="3291"/>
    </row>
    <row r="794" spans="1:18">
      <c r="A794" s="3289">
        <v>791</v>
      </c>
      <c r="B794" s="3289">
        <v>3</v>
      </c>
      <c r="C794" s="3289">
        <v>1</v>
      </c>
      <c r="D794" s="3290">
        <v>211</v>
      </c>
      <c r="E794" s="3291">
        <v>1</v>
      </c>
      <c r="F794" s="3291">
        <v>0</v>
      </c>
      <c r="G794" s="3291">
        <v>1</v>
      </c>
      <c r="H794" s="3290" t="s">
        <v>3300</v>
      </c>
      <c r="I794" s="3290" t="s">
        <v>3330</v>
      </c>
      <c r="J794" s="3289"/>
      <c r="K794" s="3289">
        <v>31.54</v>
      </c>
      <c r="L794" s="3291"/>
      <c r="M794" s="3291"/>
      <c r="N794" s="3496"/>
      <c r="O794" s="3496"/>
      <c r="P794" s="3496"/>
      <c r="Q794" s="3291"/>
      <c r="R794" s="3291"/>
    </row>
    <row r="795" spans="1:18">
      <c r="A795" s="3289">
        <v>792</v>
      </c>
      <c r="B795" s="3289">
        <v>3</v>
      </c>
      <c r="C795" s="3289">
        <v>1</v>
      </c>
      <c r="D795" s="3290">
        <v>212</v>
      </c>
      <c r="E795" s="3291">
        <v>1</v>
      </c>
      <c r="F795" s="3291">
        <v>0</v>
      </c>
      <c r="G795" s="3291">
        <v>1</v>
      </c>
      <c r="H795" s="3290" t="s">
        <v>3302</v>
      </c>
      <c r="I795" s="3290" t="s">
        <v>3342</v>
      </c>
      <c r="J795" s="3290"/>
      <c r="K795" s="3289">
        <v>31.63</v>
      </c>
      <c r="L795" s="3291"/>
      <c r="M795" s="3291"/>
      <c r="N795" s="3496"/>
      <c r="O795" s="3496"/>
      <c r="P795" s="3496"/>
      <c r="Q795" s="3291"/>
      <c r="R795" s="3291"/>
    </row>
    <row r="796" spans="1:18">
      <c r="A796" s="3289">
        <v>793</v>
      </c>
      <c r="B796" s="3289">
        <v>3</v>
      </c>
      <c r="C796" s="3289">
        <v>1</v>
      </c>
      <c r="D796" s="3290">
        <v>213</v>
      </c>
      <c r="E796" s="3291">
        <v>1</v>
      </c>
      <c r="F796" s="3291">
        <v>0</v>
      </c>
      <c r="G796" s="3291">
        <v>1</v>
      </c>
      <c r="H796" s="3290" t="s">
        <v>3310</v>
      </c>
      <c r="I796" s="3290" t="s">
        <v>3342</v>
      </c>
      <c r="J796" s="3290"/>
      <c r="K796" s="3289">
        <v>31.63</v>
      </c>
      <c r="L796" s="3291"/>
      <c r="M796" s="3291"/>
      <c r="N796" s="3496"/>
      <c r="O796" s="3496"/>
      <c r="P796" s="3496"/>
      <c r="Q796" s="3291"/>
      <c r="R796" s="3291"/>
    </row>
    <row r="797" spans="1:18">
      <c r="A797" s="3289">
        <v>794</v>
      </c>
      <c r="B797" s="3289">
        <v>3</v>
      </c>
      <c r="C797" s="3289">
        <v>1</v>
      </c>
      <c r="D797" s="3290">
        <v>214</v>
      </c>
      <c r="E797" s="3291">
        <v>1</v>
      </c>
      <c r="F797" s="3291">
        <v>0</v>
      </c>
      <c r="G797" s="3291">
        <v>1</v>
      </c>
      <c r="H797" s="3290" t="s">
        <v>3312</v>
      </c>
      <c r="I797" s="3290" t="s">
        <v>3330</v>
      </c>
      <c r="J797" s="3290"/>
      <c r="K797" s="3289">
        <v>31.54</v>
      </c>
      <c r="L797" s="3291"/>
      <c r="M797" s="3291"/>
      <c r="N797" s="3496"/>
      <c r="O797" s="3496"/>
      <c r="P797" s="3496"/>
      <c r="Q797" s="3291"/>
      <c r="R797" s="3291"/>
    </row>
    <row r="798" spans="1:18">
      <c r="A798" s="3289">
        <v>795</v>
      </c>
      <c r="B798" s="3289">
        <v>3</v>
      </c>
      <c r="C798" s="3289">
        <v>1</v>
      </c>
      <c r="D798" s="3290">
        <v>215</v>
      </c>
      <c r="E798" s="3291">
        <v>1</v>
      </c>
      <c r="F798" s="3291">
        <v>0</v>
      </c>
      <c r="G798" s="3291">
        <v>1</v>
      </c>
      <c r="H798" s="3290" t="s">
        <v>3312</v>
      </c>
      <c r="I798" s="3290" t="s">
        <v>3343</v>
      </c>
      <c r="J798" s="3289"/>
      <c r="K798" s="3289">
        <v>31.8</v>
      </c>
      <c r="L798" s="3291"/>
      <c r="M798" s="3291"/>
      <c r="N798" s="3496"/>
      <c r="O798" s="3496"/>
      <c r="P798" s="3496"/>
      <c r="Q798" s="3291"/>
      <c r="R798" s="3291"/>
    </row>
    <row r="799" spans="1:18">
      <c r="A799" s="3289">
        <v>796</v>
      </c>
      <c r="B799" s="3289">
        <v>3</v>
      </c>
      <c r="C799" s="3289">
        <v>1</v>
      </c>
      <c r="D799" s="3290">
        <v>216</v>
      </c>
      <c r="E799" s="3291">
        <v>1</v>
      </c>
      <c r="F799" s="3291">
        <v>0</v>
      </c>
      <c r="G799" s="3291">
        <v>1</v>
      </c>
      <c r="H799" s="3290" t="s">
        <v>3312</v>
      </c>
      <c r="I799" s="3290" t="s">
        <v>3331</v>
      </c>
      <c r="J799" s="3289"/>
      <c r="K799" s="3289">
        <v>32.26</v>
      </c>
      <c r="L799" s="3291"/>
      <c r="M799" s="3291"/>
      <c r="N799" s="3496"/>
      <c r="O799" s="3496"/>
      <c r="P799" s="3496"/>
      <c r="Q799" s="3291"/>
      <c r="R799" s="3291"/>
    </row>
    <row r="800" spans="1:18">
      <c r="A800" s="3289">
        <v>797</v>
      </c>
      <c r="B800" s="3289">
        <v>3</v>
      </c>
      <c r="C800" s="3289">
        <v>1</v>
      </c>
      <c r="D800" s="3290">
        <v>217</v>
      </c>
      <c r="E800" s="3291">
        <v>1</v>
      </c>
      <c r="F800" s="3291">
        <v>1</v>
      </c>
      <c r="G800" s="3291">
        <v>1</v>
      </c>
      <c r="H800" s="3290" t="s">
        <v>3312</v>
      </c>
      <c r="I800" s="3290" t="s">
        <v>3326</v>
      </c>
      <c r="J800" s="3289"/>
      <c r="K800" s="3289">
        <v>40.32</v>
      </c>
      <c r="L800" s="3291"/>
      <c r="M800" s="3291"/>
      <c r="N800" s="3496"/>
      <c r="O800" s="3496"/>
      <c r="P800" s="3496"/>
      <c r="Q800" s="3291"/>
      <c r="R800" s="3291"/>
    </row>
    <row r="801" spans="1:18">
      <c r="A801" s="3289">
        <v>798</v>
      </c>
      <c r="B801" s="3289">
        <v>3</v>
      </c>
      <c r="C801" s="3289">
        <v>1</v>
      </c>
      <c r="D801" s="3290">
        <v>218</v>
      </c>
      <c r="E801" s="3291">
        <v>1</v>
      </c>
      <c r="F801" s="3291">
        <v>1</v>
      </c>
      <c r="G801" s="3291">
        <v>1</v>
      </c>
      <c r="H801" s="3290" t="s">
        <v>3312</v>
      </c>
      <c r="I801" s="3290" t="s">
        <v>3326</v>
      </c>
      <c r="J801" s="3289"/>
      <c r="K801" s="3289">
        <v>40.32</v>
      </c>
      <c r="L801" s="3291"/>
      <c r="M801" s="3291"/>
      <c r="N801" s="3496"/>
      <c r="O801" s="3496"/>
      <c r="P801" s="3496"/>
      <c r="Q801" s="3291"/>
      <c r="R801" s="3291"/>
    </row>
    <row r="802" spans="1:18">
      <c r="A802" s="3289">
        <v>799</v>
      </c>
      <c r="B802" s="3289">
        <v>3</v>
      </c>
      <c r="C802" s="3289">
        <v>1</v>
      </c>
      <c r="D802" s="3290">
        <v>219</v>
      </c>
      <c r="E802" s="3291">
        <v>1</v>
      </c>
      <c r="F802" s="3291">
        <v>1</v>
      </c>
      <c r="G802" s="3291">
        <v>1</v>
      </c>
      <c r="H802" s="3290" t="s">
        <v>3312</v>
      </c>
      <c r="I802" s="3290" t="s">
        <v>3326</v>
      </c>
      <c r="J802" s="3289"/>
      <c r="K802" s="3289">
        <v>40.32</v>
      </c>
      <c r="L802" s="3291"/>
      <c r="M802" s="3291"/>
      <c r="N802" s="3496"/>
      <c r="O802" s="3496"/>
      <c r="P802" s="3496"/>
      <c r="Q802" s="3291"/>
      <c r="R802" s="3291"/>
    </row>
    <row r="803" spans="1:18">
      <c r="A803" s="3289">
        <v>800</v>
      </c>
      <c r="B803" s="3289">
        <v>3</v>
      </c>
      <c r="C803" s="3289">
        <v>1</v>
      </c>
      <c r="D803" s="3290">
        <v>220</v>
      </c>
      <c r="E803" s="3291">
        <v>1</v>
      </c>
      <c r="F803" s="3291">
        <v>1</v>
      </c>
      <c r="G803" s="3291">
        <v>1</v>
      </c>
      <c r="H803" s="3290" t="s">
        <v>3312</v>
      </c>
      <c r="I803" s="3290" t="s">
        <v>3340</v>
      </c>
      <c r="J803" s="3289"/>
      <c r="K803" s="3289">
        <v>40.65</v>
      </c>
      <c r="L803" s="3291"/>
      <c r="M803" s="3291"/>
      <c r="N803" s="3496"/>
      <c r="O803" s="3496"/>
      <c r="P803" s="3496"/>
      <c r="Q803" s="3291"/>
      <c r="R803" s="3291"/>
    </row>
    <row r="804" spans="1:18" ht="14.25" thickBot="1">
      <c r="A804" s="3292">
        <v>801</v>
      </c>
      <c r="B804" s="3292">
        <v>3</v>
      </c>
      <c r="C804" s="3292">
        <v>1</v>
      </c>
      <c r="D804" s="3293">
        <v>221</v>
      </c>
      <c r="E804" s="3294">
        <v>4</v>
      </c>
      <c r="F804" s="3294">
        <v>1</v>
      </c>
      <c r="G804" s="3294">
        <v>1</v>
      </c>
      <c r="H804" s="3293" t="s">
        <v>3316</v>
      </c>
      <c r="I804" s="3293" t="s">
        <v>3339</v>
      </c>
      <c r="J804" s="3292"/>
      <c r="K804" s="3295">
        <v>76.66</v>
      </c>
      <c r="L804" s="3294"/>
      <c r="M804" s="3294"/>
      <c r="N804" s="3499"/>
      <c r="O804" s="3499"/>
      <c r="P804" s="3499"/>
      <c r="Q804" s="3294"/>
      <c r="R804" s="3294"/>
    </row>
    <row r="805" spans="1:18" ht="14.25" thickTop="1">
      <c r="A805" s="3296">
        <v>802</v>
      </c>
      <c r="B805" s="3285">
        <v>3</v>
      </c>
      <c r="C805" s="3285">
        <v>1</v>
      </c>
      <c r="D805" s="3286">
        <v>301</v>
      </c>
      <c r="E805" s="3287">
        <v>4</v>
      </c>
      <c r="F805" s="3287">
        <v>1</v>
      </c>
      <c r="G805" s="3287">
        <v>1</v>
      </c>
      <c r="H805" s="3286" t="s">
        <v>3318</v>
      </c>
      <c r="I805" s="3286" t="s">
        <v>3339</v>
      </c>
      <c r="J805" s="3285"/>
      <c r="K805" s="3288">
        <v>76.66</v>
      </c>
      <c r="L805" s="3287"/>
      <c r="M805" s="3287"/>
      <c r="N805" s="3495">
        <v>2.9</v>
      </c>
      <c r="O805" s="3497" t="s">
        <v>3297</v>
      </c>
      <c r="P805" s="3497" t="s">
        <v>3298</v>
      </c>
      <c r="Q805" s="3287"/>
      <c r="R805" s="3287"/>
    </row>
    <row r="806" spans="1:18">
      <c r="A806" s="3289">
        <v>803</v>
      </c>
      <c r="B806" s="3289">
        <v>3</v>
      </c>
      <c r="C806" s="3289">
        <v>1</v>
      </c>
      <c r="D806" s="3290">
        <v>302</v>
      </c>
      <c r="E806" s="3291">
        <v>1</v>
      </c>
      <c r="F806" s="3291">
        <v>1</v>
      </c>
      <c r="G806" s="3291">
        <v>1</v>
      </c>
      <c r="H806" s="3290" t="s">
        <v>3300</v>
      </c>
      <c r="I806" s="3290" t="s">
        <v>3340</v>
      </c>
      <c r="J806" s="3289"/>
      <c r="K806" s="3289">
        <v>40.65</v>
      </c>
      <c r="L806" s="3291"/>
      <c r="M806" s="3291"/>
      <c r="N806" s="3496"/>
      <c r="O806" s="3496"/>
      <c r="P806" s="3496"/>
      <c r="Q806" s="3291"/>
      <c r="R806" s="3291"/>
    </row>
    <row r="807" spans="1:18">
      <c r="A807" s="3289">
        <v>804</v>
      </c>
      <c r="B807" s="3289">
        <v>3</v>
      </c>
      <c r="C807" s="3289">
        <v>1</v>
      </c>
      <c r="D807" s="3290">
        <v>303</v>
      </c>
      <c r="E807" s="3291">
        <v>1</v>
      </c>
      <c r="F807" s="3291">
        <v>1</v>
      </c>
      <c r="G807" s="3291">
        <v>1</v>
      </c>
      <c r="H807" s="3290" t="s">
        <v>3300</v>
      </c>
      <c r="I807" s="3290" t="s">
        <v>3326</v>
      </c>
      <c r="J807" s="3289"/>
      <c r="K807" s="3289">
        <v>40.32</v>
      </c>
      <c r="L807" s="3291"/>
      <c r="M807" s="3291"/>
      <c r="N807" s="3496"/>
      <c r="O807" s="3496"/>
      <c r="P807" s="3496"/>
      <c r="Q807" s="3291"/>
      <c r="R807" s="3291"/>
    </row>
    <row r="808" spans="1:18">
      <c r="A808" s="3289">
        <v>805</v>
      </c>
      <c r="B808" s="3289">
        <v>3</v>
      </c>
      <c r="C808" s="3289">
        <v>1</v>
      </c>
      <c r="D808" s="3290">
        <v>304</v>
      </c>
      <c r="E808" s="3291">
        <v>1</v>
      </c>
      <c r="F808" s="3291">
        <v>1</v>
      </c>
      <c r="G808" s="3291">
        <v>1</v>
      </c>
      <c r="H808" s="3290" t="s">
        <v>3300</v>
      </c>
      <c r="I808" s="3290" t="s">
        <v>3326</v>
      </c>
      <c r="J808" s="3289"/>
      <c r="K808" s="3289">
        <v>40.32</v>
      </c>
      <c r="L808" s="3291"/>
      <c r="M808" s="3291"/>
      <c r="N808" s="3496"/>
      <c r="O808" s="3496"/>
      <c r="P808" s="3496"/>
      <c r="Q808" s="3291"/>
      <c r="R808" s="3291"/>
    </row>
    <row r="809" spans="1:18">
      <c r="A809" s="3289">
        <v>806</v>
      </c>
      <c r="B809" s="3289">
        <v>3</v>
      </c>
      <c r="C809" s="3289">
        <v>1</v>
      </c>
      <c r="D809" s="3290">
        <v>305</v>
      </c>
      <c r="E809" s="3291">
        <v>1</v>
      </c>
      <c r="F809" s="3291">
        <v>1</v>
      </c>
      <c r="G809" s="3291">
        <v>1</v>
      </c>
      <c r="H809" s="3290" t="s">
        <v>3300</v>
      </c>
      <c r="I809" s="3290" t="s">
        <v>3326</v>
      </c>
      <c r="J809" s="3289"/>
      <c r="K809" s="3289">
        <v>40.32</v>
      </c>
      <c r="L809" s="3291"/>
      <c r="M809" s="3291"/>
      <c r="N809" s="3496"/>
      <c r="O809" s="3496"/>
      <c r="P809" s="3496"/>
      <c r="Q809" s="3291"/>
      <c r="R809" s="3291"/>
    </row>
    <row r="810" spans="1:18">
      <c r="A810" s="3289">
        <v>807</v>
      </c>
      <c r="B810" s="3289">
        <v>3</v>
      </c>
      <c r="C810" s="3289">
        <v>1</v>
      </c>
      <c r="D810" s="3290">
        <v>306</v>
      </c>
      <c r="E810" s="3291">
        <v>1</v>
      </c>
      <c r="F810" s="3291">
        <v>1</v>
      </c>
      <c r="G810" s="3291">
        <v>1</v>
      </c>
      <c r="H810" s="3290" t="s">
        <v>3300</v>
      </c>
      <c r="I810" s="3290" t="s">
        <v>3326</v>
      </c>
      <c r="J810" s="3289"/>
      <c r="K810" s="3289">
        <v>40.32</v>
      </c>
      <c r="L810" s="3291"/>
      <c r="M810" s="3291"/>
      <c r="N810" s="3496"/>
      <c r="O810" s="3496"/>
      <c r="P810" s="3496"/>
      <c r="Q810" s="3291"/>
      <c r="R810" s="3291"/>
    </row>
    <row r="811" spans="1:18">
      <c r="A811" s="3289">
        <v>808</v>
      </c>
      <c r="B811" s="3289">
        <v>3</v>
      </c>
      <c r="C811" s="3289">
        <v>1</v>
      </c>
      <c r="D811" s="3290">
        <v>307</v>
      </c>
      <c r="E811" s="3291">
        <v>1</v>
      </c>
      <c r="F811" s="3291">
        <v>1</v>
      </c>
      <c r="G811" s="3291">
        <v>1</v>
      </c>
      <c r="H811" s="3290" t="s">
        <v>3300</v>
      </c>
      <c r="I811" s="3290" t="s">
        <v>3326</v>
      </c>
      <c r="J811" s="3289"/>
      <c r="K811" s="3289">
        <v>40.32</v>
      </c>
      <c r="L811" s="3291"/>
      <c r="M811" s="3291"/>
      <c r="N811" s="3496"/>
      <c r="O811" s="3496"/>
      <c r="P811" s="3496"/>
      <c r="Q811" s="3291"/>
      <c r="R811" s="3291"/>
    </row>
    <row r="812" spans="1:18">
      <c r="A812" s="3289">
        <v>809</v>
      </c>
      <c r="B812" s="3289">
        <v>3</v>
      </c>
      <c r="C812" s="3289">
        <v>1</v>
      </c>
      <c r="D812" s="3290">
        <v>308</v>
      </c>
      <c r="E812" s="3291">
        <v>1</v>
      </c>
      <c r="F812" s="3291">
        <v>1</v>
      </c>
      <c r="G812" s="3291">
        <v>1</v>
      </c>
      <c r="H812" s="3290" t="s">
        <v>3300</v>
      </c>
      <c r="I812" s="3290" t="s">
        <v>3326</v>
      </c>
      <c r="J812" s="3289"/>
      <c r="K812" s="3289">
        <v>40.32</v>
      </c>
      <c r="L812" s="3291"/>
      <c r="M812" s="3291"/>
      <c r="N812" s="3496"/>
      <c r="O812" s="3496"/>
      <c r="P812" s="3496"/>
      <c r="Q812" s="3291"/>
      <c r="R812" s="3291"/>
    </row>
    <row r="813" spans="1:18">
      <c r="A813" s="3289">
        <v>810</v>
      </c>
      <c r="B813" s="3289">
        <v>3</v>
      </c>
      <c r="C813" s="3289">
        <v>1</v>
      </c>
      <c r="D813" s="3290">
        <v>309</v>
      </c>
      <c r="E813" s="3291">
        <v>1</v>
      </c>
      <c r="F813" s="3291">
        <v>1</v>
      </c>
      <c r="G813" s="3291">
        <v>1</v>
      </c>
      <c r="H813" s="3290" t="s">
        <v>3300</v>
      </c>
      <c r="I813" s="3290" t="s">
        <v>3326</v>
      </c>
      <c r="J813" s="3289"/>
      <c r="K813" s="3289">
        <v>40.32</v>
      </c>
      <c r="L813" s="3291"/>
      <c r="M813" s="3291"/>
      <c r="N813" s="3496"/>
      <c r="O813" s="3496"/>
      <c r="P813" s="3496"/>
      <c r="Q813" s="3291"/>
      <c r="R813" s="3291"/>
    </row>
    <row r="814" spans="1:18">
      <c r="A814" s="3289">
        <v>811</v>
      </c>
      <c r="B814" s="3289">
        <v>3</v>
      </c>
      <c r="C814" s="3289">
        <v>1</v>
      </c>
      <c r="D814" s="3290">
        <v>310</v>
      </c>
      <c r="E814" s="3291">
        <v>1</v>
      </c>
      <c r="F814" s="3291">
        <v>1</v>
      </c>
      <c r="G814" s="3291">
        <v>1</v>
      </c>
      <c r="H814" s="3290" t="s">
        <v>3300</v>
      </c>
      <c r="I814" s="3290" t="s">
        <v>3341</v>
      </c>
      <c r="J814" s="3289"/>
      <c r="K814" s="3289">
        <v>40.32</v>
      </c>
      <c r="L814" s="3291"/>
      <c r="M814" s="3291"/>
      <c r="N814" s="3496"/>
      <c r="O814" s="3496"/>
      <c r="P814" s="3496"/>
      <c r="Q814" s="3291"/>
      <c r="R814" s="3291"/>
    </row>
    <row r="815" spans="1:18">
      <c r="A815" s="3289">
        <v>812</v>
      </c>
      <c r="B815" s="3289">
        <v>3</v>
      </c>
      <c r="C815" s="3289">
        <v>1</v>
      </c>
      <c r="D815" s="3290">
        <v>311</v>
      </c>
      <c r="E815" s="3291">
        <v>1</v>
      </c>
      <c r="F815" s="3291">
        <v>0</v>
      </c>
      <c r="G815" s="3291">
        <v>1</v>
      </c>
      <c r="H815" s="3290" t="s">
        <v>3300</v>
      </c>
      <c r="I815" s="3290" t="s">
        <v>3330</v>
      </c>
      <c r="J815" s="3289"/>
      <c r="K815" s="3289">
        <v>31.54</v>
      </c>
      <c r="L815" s="3291"/>
      <c r="M815" s="3291"/>
      <c r="N815" s="3496"/>
      <c r="O815" s="3496"/>
      <c r="P815" s="3496"/>
      <c r="Q815" s="3291"/>
      <c r="R815" s="3291"/>
    </row>
    <row r="816" spans="1:18">
      <c r="A816" s="3289">
        <v>813</v>
      </c>
      <c r="B816" s="3289">
        <v>3</v>
      </c>
      <c r="C816" s="3289">
        <v>1</v>
      </c>
      <c r="D816" s="3290">
        <v>312</v>
      </c>
      <c r="E816" s="3291">
        <v>1</v>
      </c>
      <c r="F816" s="3291">
        <v>0</v>
      </c>
      <c r="G816" s="3291">
        <v>1</v>
      </c>
      <c r="H816" s="3290" t="s">
        <v>3302</v>
      </c>
      <c r="I816" s="3290" t="s">
        <v>3342</v>
      </c>
      <c r="J816" s="3290"/>
      <c r="K816" s="3289">
        <v>31.63</v>
      </c>
      <c r="L816" s="3291"/>
      <c r="M816" s="3291"/>
      <c r="N816" s="3496"/>
      <c r="O816" s="3496"/>
      <c r="P816" s="3496"/>
      <c r="Q816" s="3291"/>
      <c r="R816" s="3291"/>
    </row>
    <row r="817" spans="1:18">
      <c r="A817" s="3289">
        <v>814</v>
      </c>
      <c r="B817" s="3289">
        <v>3</v>
      </c>
      <c r="C817" s="3289">
        <v>1</v>
      </c>
      <c r="D817" s="3290">
        <v>313</v>
      </c>
      <c r="E817" s="3291">
        <v>1</v>
      </c>
      <c r="F817" s="3291">
        <v>0</v>
      </c>
      <c r="G817" s="3291">
        <v>1</v>
      </c>
      <c r="H817" s="3290" t="s">
        <v>3310</v>
      </c>
      <c r="I817" s="3290" t="s">
        <v>3342</v>
      </c>
      <c r="J817" s="3290"/>
      <c r="K817" s="3289">
        <v>31.63</v>
      </c>
      <c r="L817" s="3291"/>
      <c r="M817" s="3291"/>
      <c r="N817" s="3496"/>
      <c r="O817" s="3496"/>
      <c r="P817" s="3496"/>
      <c r="Q817" s="3291"/>
      <c r="R817" s="3291"/>
    </row>
    <row r="818" spans="1:18">
      <c r="A818" s="3289">
        <v>815</v>
      </c>
      <c r="B818" s="3289">
        <v>3</v>
      </c>
      <c r="C818" s="3289">
        <v>1</v>
      </c>
      <c r="D818" s="3290">
        <v>314</v>
      </c>
      <c r="E818" s="3291">
        <v>1</v>
      </c>
      <c r="F818" s="3291">
        <v>0</v>
      </c>
      <c r="G818" s="3291">
        <v>1</v>
      </c>
      <c r="H818" s="3290" t="s">
        <v>3312</v>
      </c>
      <c r="I818" s="3290" t="s">
        <v>3330</v>
      </c>
      <c r="J818" s="3290"/>
      <c r="K818" s="3289">
        <v>31.54</v>
      </c>
      <c r="L818" s="3291"/>
      <c r="M818" s="3291"/>
      <c r="N818" s="3496"/>
      <c r="O818" s="3496"/>
      <c r="P818" s="3496"/>
      <c r="Q818" s="3291"/>
      <c r="R818" s="3291"/>
    </row>
    <row r="819" spans="1:18">
      <c r="A819" s="3289">
        <v>816</v>
      </c>
      <c r="B819" s="3289">
        <v>3</v>
      </c>
      <c r="C819" s="3289">
        <v>1</v>
      </c>
      <c r="D819" s="3290">
        <v>315</v>
      </c>
      <c r="E819" s="3291">
        <v>1</v>
      </c>
      <c r="F819" s="3291">
        <v>0</v>
      </c>
      <c r="G819" s="3291">
        <v>1</v>
      </c>
      <c r="H819" s="3290" t="s">
        <v>3312</v>
      </c>
      <c r="I819" s="3290" t="s">
        <v>3343</v>
      </c>
      <c r="J819" s="3289"/>
      <c r="K819" s="3289">
        <v>31.8</v>
      </c>
      <c r="L819" s="3291"/>
      <c r="M819" s="3291"/>
      <c r="N819" s="3496"/>
      <c r="O819" s="3496"/>
      <c r="P819" s="3496"/>
      <c r="Q819" s="3291"/>
      <c r="R819" s="3291"/>
    </row>
    <row r="820" spans="1:18">
      <c r="A820" s="3289">
        <v>817</v>
      </c>
      <c r="B820" s="3289">
        <v>3</v>
      </c>
      <c r="C820" s="3289">
        <v>1</v>
      </c>
      <c r="D820" s="3290">
        <v>316</v>
      </c>
      <c r="E820" s="3291">
        <v>1</v>
      </c>
      <c r="F820" s="3291">
        <v>0</v>
      </c>
      <c r="G820" s="3291">
        <v>1</v>
      </c>
      <c r="H820" s="3290" t="s">
        <v>3312</v>
      </c>
      <c r="I820" s="3290" t="s">
        <v>3331</v>
      </c>
      <c r="J820" s="3289"/>
      <c r="K820" s="3289">
        <v>32.26</v>
      </c>
      <c r="L820" s="3291"/>
      <c r="M820" s="3291"/>
      <c r="N820" s="3496"/>
      <c r="O820" s="3496"/>
      <c r="P820" s="3496"/>
      <c r="Q820" s="3291"/>
      <c r="R820" s="3291"/>
    </row>
    <row r="821" spans="1:18">
      <c r="A821" s="3289">
        <v>818</v>
      </c>
      <c r="B821" s="3289">
        <v>3</v>
      </c>
      <c r="C821" s="3289">
        <v>1</v>
      </c>
      <c r="D821" s="3290">
        <v>317</v>
      </c>
      <c r="E821" s="3291">
        <v>1</v>
      </c>
      <c r="F821" s="3291">
        <v>1</v>
      </c>
      <c r="G821" s="3291">
        <v>1</v>
      </c>
      <c r="H821" s="3290" t="s">
        <v>3312</v>
      </c>
      <c r="I821" s="3290" t="s">
        <v>3326</v>
      </c>
      <c r="J821" s="3289"/>
      <c r="K821" s="3289">
        <v>40.32</v>
      </c>
      <c r="L821" s="3291"/>
      <c r="M821" s="3291"/>
      <c r="N821" s="3496"/>
      <c r="O821" s="3496"/>
      <c r="P821" s="3496"/>
      <c r="Q821" s="3291"/>
      <c r="R821" s="3291"/>
    </row>
    <row r="822" spans="1:18">
      <c r="A822" s="3289">
        <v>819</v>
      </c>
      <c r="B822" s="3289">
        <v>3</v>
      </c>
      <c r="C822" s="3289">
        <v>1</v>
      </c>
      <c r="D822" s="3290">
        <v>318</v>
      </c>
      <c r="E822" s="3291">
        <v>1</v>
      </c>
      <c r="F822" s="3291">
        <v>1</v>
      </c>
      <c r="G822" s="3291">
        <v>1</v>
      </c>
      <c r="H822" s="3290" t="s">
        <v>3312</v>
      </c>
      <c r="I822" s="3290" t="s">
        <v>3326</v>
      </c>
      <c r="J822" s="3289"/>
      <c r="K822" s="3289">
        <v>40.32</v>
      </c>
      <c r="L822" s="3291"/>
      <c r="M822" s="3291"/>
      <c r="N822" s="3496"/>
      <c r="O822" s="3496"/>
      <c r="P822" s="3496"/>
      <c r="Q822" s="3291"/>
      <c r="R822" s="3291"/>
    </row>
    <row r="823" spans="1:18">
      <c r="A823" s="3289">
        <v>820</v>
      </c>
      <c r="B823" s="3289">
        <v>3</v>
      </c>
      <c r="C823" s="3289">
        <v>1</v>
      </c>
      <c r="D823" s="3290">
        <v>319</v>
      </c>
      <c r="E823" s="3291">
        <v>1</v>
      </c>
      <c r="F823" s="3291">
        <v>1</v>
      </c>
      <c r="G823" s="3291">
        <v>1</v>
      </c>
      <c r="H823" s="3290" t="s">
        <v>3312</v>
      </c>
      <c r="I823" s="3290" t="s">
        <v>3326</v>
      </c>
      <c r="J823" s="3289"/>
      <c r="K823" s="3289">
        <v>40.32</v>
      </c>
      <c r="L823" s="3291"/>
      <c r="M823" s="3291"/>
      <c r="N823" s="3496"/>
      <c r="O823" s="3496"/>
      <c r="P823" s="3496"/>
      <c r="Q823" s="3291"/>
      <c r="R823" s="3291"/>
    </row>
    <row r="824" spans="1:18">
      <c r="A824" s="3289">
        <v>821</v>
      </c>
      <c r="B824" s="3289">
        <v>3</v>
      </c>
      <c r="C824" s="3289">
        <v>1</v>
      </c>
      <c r="D824" s="3290">
        <v>320</v>
      </c>
      <c r="E824" s="3291">
        <v>1</v>
      </c>
      <c r="F824" s="3291">
        <v>1</v>
      </c>
      <c r="G824" s="3291">
        <v>1</v>
      </c>
      <c r="H824" s="3290" t="s">
        <v>3312</v>
      </c>
      <c r="I824" s="3290" t="s">
        <v>3340</v>
      </c>
      <c r="J824" s="3289"/>
      <c r="K824" s="3289">
        <v>40.65</v>
      </c>
      <c r="L824" s="3291"/>
      <c r="M824" s="3291"/>
      <c r="N824" s="3496"/>
      <c r="O824" s="3496"/>
      <c r="P824" s="3496"/>
      <c r="Q824" s="3291"/>
      <c r="R824" s="3291"/>
    </row>
    <row r="825" spans="1:18" ht="14.25" thickBot="1">
      <c r="A825" s="3289">
        <v>822</v>
      </c>
      <c r="B825" s="3292">
        <v>3</v>
      </c>
      <c r="C825" s="3292">
        <v>1</v>
      </c>
      <c r="D825" s="3297">
        <v>321</v>
      </c>
      <c r="E825" s="3294">
        <v>4</v>
      </c>
      <c r="F825" s="3294">
        <v>1</v>
      </c>
      <c r="G825" s="3294">
        <v>1</v>
      </c>
      <c r="H825" s="3293" t="s">
        <v>3316</v>
      </c>
      <c r="I825" s="3293" t="s">
        <v>3339</v>
      </c>
      <c r="J825" s="3292"/>
      <c r="K825" s="3295">
        <v>76.66</v>
      </c>
      <c r="L825" s="3294"/>
      <c r="M825" s="3294"/>
      <c r="N825" s="3499"/>
      <c r="O825" s="3499"/>
      <c r="P825" s="3499"/>
      <c r="Q825" s="3294"/>
      <c r="R825" s="3294"/>
    </row>
    <row r="826" spans="1:18" ht="14.25" thickTop="1">
      <c r="A826" s="3289">
        <v>823</v>
      </c>
      <c r="B826" s="3285">
        <v>3</v>
      </c>
      <c r="C826" s="3285">
        <v>1</v>
      </c>
      <c r="D826" s="3286">
        <v>401</v>
      </c>
      <c r="E826" s="3287">
        <v>4</v>
      </c>
      <c r="F826" s="3287">
        <v>1</v>
      </c>
      <c r="G826" s="3287">
        <v>1</v>
      </c>
      <c r="H826" s="3286" t="s">
        <v>3318</v>
      </c>
      <c r="I826" s="3286" t="s">
        <v>3339</v>
      </c>
      <c r="J826" s="3285"/>
      <c r="K826" s="3288">
        <v>76.66</v>
      </c>
      <c r="L826" s="3287"/>
      <c r="M826" s="3287"/>
      <c r="N826" s="3495">
        <v>2.9</v>
      </c>
      <c r="O826" s="3497" t="s">
        <v>3297</v>
      </c>
      <c r="P826" s="3497" t="s">
        <v>3298</v>
      </c>
      <c r="Q826" s="3287"/>
      <c r="R826" s="3287"/>
    </row>
    <row r="827" spans="1:18">
      <c r="A827" s="3289">
        <v>824</v>
      </c>
      <c r="B827" s="3289">
        <v>3</v>
      </c>
      <c r="C827" s="3289">
        <v>1</v>
      </c>
      <c r="D827" s="3290">
        <v>402</v>
      </c>
      <c r="E827" s="3291">
        <v>1</v>
      </c>
      <c r="F827" s="3291">
        <v>1</v>
      </c>
      <c r="G827" s="3291">
        <v>1</v>
      </c>
      <c r="H827" s="3290" t="s">
        <v>3300</v>
      </c>
      <c r="I827" s="3290" t="s">
        <v>3340</v>
      </c>
      <c r="J827" s="3289"/>
      <c r="K827" s="3289">
        <v>40.65</v>
      </c>
      <c r="L827" s="3291"/>
      <c r="M827" s="3291"/>
      <c r="N827" s="3496"/>
      <c r="O827" s="3496"/>
      <c r="P827" s="3496"/>
      <c r="Q827" s="3291"/>
      <c r="R827" s="3291"/>
    </row>
    <row r="828" spans="1:18">
      <c r="A828" s="3289">
        <v>825</v>
      </c>
      <c r="B828" s="3289">
        <v>3</v>
      </c>
      <c r="C828" s="3289">
        <v>1</v>
      </c>
      <c r="D828" s="3290">
        <v>403</v>
      </c>
      <c r="E828" s="3291">
        <v>1</v>
      </c>
      <c r="F828" s="3291">
        <v>1</v>
      </c>
      <c r="G828" s="3291">
        <v>1</v>
      </c>
      <c r="H828" s="3290" t="s">
        <v>3300</v>
      </c>
      <c r="I828" s="3290" t="s">
        <v>3326</v>
      </c>
      <c r="J828" s="3289"/>
      <c r="K828" s="3289">
        <v>40.32</v>
      </c>
      <c r="L828" s="3291"/>
      <c r="M828" s="3291"/>
      <c r="N828" s="3496"/>
      <c r="O828" s="3496"/>
      <c r="P828" s="3496"/>
      <c r="Q828" s="3291"/>
      <c r="R828" s="3291"/>
    </row>
    <row r="829" spans="1:18">
      <c r="A829" s="3289">
        <v>826</v>
      </c>
      <c r="B829" s="3289">
        <v>3</v>
      </c>
      <c r="C829" s="3289">
        <v>1</v>
      </c>
      <c r="D829" s="3290">
        <v>404</v>
      </c>
      <c r="E829" s="3291">
        <v>1</v>
      </c>
      <c r="F829" s="3291">
        <v>1</v>
      </c>
      <c r="G829" s="3291">
        <v>1</v>
      </c>
      <c r="H829" s="3290" t="s">
        <v>3300</v>
      </c>
      <c r="I829" s="3290" t="s">
        <v>3326</v>
      </c>
      <c r="J829" s="3289"/>
      <c r="K829" s="3289">
        <v>40.32</v>
      </c>
      <c r="L829" s="3291"/>
      <c r="M829" s="3291"/>
      <c r="N829" s="3496"/>
      <c r="O829" s="3496"/>
      <c r="P829" s="3496"/>
      <c r="Q829" s="3291"/>
      <c r="R829" s="3291"/>
    </row>
    <row r="830" spans="1:18">
      <c r="A830" s="3289">
        <v>827</v>
      </c>
      <c r="B830" s="3289">
        <v>3</v>
      </c>
      <c r="C830" s="3289">
        <v>1</v>
      </c>
      <c r="D830" s="3290">
        <v>405</v>
      </c>
      <c r="E830" s="3291">
        <v>1</v>
      </c>
      <c r="F830" s="3291">
        <v>1</v>
      </c>
      <c r="G830" s="3291">
        <v>1</v>
      </c>
      <c r="H830" s="3290" t="s">
        <v>3300</v>
      </c>
      <c r="I830" s="3290" t="s">
        <v>3326</v>
      </c>
      <c r="J830" s="3289"/>
      <c r="K830" s="3289">
        <v>40.32</v>
      </c>
      <c r="L830" s="3291"/>
      <c r="M830" s="3291"/>
      <c r="N830" s="3496"/>
      <c r="O830" s="3496"/>
      <c r="P830" s="3496"/>
      <c r="Q830" s="3291"/>
      <c r="R830" s="3291"/>
    </row>
    <row r="831" spans="1:18">
      <c r="A831" s="3289">
        <v>828</v>
      </c>
      <c r="B831" s="3289">
        <v>3</v>
      </c>
      <c r="C831" s="3289">
        <v>1</v>
      </c>
      <c r="D831" s="3290">
        <v>406</v>
      </c>
      <c r="E831" s="3291">
        <v>1</v>
      </c>
      <c r="F831" s="3291">
        <v>1</v>
      </c>
      <c r="G831" s="3291">
        <v>1</v>
      </c>
      <c r="H831" s="3290" t="s">
        <v>3300</v>
      </c>
      <c r="I831" s="3290" t="s">
        <v>3326</v>
      </c>
      <c r="J831" s="3289"/>
      <c r="K831" s="3289">
        <v>40.32</v>
      </c>
      <c r="L831" s="3291"/>
      <c r="M831" s="3291"/>
      <c r="N831" s="3496"/>
      <c r="O831" s="3496"/>
      <c r="P831" s="3496"/>
      <c r="Q831" s="3291"/>
      <c r="R831" s="3291"/>
    </row>
    <row r="832" spans="1:18">
      <c r="A832" s="3289">
        <v>829</v>
      </c>
      <c r="B832" s="3289">
        <v>3</v>
      </c>
      <c r="C832" s="3289">
        <v>1</v>
      </c>
      <c r="D832" s="3290">
        <v>407</v>
      </c>
      <c r="E832" s="3291">
        <v>1</v>
      </c>
      <c r="F832" s="3291">
        <v>1</v>
      </c>
      <c r="G832" s="3291">
        <v>1</v>
      </c>
      <c r="H832" s="3290" t="s">
        <v>3300</v>
      </c>
      <c r="I832" s="3290" t="s">
        <v>3326</v>
      </c>
      <c r="J832" s="3289"/>
      <c r="K832" s="3289">
        <v>40.32</v>
      </c>
      <c r="L832" s="3291"/>
      <c r="M832" s="3291"/>
      <c r="N832" s="3496"/>
      <c r="O832" s="3496"/>
      <c r="P832" s="3496"/>
      <c r="Q832" s="3291"/>
      <c r="R832" s="3291"/>
    </row>
    <row r="833" spans="1:18">
      <c r="A833" s="3289">
        <v>830</v>
      </c>
      <c r="B833" s="3289">
        <v>3</v>
      </c>
      <c r="C833" s="3289">
        <v>1</v>
      </c>
      <c r="D833" s="3290">
        <v>408</v>
      </c>
      <c r="E833" s="3291">
        <v>1</v>
      </c>
      <c r="F833" s="3291">
        <v>1</v>
      </c>
      <c r="G833" s="3291">
        <v>1</v>
      </c>
      <c r="H833" s="3290" t="s">
        <v>3300</v>
      </c>
      <c r="I833" s="3290" t="s">
        <v>3326</v>
      </c>
      <c r="J833" s="3289"/>
      <c r="K833" s="3289">
        <v>40.32</v>
      </c>
      <c r="L833" s="3291"/>
      <c r="M833" s="3291"/>
      <c r="N833" s="3496"/>
      <c r="O833" s="3496"/>
      <c r="P833" s="3496"/>
      <c r="Q833" s="3291"/>
      <c r="R833" s="3291"/>
    </row>
    <row r="834" spans="1:18">
      <c r="A834" s="3289">
        <v>831</v>
      </c>
      <c r="B834" s="3289">
        <v>3</v>
      </c>
      <c r="C834" s="3289">
        <v>1</v>
      </c>
      <c r="D834" s="3290">
        <v>409</v>
      </c>
      <c r="E834" s="3291">
        <v>1</v>
      </c>
      <c r="F834" s="3291">
        <v>1</v>
      </c>
      <c r="G834" s="3291">
        <v>1</v>
      </c>
      <c r="H834" s="3290" t="s">
        <v>3300</v>
      </c>
      <c r="I834" s="3290" t="s">
        <v>3326</v>
      </c>
      <c r="J834" s="3289"/>
      <c r="K834" s="3289">
        <v>40.32</v>
      </c>
      <c r="L834" s="3291"/>
      <c r="M834" s="3291"/>
      <c r="N834" s="3496"/>
      <c r="O834" s="3496"/>
      <c r="P834" s="3496"/>
      <c r="Q834" s="3291"/>
      <c r="R834" s="3291"/>
    </row>
    <row r="835" spans="1:18">
      <c r="A835" s="3289">
        <v>832</v>
      </c>
      <c r="B835" s="3289">
        <v>3</v>
      </c>
      <c r="C835" s="3289">
        <v>1</v>
      </c>
      <c r="D835" s="3290">
        <v>410</v>
      </c>
      <c r="E835" s="3291">
        <v>1</v>
      </c>
      <c r="F835" s="3291">
        <v>1</v>
      </c>
      <c r="G835" s="3291">
        <v>1</v>
      </c>
      <c r="H835" s="3290" t="s">
        <v>3300</v>
      </c>
      <c r="I835" s="3290" t="s">
        <v>3341</v>
      </c>
      <c r="J835" s="3289"/>
      <c r="K835" s="3289">
        <v>40.32</v>
      </c>
      <c r="L835" s="3291"/>
      <c r="M835" s="3291"/>
      <c r="N835" s="3496"/>
      <c r="O835" s="3496"/>
      <c r="P835" s="3496"/>
      <c r="Q835" s="3291"/>
      <c r="R835" s="3291"/>
    </row>
    <row r="836" spans="1:18">
      <c r="A836" s="3289">
        <v>833</v>
      </c>
      <c r="B836" s="3289">
        <v>3</v>
      </c>
      <c r="C836" s="3289">
        <v>1</v>
      </c>
      <c r="D836" s="3290">
        <v>411</v>
      </c>
      <c r="E836" s="3291">
        <v>1</v>
      </c>
      <c r="F836" s="3291">
        <v>0</v>
      </c>
      <c r="G836" s="3291">
        <v>1</v>
      </c>
      <c r="H836" s="3290" t="s">
        <v>3300</v>
      </c>
      <c r="I836" s="3290" t="s">
        <v>3330</v>
      </c>
      <c r="J836" s="3289"/>
      <c r="K836" s="3289">
        <v>31.54</v>
      </c>
      <c r="L836" s="3291"/>
      <c r="M836" s="3291"/>
      <c r="N836" s="3496"/>
      <c r="O836" s="3496"/>
      <c r="P836" s="3496"/>
      <c r="Q836" s="3291"/>
      <c r="R836" s="3291"/>
    </row>
    <row r="837" spans="1:18">
      <c r="A837" s="3289">
        <v>834</v>
      </c>
      <c r="B837" s="3289">
        <v>3</v>
      </c>
      <c r="C837" s="3289">
        <v>1</v>
      </c>
      <c r="D837" s="3290">
        <v>412</v>
      </c>
      <c r="E837" s="3291">
        <v>1</v>
      </c>
      <c r="F837" s="3291">
        <v>0</v>
      </c>
      <c r="G837" s="3291">
        <v>1</v>
      </c>
      <c r="H837" s="3290" t="s">
        <v>3302</v>
      </c>
      <c r="I837" s="3290" t="s">
        <v>3342</v>
      </c>
      <c r="J837" s="3290"/>
      <c r="K837" s="3289">
        <v>31.63</v>
      </c>
      <c r="L837" s="3291"/>
      <c r="M837" s="3291"/>
      <c r="N837" s="3496"/>
      <c r="O837" s="3496"/>
      <c r="P837" s="3496"/>
      <c r="Q837" s="3291"/>
      <c r="R837" s="3291"/>
    </row>
    <row r="838" spans="1:18">
      <c r="A838" s="3289">
        <v>835</v>
      </c>
      <c r="B838" s="3289">
        <v>3</v>
      </c>
      <c r="C838" s="3289">
        <v>1</v>
      </c>
      <c r="D838" s="3290">
        <v>413</v>
      </c>
      <c r="E838" s="3291">
        <v>1</v>
      </c>
      <c r="F838" s="3291">
        <v>0</v>
      </c>
      <c r="G838" s="3291">
        <v>1</v>
      </c>
      <c r="H838" s="3290" t="s">
        <v>3310</v>
      </c>
      <c r="I838" s="3290" t="s">
        <v>3342</v>
      </c>
      <c r="J838" s="3290"/>
      <c r="K838" s="3289">
        <v>31.63</v>
      </c>
      <c r="L838" s="3291"/>
      <c r="M838" s="3291"/>
      <c r="N838" s="3496"/>
      <c r="O838" s="3496"/>
      <c r="P838" s="3496"/>
      <c r="Q838" s="3291"/>
      <c r="R838" s="3291"/>
    </row>
    <row r="839" spans="1:18">
      <c r="A839" s="3289">
        <v>836</v>
      </c>
      <c r="B839" s="3289">
        <v>3</v>
      </c>
      <c r="C839" s="3289">
        <v>1</v>
      </c>
      <c r="D839" s="3290">
        <v>414</v>
      </c>
      <c r="E839" s="3291">
        <v>1</v>
      </c>
      <c r="F839" s="3291">
        <v>0</v>
      </c>
      <c r="G839" s="3291">
        <v>1</v>
      </c>
      <c r="H839" s="3290" t="s">
        <v>3312</v>
      </c>
      <c r="I839" s="3290" t="s">
        <v>3330</v>
      </c>
      <c r="J839" s="3290"/>
      <c r="K839" s="3289">
        <v>31.54</v>
      </c>
      <c r="L839" s="3291"/>
      <c r="M839" s="3291"/>
      <c r="N839" s="3496"/>
      <c r="O839" s="3496"/>
      <c r="P839" s="3496"/>
      <c r="Q839" s="3291"/>
      <c r="R839" s="3291"/>
    </row>
    <row r="840" spans="1:18">
      <c r="A840" s="3289">
        <v>837</v>
      </c>
      <c r="B840" s="3289">
        <v>3</v>
      </c>
      <c r="C840" s="3289">
        <v>1</v>
      </c>
      <c r="D840" s="3290">
        <v>415</v>
      </c>
      <c r="E840" s="3291">
        <v>1</v>
      </c>
      <c r="F840" s="3291">
        <v>0</v>
      </c>
      <c r="G840" s="3291">
        <v>1</v>
      </c>
      <c r="H840" s="3290" t="s">
        <v>3312</v>
      </c>
      <c r="I840" s="3290" t="s">
        <v>3343</v>
      </c>
      <c r="J840" s="3289"/>
      <c r="K840" s="3289">
        <v>31.8</v>
      </c>
      <c r="L840" s="3291"/>
      <c r="M840" s="3291"/>
      <c r="N840" s="3496"/>
      <c r="O840" s="3496"/>
      <c r="P840" s="3496"/>
      <c r="Q840" s="3291"/>
      <c r="R840" s="3291"/>
    </row>
    <row r="841" spans="1:18">
      <c r="A841" s="3289">
        <v>838</v>
      </c>
      <c r="B841" s="3289">
        <v>3</v>
      </c>
      <c r="C841" s="3289">
        <v>1</v>
      </c>
      <c r="D841" s="3290">
        <v>416</v>
      </c>
      <c r="E841" s="3291">
        <v>1</v>
      </c>
      <c r="F841" s="3291">
        <v>0</v>
      </c>
      <c r="G841" s="3291">
        <v>1</v>
      </c>
      <c r="H841" s="3290" t="s">
        <v>3312</v>
      </c>
      <c r="I841" s="3290" t="s">
        <v>3331</v>
      </c>
      <c r="J841" s="3289"/>
      <c r="K841" s="3289">
        <v>32.26</v>
      </c>
      <c r="L841" s="3291"/>
      <c r="M841" s="3291"/>
      <c r="N841" s="3496"/>
      <c r="O841" s="3496"/>
      <c r="P841" s="3496"/>
      <c r="Q841" s="3291"/>
      <c r="R841" s="3291"/>
    </row>
    <row r="842" spans="1:18">
      <c r="A842" s="3289">
        <v>839</v>
      </c>
      <c r="B842" s="3289">
        <v>3</v>
      </c>
      <c r="C842" s="3289">
        <v>1</v>
      </c>
      <c r="D842" s="3290">
        <v>417</v>
      </c>
      <c r="E842" s="3291">
        <v>1</v>
      </c>
      <c r="F842" s="3291">
        <v>1</v>
      </c>
      <c r="G842" s="3291">
        <v>1</v>
      </c>
      <c r="H842" s="3290" t="s">
        <v>3312</v>
      </c>
      <c r="I842" s="3290" t="s">
        <v>3326</v>
      </c>
      <c r="J842" s="3289"/>
      <c r="K842" s="3289">
        <v>40.32</v>
      </c>
      <c r="L842" s="3291"/>
      <c r="M842" s="3291"/>
      <c r="N842" s="3496"/>
      <c r="O842" s="3496"/>
      <c r="P842" s="3496"/>
      <c r="Q842" s="3291"/>
      <c r="R842" s="3291"/>
    </row>
    <row r="843" spans="1:18">
      <c r="A843" s="3289">
        <v>840</v>
      </c>
      <c r="B843" s="3289">
        <v>3</v>
      </c>
      <c r="C843" s="3289">
        <v>1</v>
      </c>
      <c r="D843" s="3290">
        <v>418</v>
      </c>
      <c r="E843" s="3291">
        <v>1</v>
      </c>
      <c r="F843" s="3291">
        <v>1</v>
      </c>
      <c r="G843" s="3291">
        <v>1</v>
      </c>
      <c r="H843" s="3290" t="s">
        <v>3312</v>
      </c>
      <c r="I843" s="3290" t="s">
        <v>3326</v>
      </c>
      <c r="J843" s="3289"/>
      <c r="K843" s="3289">
        <v>40.32</v>
      </c>
      <c r="L843" s="3291"/>
      <c r="M843" s="3291"/>
      <c r="N843" s="3496"/>
      <c r="O843" s="3496"/>
      <c r="P843" s="3496"/>
      <c r="Q843" s="3291"/>
      <c r="R843" s="3291"/>
    </row>
    <row r="844" spans="1:18">
      <c r="A844" s="3289">
        <v>841</v>
      </c>
      <c r="B844" s="3289">
        <v>3</v>
      </c>
      <c r="C844" s="3289">
        <v>1</v>
      </c>
      <c r="D844" s="3290">
        <v>419</v>
      </c>
      <c r="E844" s="3291">
        <v>1</v>
      </c>
      <c r="F844" s="3291">
        <v>1</v>
      </c>
      <c r="G844" s="3291">
        <v>1</v>
      </c>
      <c r="H844" s="3290" t="s">
        <v>3312</v>
      </c>
      <c r="I844" s="3290" t="s">
        <v>3326</v>
      </c>
      <c r="J844" s="3289"/>
      <c r="K844" s="3289">
        <v>40.32</v>
      </c>
      <c r="L844" s="3291"/>
      <c r="M844" s="3291"/>
      <c r="N844" s="3496"/>
      <c r="O844" s="3496"/>
      <c r="P844" s="3496"/>
      <c r="Q844" s="3291"/>
      <c r="R844" s="3291"/>
    </row>
    <row r="845" spans="1:18">
      <c r="A845" s="3289">
        <v>842</v>
      </c>
      <c r="B845" s="3289">
        <v>3</v>
      </c>
      <c r="C845" s="3289">
        <v>1</v>
      </c>
      <c r="D845" s="3290">
        <v>420</v>
      </c>
      <c r="E845" s="3291">
        <v>1</v>
      </c>
      <c r="F845" s="3291">
        <v>1</v>
      </c>
      <c r="G845" s="3291">
        <v>1</v>
      </c>
      <c r="H845" s="3290" t="s">
        <v>3312</v>
      </c>
      <c r="I845" s="3290" t="s">
        <v>3340</v>
      </c>
      <c r="J845" s="3289"/>
      <c r="K845" s="3289">
        <v>40.65</v>
      </c>
      <c r="L845" s="3291"/>
      <c r="M845" s="3291"/>
      <c r="N845" s="3496"/>
      <c r="O845" s="3496"/>
      <c r="P845" s="3496"/>
      <c r="Q845" s="3291"/>
      <c r="R845" s="3291"/>
    </row>
    <row r="846" spans="1:18" ht="14.25" thickBot="1">
      <c r="A846" s="3289">
        <v>843</v>
      </c>
      <c r="B846" s="3292">
        <v>3</v>
      </c>
      <c r="C846" s="3292">
        <v>1</v>
      </c>
      <c r="D846" s="3297">
        <v>421</v>
      </c>
      <c r="E846" s="3294">
        <v>4</v>
      </c>
      <c r="F846" s="3294">
        <v>1</v>
      </c>
      <c r="G846" s="3294">
        <v>1</v>
      </c>
      <c r="H846" s="3293" t="s">
        <v>3316</v>
      </c>
      <c r="I846" s="3293" t="s">
        <v>3339</v>
      </c>
      <c r="J846" s="3292"/>
      <c r="K846" s="3295">
        <v>76.66</v>
      </c>
      <c r="L846" s="3294"/>
      <c r="M846" s="3294"/>
      <c r="N846" s="3499"/>
      <c r="O846" s="3499"/>
      <c r="P846" s="3499"/>
      <c r="Q846" s="3294"/>
      <c r="R846" s="3294"/>
    </row>
    <row r="847" spans="1:18" ht="14.25" thickTop="1">
      <c r="A847" s="3289">
        <v>844</v>
      </c>
      <c r="B847" s="3285">
        <v>3</v>
      </c>
      <c r="C847" s="3285">
        <v>1</v>
      </c>
      <c r="D847" s="3286">
        <v>501</v>
      </c>
      <c r="E847" s="3287">
        <v>4</v>
      </c>
      <c r="F847" s="3287">
        <v>1</v>
      </c>
      <c r="G847" s="3287">
        <v>1</v>
      </c>
      <c r="H847" s="3286" t="s">
        <v>3318</v>
      </c>
      <c r="I847" s="3286" t="s">
        <v>3339</v>
      </c>
      <c r="J847" s="3285"/>
      <c r="K847" s="3288">
        <v>76.66</v>
      </c>
      <c r="L847" s="3287"/>
      <c r="M847" s="3287"/>
      <c r="N847" s="3495">
        <v>2.9</v>
      </c>
      <c r="O847" s="3497" t="s">
        <v>3297</v>
      </c>
      <c r="P847" s="3497" t="s">
        <v>3298</v>
      </c>
      <c r="Q847" s="3287"/>
      <c r="R847" s="3287"/>
    </row>
    <row r="848" spans="1:18">
      <c r="A848" s="3289">
        <v>845</v>
      </c>
      <c r="B848" s="3289">
        <v>3</v>
      </c>
      <c r="C848" s="3289">
        <v>1</v>
      </c>
      <c r="D848" s="3290">
        <v>502</v>
      </c>
      <c r="E848" s="3291">
        <v>1</v>
      </c>
      <c r="F848" s="3291">
        <v>1</v>
      </c>
      <c r="G848" s="3291">
        <v>1</v>
      </c>
      <c r="H848" s="3290" t="s">
        <v>3300</v>
      </c>
      <c r="I848" s="3290" t="s">
        <v>3340</v>
      </c>
      <c r="J848" s="3289"/>
      <c r="K848" s="3289">
        <v>40.65</v>
      </c>
      <c r="L848" s="3291"/>
      <c r="M848" s="3291"/>
      <c r="N848" s="3496"/>
      <c r="O848" s="3496"/>
      <c r="P848" s="3496"/>
      <c r="Q848" s="3291"/>
      <c r="R848" s="3291"/>
    </row>
    <row r="849" spans="1:18">
      <c r="A849" s="3289">
        <v>846</v>
      </c>
      <c r="B849" s="3289">
        <v>3</v>
      </c>
      <c r="C849" s="3289">
        <v>1</v>
      </c>
      <c r="D849" s="3290">
        <v>503</v>
      </c>
      <c r="E849" s="3291">
        <v>1</v>
      </c>
      <c r="F849" s="3291">
        <v>1</v>
      </c>
      <c r="G849" s="3291">
        <v>1</v>
      </c>
      <c r="H849" s="3290" t="s">
        <v>3300</v>
      </c>
      <c r="I849" s="3290" t="s">
        <v>3326</v>
      </c>
      <c r="J849" s="3289"/>
      <c r="K849" s="3289">
        <v>40.32</v>
      </c>
      <c r="L849" s="3291"/>
      <c r="M849" s="3291"/>
      <c r="N849" s="3496"/>
      <c r="O849" s="3496"/>
      <c r="P849" s="3496"/>
      <c r="Q849" s="3291"/>
      <c r="R849" s="3291"/>
    </row>
    <row r="850" spans="1:18">
      <c r="A850" s="3289">
        <v>847</v>
      </c>
      <c r="B850" s="3289">
        <v>3</v>
      </c>
      <c r="C850" s="3289">
        <v>1</v>
      </c>
      <c r="D850" s="3290">
        <v>504</v>
      </c>
      <c r="E850" s="3291">
        <v>1</v>
      </c>
      <c r="F850" s="3291">
        <v>1</v>
      </c>
      <c r="G850" s="3291">
        <v>1</v>
      </c>
      <c r="H850" s="3290" t="s">
        <v>3300</v>
      </c>
      <c r="I850" s="3290" t="s">
        <v>3326</v>
      </c>
      <c r="J850" s="3289"/>
      <c r="K850" s="3289">
        <v>40.32</v>
      </c>
      <c r="L850" s="3291"/>
      <c r="M850" s="3291"/>
      <c r="N850" s="3496"/>
      <c r="O850" s="3496"/>
      <c r="P850" s="3496"/>
      <c r="Q850" s="3291"/>
      <c r="R850" s="3291"/>
    </row>
    <row r="851" spans="1:18">
      <c r="A851" s="3289">
        <v>848</v>
      </c>
      <c r="B851" s="3289">
        <v>3</v>
      </c>
      <c r="C851" s="3289">
        <v>1</v>
      </c>
      <c r="D851" s="3290">
        <v>505</v>
      </c>
      <c r="E851" s="3291">
        <v>1</v>
      </c>
      <c r="F851" s="3291">
        <v>1</v>
      </c>
      <c r="G851" s="3291">
        <v>1</v>
      </c>
      <c r="H851" s="3290" t="s">
        <v>3300</v>
      </c>
      <c r="I851" s="3290" t="s">
        <v>3326</v>
      </c>
      <c r="J851" s="3289"/>
      <c r="K851" s="3289">
        <v>40.32</v>
      </c>
      <c r="L851" s="3291"/>
      <c r="M851" s="3291"/>
      <c r="N851" s="3496"/>
      <c r="O851" s="3496"/>
      <c r="P851" s="3496"/>
      <c r="Q851" s="3291"/>
      <c r="R851" s="3291"/>
    </row>
    <row r="852" spans="1:18">
      <c r="A852" s="3289">
        <v>849</v>
      </c>
      <c r="B852" s="3289">
        <v>3</v>
      </c>
      <c r="C852" s="3289">
        <v>1</v>
      </c>
      <c r="D852" s="3290">
        <v>506</v>
      </c>
      <c r="E852" s="3291">
        <v>1</v>
      </c>
      <c r="F852" s="3291">
        <v>1</v>
      </c>
      <c r="G852" s="3291">
        <v>1</v>
      </c>
      <c r="H852" s="3290" t="s">
        <v>3300</v>
      </c>
      <c r="I852" s="3290" t="s">
        <v>3326</v>
      </c>
      <c r="J852" s="3289"/>
      <c r="K852" s="3289">
        <v>40.32</v>
      </c>
      <c r="L852" s="3291"/>
      <c r="M852" s="3291"/>
      <c r="N852" s="3496"/>
      <c r="O852" s="3496"/>
      <c r="P852" s="3496"/>
      <c r="Q852" s="3291"/>
      <c r="R852" s="3291"/>
    </row>
    <row r="853" spans="1:18">
      <c r="A853" s="3289">
        <v>850</v>
      </c>
      <c r="B853" s="3289">
        <v>3</v>
      </c>
      <c r="C853" s="3289">
        <v>1</v>
      </c>
      <c r="D853" s="3290">
        <v>507</v>
      </c>
      <c r="E853" s="3291">
        <v>1</v>
      </c>
      <c r="F853" s="3291">
        <v>1</v>
      </c>
      <c r="G853" s="3291">
        <v>1</v>
      </c>
      <c r="H853" s="3290" t="s">
        <v>3300</v>
      </c>
      <c r="I853" s="3290" t="s">
        <v>3326</v>
      </c>
      <c r="J853" s="3289"/>
      <c r="K853" s="3289">
        <v>40.32</v>
      </c>
      <c r="L853" s="3291"/>
      <c r="M853" s="3291"/>
      <c r="N853" s="3496"/>
      <c r="O853" s="3496"/>
      <c r="P853" s="3496"/>
      <c r="Q853" s="3291"/>
      <c r="R853" s="3291"/>
    </row>
    <row r="854" spans="1:18">
      <c r="A854" s="3289">
        <v>851</v>
      </c>
      <c r="B854" s="3289">
        <v>3</v>
      </c>
      <c r="C854" s="3289">
        <v>1</v>
      </c>
      <c r="D854" s="3290">
        <v>508</v>
      </c>
      <c r="E854" s="3291">
        <v>1</v>
      </c>
      <c r="F854" s="3291">
        <v>1</v>
      </c>
      <c r="G854" s="3291">
        <v>1</v>
      </c>
      <c r="H854" s="3290" t="s">
        <v>3300</v>
      </c>
      <c r="I854" s="3290" t="s">
        <v>3326</v>
      </c>
      <c r="J854" s="3289"/>
      <c r="K854" s="3289">
        <v>40.32</v>
      </c>
      <c r="L854" s="3291"/>
      <c r="M854" s="3291"/>
      <c r="N854" s="3496"/>
      <c r="O854" s="3496"/>
      <c r="P854" s="3496"/>
      <c r="Q854" s="3291"/>
      <c r="R854" s="3291"/>
    </row>
    <row r="855" spans="1:18">
      <c r="A855" s="3289">
        <v>852</v>
      </c>
      <c r="B855" s="3289">
        <v>3</v>
      </c>
      <c r="C855" s="3289">
        <v>1</v>
      </c>
      <c r="D855" s="3290">
        <v>509</v>
      </c>
      <c r="E855" s="3291">
        <v>1</v>
      </c>
      <c r="F855" s="3291">
        <v>1</v>
      </c>
      <c r="G855" s="3291">
        <v>1</v>
      </c>
      <c r="H855" s="3290" t="s">
        <v>3300</v>
      </c>
      <c r="I855" s="3290" t="s">
        <v>3326</v>
      </c>
      <c r="J855" s="3289"/>
      <c r="K855" s="3289">
        <v>40.32</v>
      </c>
      <c r="L855" s="3291"/>
      <c r="M855" s="3291"/>
      <c r="N855" s="3496"/>
      <c r="O855" s="3496"/>
      <c r="P855" s="3496"/>
      <c r="Q855" s="3291"/>
      <c r="R855" s="3291"/>
    </row>
    <row r="856" spans="1:18">
      <c r="A856" s="3289">
        <v>853</v>
      </c>
      <c r="B856" s="3289">
        <v>3</v>
      </c>
      <c r="C856" s="3289">
        <v>1</v>
      </c>
      <c r="D856" s="3290">
        <v>510</v>
      </c>
      <c r="E856" s="3291">
        <v>1</v>
      </c>
      <c r="F856" s="3291">
        <v>1</v>
      </c>
      <c r="G856" s="3291">
        <v>1</v>
      </c>
      <c r="H856" s="3290" t="s">
        <v>3300</v>
      </c>
      <c r="I856" s="3290" t="s">
        <v>3341</v>
      </c>
      <c r="J856" s="3289"/>
      <c r="K856" s="3289">
        <v>40.32</v>
      </c>
      <c r="L856" s="3291"/>
      <c r="M856" s="3291"/>
      <c r="N856" s="3496"/>
      <c r="O856" s="3496"/>
      <c r="P856" s="3496"/>
      <c r="Q856" s="3291"/>
      <c r="R856" s="3291"/>
    </row>
    <row r="857" spans="1:18">
      <c r="A857" s="3289">
        <v>854</v>
      </c>
      <c r="B857" s="3289">
        <v>3</v>
      </c>
      <c r="C857" s="3289">
        <v>1</v>
      </c>
      <c r="D857" s="3290">
        <v>511</v>
      </c>
      <c r="E857" s="3291">
        <v>1</v>
      </c>
      <c r="F857" s="3291">
        <v>0</v>
      </c>
      <c r="G857" s="3291">
        <v>1</v>
      </c>
      <c r="H857" s="3290" t="s">
        <v>3300</v>
      </c>
      <c r="I857" s="3290" t="s">
        <v>3330</v>
      </c>
      <c r="J857" s="3289"/>
      <c r="K857" s="3289">
        <v>31.54</v>
      </c>
      <c r="L857" s="3291"/>
      <c r="M857" s="3291"/>
      <c r="N857" s="3496"/>
      <c r="O857" s="3496"/>
      <c r="P857" s="3496"/>
      <c r="Q857" s="3291"/>
      <c r="R857" s="3291"/>
    </row>
    <row r="858" spans="1:18">
      <c r="A858" s="3289">
        <v>855</v>
      </c>
      <c r="B858" s="3289">
        <v>3</v>
      </c>
      <c r="C858" s="3289">
        <v>1</v>
      </c>
      <c r="D858" s="3290">
        <v>512</v>
      </c>
      <c r="E858" s="3291">
        <v>1</v>
      </c>
      <c r="F858" s="3291">
        <v>0</v>
      </c>
      <c r="G858" s="3291">
        <v>1</v>
      </c>
      <c r="H858" s="3290" t="s">
        <v>3302</v>
      </c>
      <c r="I858" s="3290" t="s">
        <v>3342</v>
      </c>
      <c r="J858" s="3290"/>
      <c r="K858" s="3289">
        <v>31.63</v>
      </c>
      <c r="L858" s="3291"/>
      <c r="M858" s="3291"/>
      <c r="N858" s="3496"/>
      <c r="O858" s="3496"/>
      <c r="P858" s="3496"/>
      <c r="Q858" s="3291"/>
      <c r="R858" s="3291"/>
    </row>
    <row r="859" spans="1:18">
      <c r="A859" s="3289">
        <v>856</v>
      </c>
      <c r="B859" s="3289">
        <v>3</v>
      </c>
      <c r="C859" s="3289">
        <v>1</v>
      </c>
      <c r="D859" s="3290">
        <v>513</v>
      </c>
      <c r="E859" s="3291">
        <v>1</v>
      </c>
      <c r="F859" s="3291">
        <v>0</v>
      </c>
      <c r="G859" s="3291">
        <v>1</v>
      </c>
      <c r="H859" s="3290" t="s">
        <v>3310</v>
      </c>
      <c r="I859" s="3290" t="s">
        <v>3342</v>
      </c>
      <c r="J859" s="3290"/>
      <c r="K859" s="3289">
        <v>31.63</v>
      </c>
      <c r="L859" s="3291"/>
      <c r="M859" s="3291"/>
      <c r="N859" s="3496"/>
      <c r="O859" s="3496"/>
      <c r="P859" s="3496"/>
      <c r="Q859" s="3291"/>
      <c r="R859" s="3291"/>
    </row>
    <row r="860" spans="1:18">
      <c r="A860" s="3289">
        <v>857</v>
      </c>
      <c r="B860" s="3289">
        <v>3</v>
      </c>
      <c r="C860" s="3289">
        <v>1</v>
      </c>
      <c r="D860" s="3290">
        <v>514</v>
      </c>
      <c r="E860" s="3291">
        <v>1</v>
      </c>
      <c r="F860" s="3291">
        <v>0</v>
      </c>
      <c r="G860" s="3291">
        <v>1</v>
      </c>
      <c r="H860" s="3290" t="s">
        <v>3312</v>
      </c>
      <c r="I860" s="3290" t="s">
        <v>3330</v>
      </c>
      <c r="J860" s="3290"/>
      <c r="K860" s="3289">
        <v>31.54</v>
      </c>
      <c r="L860" s="3291"/>
      <c r="M860" s="3291"/>
      <c r="N860" s="3496"/>
      <c r="O860" s="3496"/>
      <c r="P860" s="3496"/>
      <c r="Q860" s="3291"/>
      <c r="R860" s="3291"/>
    </row>
    <row r="861" spans="1:18">
      <c r="A861" s="3289">
        <v>858</v>
      </c>
      <c r="B861" s="3289">
        <v>3</v>
      </c>
      <c r="C861" s="3289">
        <v>1</v>
      </c>
      <c r="D861" s="3290">
        <v>515</v>
      </c>
      <c r="E861" s="3291">
        <v>1</v>
      </c>
      <c r="F861" s="3291">
        <v>0</v>
      </c>
      <c r="G861" s="3291">
        <v>1</v>
      </c>
      <c r="H861" s="3290" t="s">
        <v>3312</v>
      </c>
      <c r="I861" s="3290" t="s">
        <v>3343</v>
      </c>
      <c r="J861" s="3289"/>
      <c r="K861" s="3289">
        <v>31.8</v>
      </c>
      <c r="L861" s="3291"/>
      <c r="M861" s="3291"/>
      <c r="N861" s="3496"/>
      <c r="O861" s="3496"/>
      <c r="P861" s="3496"/>
      <c r="Q861" s="3291"/>
      <c r="R861" s="3291"/>
    </row>
    <row r="862" spans="1:18">
      <c r="A862" s="3289">
        <v>859</v>
      </c>
      <c r="B862" s="3289">
        <v>3</v>
      </c>
      <c r="C862" s="3289">
        <v>1</v>
      </c>
      <c r="D862" s="3290">
        <v>516</v>
      </c>
      <c r="E862" s="3291">
        <v>1</v>
      </c>
      <c r="F862" s="3291">
        <v>0</v>
      </c>
      <c r="G862" s="3291">
        <v>1</v>
      </c>
      <c r="H862" s="3290" t="s">
        <v>3312</v>
      </c>
      <c r="I862" s="3290" t="s">
        <v>3331</v>
      </c>
      <c r="J862" s="3289"/>
      <c r="K862" s="3289">
        <v>32.26</v>
      </c>
      <c r="L862" s="3291"/>
      <c r="M862" s="3291"/>
      <c r="N862" s="3496"/>
      <c r="O862" s="3496"/>
      <c r="P862" s="3496"/>
      <c r="Q862" s="3291"/>
      <c r="R862" s="3291"/>
    </row>
    <row r="863" spans="1:18">
      <c r="A863" s="3289">
        <v>860</v>
      </c>
      <c r="B863" s="3289">
        <v>3</v>
      </c>
      <c r="C863" s="3289">
        <v>1</v>
      </c>
      <c r="D863" s="3290">
        <v>517</v>
      </c>
      <c r="E863" s="3291">
        <v>1</v>
      </c>
      <c r="F863" s="3291">
        <v>1</v>
      </c>
      <c r="G863" s="3291">
        <v>1</v>
      </c>
      <c r="H863" s="3290" t="s">
        <v>3312</v>
      </c>
      <c r="I863" s="3290" t="s">
        <v>3326</v>
      </c>
      <c r="J863" s="3289"/>
      <c r="K863" s="3289">
        <v>40.32</v>
      </c>
      <c r="L863" s="3291"/>
      <c r="M863" s="3291"/>
      <c r="N863" s="3496"/>
      <c r="O863" s="3496"/>
      <c r="P863" s="3496"/>
      <c r="Q863" s="3291"/>
      <c r="R863" s="3291"/>
    </row>
    <row r="864" spans="1:18">
      <c r="A864" s="3289">
        <v>861</v>
      </c>
      <c r="B864" s="3289">
        <v>3</v>
      </c>
      <c r="C864" s="3289">
        <v>1</v>
      </c>
      <c r="D864" s="3290">
        <v>518</v>
      </c>
      <c r="E864" s="3291">
        <v>1</v>
      </c>
      <c r="F864" s="3291">
        <v>1</v>
      </c>
      <c r="G864" s="3291">
        <v>1</v>
      </c>
      <c r="H864" s="3290" t="s">
        <v>3312</v>
      </c>
      <c r="I864" s="3290" t="s">
        <v>3326</v>
      </c>
      <c r="J864" s="3289"/>
      <c r="K864" s="3289">
        <v>40.32</v>
      </c>
      <c r="L864" s="3291"/>
      <c r="M864" s="3291"/>
      <c r="N864" s="3496"/>
      <c r="O864" s="3496"/>
      <c r="P864" s="3496"/>
      <c r="Q864" s="3291"/>
      <c r="R864" s="3291"/>
    </row>
    <row r="865" spans="1:18">
      <c r="A865" s="3289">
        <v>862</v>
      </c>
      <c r="B865" s="3289">
        <v>3</v>
      </c>
      <c r="C865" s="3289">
        <v>1</v>
      </c>
      <c r="D865" s="3290">
        <v>519</v>
      </c>
      <c r="E865" s="3291">
        <v>1</v>
      </c>
      <c r="F865" s="3291">
        <v>1</v>
      </c>
      <c r="G865" s="3291">
        <v>1</v>
      </c>
      <c r="H865" s="3290" t="s">
        <v>3312</v>
      </c>
      <c r="I865" s="3290" t="s">
        <v>3326</v>
      </c>
      <c r="J865" s="3289"/>
      <c r="K865" s="3289">
        <v>40.32</v>
      </c>
      <c r="L865" s="3291"/>
      <c r="M865" s="3291"/>
      <c r="N865" s="3496"/>
      <c r="O865" s="3496"/>
      <c r="P865" s="3496"/>
      <c r="Q865" s="3291"/>
      <c r="R865" s="3291"/>
    </row>
    <row r="866" spans="1:18">
      <c r="A866" s="3289">
        <v>863</v>
      </c>
      <c r="B866" s="3289">
        <v>3</v>
      </c>
      <c r="C866" s="3289">
        <v>1</v>
      </c>
      <c r="D866" s="3290">
        <v>520</v>
      </c>
      <c r="E866" s="3291">
        <v>1</v>
      </c>
      <c r="F866" s="3291">
        <v>1</v>
      </c>
      <c r="G866" s="3291">
        <v>1</v>
      </c>
      <c r="H866" s="3290" t="s">
        <v>3312</v>
      </c>
      <c r="I866" s="3290" t="s">
        <v>3340</v>
      </c>
      <c r="J866" s="3289"/>
      <c r="K866" s="3289">
        <v>40.65</v>
      </c>
      <c r="L866" s="3291"/>
      <c r="M866" s="3291"/>
      <c r="N866" s="3496"/>
      <c r="O866" s="3496"/>
      <c r="P866" s="3496"/>
      <c r="Q866" s="3291"/>
      <c r="R866" s="3291"/>
    </row>
    <row r="867" spans="1:18" ht="14.25" thickBot="1">
      <c r="A867" s="3289">
        <v>864</v>
      </c>
      <c r="B867" s="3292">
        <v>3</v>
      </c>
      <c r="C867" s="3292">
        <v>1</v>
      </c>
      <c r="D867" s="3293">
        <v>521</v>
      </c>
      <c r="E867" s="3294">
        <v>4</v>
      </c>
      <c r="F867" s="3294">
        <v>1</v>
      </c>
      <c r="G867" s="3294">
        <v>1</v>
      </c>
      <c r="H867" s="3293" t="s">
        <v>3316</v>
      </c>
      <c r="I867" s="3293" t="s">
        <v>3339</v>
      </c>
      <c r="J867" s="3292"/>
      <c r="K867" s="3295">
        <v>76.66</v>
      </c>
      <c r="L867" s="3294"/>
      <c r="M867" s="3294"/>
      <c r="N867" s="3499"/>
      <c r="O867" s="3499"/>
      <c r="P867" s="3499"/>
      <c r="Q867" s="3294"/>
      <c r="R867" s="3294"/>
    </row>
    <row r="868" spans="1:18" ht="14.25" thickTop="1">
      <c r="A868" s="3289">
        <v>865</v>
      </c>
      <c r="B868" s="3285">
        <v>3</v>
      </c>
      <c r="C868" s="3285">
        <v>1</v>
      </c>
      <c r="D868" s="3286">
        <v>601</v>
      </c>
      <c r="E868" s="3287">
        <v>4</v>
      </c>
      <c r="F868" s="3287">
        <v>1</v>
      </c>
      <c r="G868" s="3287">
        <v>1</v>
      </c>
      <c r="H868" s="3286" t="s">
        <v>3318</v>
      </c>
      <c r="I868" s="3286" t="s">
        <v>3339</v>
      </c>
      <c r="J868" s="3285"/>
      <c r="K868" s="3288">
        <v>76.66</v>
      </c>
      <c r="L868" s="3287"/>
      <c r="M868" s="3287"/>
      <c r="N868" s="3495">
        <v>2.9</v>
      </c>
      <c r="O868" s="3497" t="s">
        <v>3297</v>
      </c>
      <c r="P868" s="3497" t="s">
        <v>3298</v>
      </c>
      <c r="Q868" s="3287"/>
      <c r="R868" s="3287"/>
    </row>
    <row r="869" spans="1:18">
      <c r="A869" s="3289">
        <v>866</v>
      </c>
      <c r="B869" s="3289">
        <v>3</v>
      </c>
      <c r="C869" s="3289">
        <v>1</v>
      </c>
      <c r="D869" s="3290">
        <v>602</v>
      </c>
      <c r="E869" s="3291">
        <v>1</v>
      </c>
      <c r="F869" s="3291">
        <v>1</v>
      </c>
      <c r="G869" s="3291">
        <v>1</v>
      </c>
      <c r="H869" s="3290" t="s">
        <v>3300</v>
      </c>
      <c r="I869" s="3290" t="s">
        <v>3340</v>
      </c>
      <c r="J869" s="3289"/>
      <c r="K869" s="3289">
        <v>40.65</v>
      </c>
      <c r="L869" s="3291"/>
      <c r="M869" s="3291"/>
      <c r="N869" s="3496"/>
      <c r="O869" s="3496"/>
      <c r="P869" s="3496"/>
      <c r="Q869" s="3291"/>
      <c r="R869" s="3291"/>
    </row>
    <row r="870" spans="1:18">
      <c r="A870" s="3289">
        <v>867</v>
      </c>
      <c r="B870" s="3289">
        <v>3</v>
      </c>
      <c r="C870" s="3289">
        <v>1</v>
      </c>
      <c r="D870" s="3290">
        <v>603</v>
      </c>
      <c r="E870" s="3291">
        <v>1</v>
      </c>
      <c r="F870" s="3291">
        <v>1</v>
      </c>
      <c r="G870" s="3291">
        <v>1</v>
      </c>
      <c r="H870" s="3290" t="s">
        <v>3300</v>
      </c>
      <c r="I870" s="3290" t="s">
        <v>3326</v>
      </c>
      <c r="J870" s="3289"/>
      <c r="K870" s="3289">
        <v>40.32</v>
      </c>
      <c r="L870" s="3291"/>
      <c r="M870" s="3291"/>
      <c r="N870" s="3496"/>
      <c r="O870" s="3496"/>
      <c r="P870" s="3496"/>
      <c r="Q870" s="3291"/>
      <c r="R870" s="3291"/>
    </row>
    <row r="871" spans="1:18">
      <c r="A871" s="3289">
        <v>868</v>
      </c>
      <c r="B871" s="3289">
        <v>3</v>
      </c>
      <c r="C871" s="3289">
        <v>1</v>
      </c>
      <c r="D871" s="3290">
        <v>604</v>
      </c>
      <c r="E871" s="3291">
        <v>1</v>
      </c>
      <c r="F871" s="3291">
        <v>1</v>
      </c>
      <c r="G871" s="3291">
        <v>1</v>
      </c>
      <c r="H871" s="3290" t="s">
        <v>3300</v>
      </c>
      <c r="I871" s="3290" t="s">
        <v>3326</v>
      </c>
      <c r="J871" s="3289"/>
      <c r="K871" s="3289">
        <v>40.32</v>
      </c>
      <c r="L871" s="3291"/>
      <c r="M871" s="3291"/>
      <c r="N871" s="3496"/>
      <c r="O871" s="3496"/>
      <c r="P871" s="3496"/>
      <c r="Q871" s="3291"/>
      <c r="R871" s="3291"/>
    </row>
    <row r="872" spans="1:18">
      <c r="A872" s="3289">
        <v>869</v>
      </c>
      <c r="B872" s="3289">
        <v>3</v>
      </c>
      <c r="C872" s="3289">
        <v>1</v>
      </c>
      <c r="D872" s="3290">
        <v>605</v>
      </c>
      <c r="E872" s="3291">
        <v>1</v>
      </c>
      <c r="F872" s="3291">
        <v>1</v>
      </c>
      <c r="G872" s="3291">
        <v>1</v>
      </c>
      <c r="H872" s="3290" t="s">
        <v>3300</v>
      </c>
      <c r="I872" s="3290" t="s">
        <v>3326</v>
      </c>
      <c r="J872" s="3289"/>
      <c r="K872" s="3289">
        <v>40.32</v>
      </c>
      <c r="L872" s="3291"/>
      <c r="M872" s="3291"/>
      <c r="N872" s="3496"/>
      <c r="O872" s="3496"/>
      <c r="P872" s="3496"/>
      <c r="Q872" s="3291"/>
      <c r="R872" s="3291"/>
    </row>
    <row r="873" spans="1:18">
      <c r="A873" s="3289">
        <v>870</v>
      </c>
      <c r="B873" s="3289">
        <v>3</v>
      </c>
      <c r="C873" s="3289">
        <v>1</v>
      </c>
      <c r="D873" s="3290">
        <v>606</v>
      </c>
      <c r="E873" s="3291">
        <v>1</v>
      </c>
      <c r="F873" s="3291">
        <v>1</v>
      </c>
      <c r="G873" s="3291">
        <v>1</v>
      </c>
      <c r="H873" s="3290" t="s">
        <v>3300</v>
      </c>
      <c r="I873" s="3290" t="s">
        <v>3326</v>
      </c>
      <c r="J873" s="3289"/>
      <c r="K873" s="3289">
        <v>40.32</v>
      </c>
      <c r="L873" s="3291"/>
      <c r="M873" s="3291"/>
      <c r="N873" s="3496"/>
      <c r="O873" s="3496"/>
      <c r="P873" s="3496"/>
      <c r="Q873" s="3291"/>
      <c r="R873" s="3291"/>
    </row>
    <row r="874" spans="1:18">
      <c r="A874" s="3289">
        <v>871</v>
      </c>
      <c r="B874" s="3289">
        <v>3</v>
      </c>
      <c r="C874" s="3289">
        <v>1</v>
      </c>
      <c r="D874" s="3290">
        <v>607</v>
      </c>
      <c r="E874" s="3291">
        <v>1</v>
      </c>
      <c r="F874" s="3291">
        <v>1</v>
      </c>
      <c r="G874" s="3291">
        <v>1</v>
      </c>
      <c r="H874" s="3290" t="s">
        <v>3300</v>
      </c>
      <c r="I874" s="3290" t="s">
        <v>3326</v>
      </c>
      <c r="J874" s="3289"/>
      <c r="K874" s="3289">
        <v>40.32</v>
      </c>
      <c r="L874" s="3291"/>
      <c r="M874" s="3291"/>
      <c r="N874" s="3496"/>
      <c r="O874" s="3496"/>
      <c r="P874" s="3496"/>
      <c r="Q874" s="3291"/>
      <c r="R874" s="3291"/>
    </row>
    <row r="875" spans="1:18">
      <c r="A875" s="3289">
        <v>872</v>
      </c>
      <c r="B875" s="3289">
        <v>3</v>
      </c>
      <c r="C875" s="3289">
        <v>1</v>
      </c>
      <c r="D875" s="3290">
        <v>608</v>
      </c>
      <c r="E875" s="3291">
        <v>1</v>
      </c>
      <c r="F875" s="3291">
        <v>1</v>
      </c>
      <c r="G875" s="3291">
        <v>1</v>
      </c>
      <c r="H875" s="3290" t="s">
        <v>3300</v>
      </c>
      <c r="I875" s="3290" t="s">
        <v>3326</v>
      </c>
      <c r="J875" s="3289"/>
      <c r="K875" s="3289">
        <v>40.32</v>
      </c>
      <c r="L875" s="3291"/>
      <c r="M875" s="3291"/>
      <c r="N875" s="3496"/>
      <c r="O875" s="3496"/>
      <c r="P875" s="3496"/>
      <c r="Q875" s="3291"/>
      <c r="R875" s="3291"/>
    </row>
    <row r="876" spans="1:18">
      <c r="A876" s="3289">
        <v>873</v>
      </c>
      <c r="B876" s="3289">
        <v>3</v>
      </c>
      <c r="C876" s="3289">
        <v>1</v>
      </c>
      <c r="D876" s="3290">
        <v>609</v>
      </c>
      <c r="E876" s="3291">
        <v>1</v>
      </c>
      <c r="F876" s="3291">
        <v>1</v>
      </c>
      <c r="G876" s="3291">
        <v>1</v>
      </c>
      <c r="H876" s="3290" t="s">
        <v>3300</v>
      </c>
      <c r="I876" s="3290" t="s">
        <v>3326</v>
      </c>
      <c r="J876" s="3289"/>
      <c r="K876" s="3289">
        <v>40.32</v>
      </c>
      <c r="L876" s="3291"/>
      <c r="M876" s="3291"/>
      <c r="N876" s="3496"/>
      <c r="O876" s="3496"/>
      <c r="P876" s="3496"/>
      <c r="Q876" s="3291"/>
      <c r="R876" s="3291"/>
    </row>
    <row r="877" spans="1:18">
      <c r="A877" s="3289">
        <v>874</v>
      </c>
      <c r="B877" s="3289">
        <v>3</v>
      </c>
      <c r="C877" s="3289">
        <v>1</v>
      </c>
      <c r="D877" s="3290">
        <v>610</v>
      </c>
      <c r="E877" s="3291">
        <v>1</v>
      </c>
      <c r="F877" s="3291">
        <v>1</v>
      </c>
      <c r="G877" s="3291">
        <v>1</v>
      </c>
      <c r="H877" s="3290" t="s">
        <v>3300</v>
      </c>
      <c r="I877" s="3290" t="s">
        <v>3341</v>
      </c>
      <c r="J877" s="3289"/>
      <c r="K877" s="3289">
        <v>40.32</v>
      </c>
      <c r="L877" s="3291"/>
      <c r="M877" s="3291"/>
      <c r="N877" s="3496"/>
      <c r="O877" s="3496"/>
      <c r="P877" s="3496"/>
      <c r="Q877" s="3291"/>
      <c r="R877" s="3291"/>
    </row>
    <row r="878" spans="1:18">
      <c r="A878" s="3289">
        <v>875</v>
      </c>
      <c r="B878" s="3289">
        <v>3</v>
      </c>
      <c r="C878" s="3289">
        <v>1</v>
      </c>
      <c r="D878" s="3290">
        <v>611</v>
      </c>
      <c r="E878" s="3291">
        <v>1</v>
      </c>
      <c r="F878" s="3291">
        <v>0</v>
      </c>
      <c r="G878" s="3291">
        <v>1</v>
      </c>
      <c r="H878" s="3290" t="s">
        <v>3300</v>
      </c>
      <c r="I878" s="3290" t="s">
        <v>3330</v>
      </c>
      <c r="J878" s="3289"/>
      <c r="K878" s="3289">
        <v>31.54</v>
      </c>
      <c r="L878" s="3291"/>
      <c r="M878" s="3291"/>
      <c r="N878" s="3496"/>
      <c r="O878" s="3496"/>
      <c r="P878" s="3496"/>
      <c r="Q878" s="3291"/>
      <c r="R878" s="3291"/>
    </row>
    <row r="879" spans="1:18">
      <c r="A879" s="3289">
        <v>876</v>
      </c>
      <c r="B879" s="3289">
        <v>3</v>
      </c>
      <c r="C879" s="3289">
        <v>1</v>
      </c>
      <c r="D879" s="3290">
        <v>612</v>
      </c>
      <c r="E879" s="3291">
        <v>1</v>
      </c>
      <c r="F879" s="3291">
        <v>0</v>
      </c>
      <c r="G879" s="3291">
        <v>1</v>
      </c>
      <c r="H879" s="3290" t="s">
        <v>3302</v>
      </c>
      <c r="I879" s="3290" t="s">
        <v>3342</v>
      </c>
      <c r="J879" s="3290"/>
      <c r="K879" s="3289">
        <v>31.63</v>
      </c>
      <c r="L879" s="3291"/>
      <c r="M879" s="3291"/>
      <c r="N879" s="3496"/>
      <c r="O879" s="3496"/>
      <c r="P879" s="3496"/>
      <c r="Q879" s="3291"/>
      <c r="R879" s="3291"/>
    </row>
    <row r="880" spans="1:18">
      <c r="A880" s="3289">
        <v>877</v>
      </c>
      <c r="B880" s="3289">
        <v>3</v>
      </c>
      <c r="C880" s="3289">
        <v>1</v>
      </c>
      <c r="D880" s="3290">
        <v>613</v>
      </c>
      <c r="E880" s="3291">
        <v>1</v>
      </c>
      <c r="F880" s="3291">
        <v>0</v>
      </c>
      <c r="G880" s="3291">
        <v>1</v>
      </c>
      <c r="H880" s="3290" t="s">
        <v>3310</v>
      </c>
      <c r="I880" s="3290" t="s">
        <v>3342</v>
      </c>
      <c r="J880" s="3290"/>
      <c r="K880" s="3289">
        <v>31.63</v>
      </c>
      <c r="L880" s="3291"/>
      <c r="M880" s="3291"/>
      <c r="N880" s="3496"/>
      <c r="O880" s="3496"/>
      <c r="P880" s="3496"/>
      <c r="Q880" s="3291"/>
      <c r="R880" s="3291"/>
    </row>
    <row r="881" spans="1:18">
      <c r="A881" s="3289">
        <v>878</v>
      </c>
      <c r="B881" s="3289">
        <v>3</v>
      </c>
      <c r="C881" s="3289">
        <v>1</v>
      </c>
      <c r="D881" s="3290">
        <v>614</v>
      </c>
      <c r="E881" s="3291">
        <v>1</v>
      </c>
      <c r="F881" s="3291">
        <v>0</v>
      </c>
      <c r="G881" s="3291">
        <v>1</v>
      </c>
      <c r="H881" s="3290" t="s">
        <v>3312</v>
      </c>
      <c r="I881" s="3290" t="s">
        <v>3330</v>
      </c>
      <c r="J881" s="3290"/>
      <c r="K881" s="3289">
        <v>31.54</v>
      </c>
      <c r="L881" s="3291"/>
      <c r="M881" s="3291"/>
      <c r="N881" s="3496"/>
      <c r="O881" s="3496"/>
      <c r="P881" s="3496"/>
      <c r="Q881" s="3291"/>
      <c r="R881" s="3291"/>
    </row>
    <row r="882" spans="1:18">
      <c r="A882" s="3289">
        <v>879</v>
      </c>
      <c r="B882" s="3289">
        <v>3</v>
      </c>
      <c r="C882" s="3289">
        <v>1</v>
      </c>
      <c r="D882" s="3290">
        <v>615</v>
      </c>
      <c r="E882" s="3291">
        <v>1</v>
      </c>
      <c r="F882" s="3291">
        <v>0</v>
      </c>
      <c r="G882" s="3291">
        <v>1</v>
      </c>
      <c r="H882" s="3290" t="s">
        <v>3312</v>
      </c>
      <c r="I882" s="3290" t="s">
        <v>3343</v>
      </c>
      <c r="J882" s="3289"/>
      <c r="K882" s="3289">
        <v>31.8</v>
      </c>
      <c r="L882" s="3291"/>
      <c r="M882" s="3291"/>
      <c r="N882" s="3496"/>
      <c r="O882" s="3496"/>
      <c r="P882" s="3496"/>
      <c r="Q882" s="3291"/>
      <c r="R882" s="3291"/>
    </row>
    <row r="883" spans="1:18">
      <c r="A883" s="3289">
        <v>880</v>
      </c>
      <c r="B883" s="3289">
        <v>3</v>
      </c>
      <c r="C883" s="3289">
        <v>1</v>
      </c>
      <c r="D883" s="3290">
        <v>616</v>
      </c>
      <c r="E883" s="3291">
        <v>1</v>
      </c>
      <c r="F883" s="3291">
        <v>0</v>
      </c>
      <c r="G883" s="3291">
        <v>1</v>
      </c>
      <c r="H883" s="3290" t="s">
        <v>3312</v>
      </c>
      <c r="I883" s="3290" t="s">
        <v>3331</v>
      </c>
      <c r="J883" s="3289"/>
      <c r="K883" s="3289">
        <v>32.26</v>
      </c>
      <c r="L883" s="3291"/>
      <c r="M883" s="3291"/>
      <c r="N883" s="3496"/>
      <c r="O883" s="3496"/>
      <c r="P883" s="3496"/>
      <c r="Q883" s="3291"/>
      <c r="R883" s="3291"/>
    </row>
    <row r="884" spans="1:18">
      <c r="A884" s="3289">
        <v>881</v>
      </c>
      <c r="B884" s="3289">
        <v>3</v>
      </c>
      <c r="C884" s="3289">
        <v>1</v>
      </c>
      <c r="D884" s="3290">
        <v>617</v>
      </c>
      <c r="E884" s="3291">
        <v>1</v>
      </c>
      <c r="F884" s="3291">
        <v>1</v>
      </c>
      <c r="G884" s="3291">
        <v>1</v>
      </c>
      <c r="H884" s="3290" t="s">
        <v>3312</v>
      </c>
      <c r="I884" s="3290" t="s">
        <v>3326</v>
      </c>
      <c r="J884" s="3289"/>
      <c r="K884" s="3289">
        <v>40.32</v>
      </c>
      <c r="L884" s="3291"/>
      <c r="M884" s="3291"/>
      <c r="N884" s="3496"/>
      <c r="O884" s="3496"/>
      <c r="P884" s="3496"/>
      <c r="Q884" s="3291"/>
      <c r="R884" s="3291"/>
    </row>
    <row r="885" spans="1:18">
      <c r="A885" s="3289">
        <v>882</v>
      </c>
      <c r="B885" s="3289">
        <v>3</v>
      </c>
      <c r="C885" s="3289">
        <v>1</v>
      </c>
      <c r="D885" s="3290">
        <v>618</v>
      </c>
      <c r="E885" s="3291">
        <v>1</v>
      </c>
      <c r="F885" s="3291">
        <v>1</v>
      </c>
      <c r="G885" s="3291">
        <v>1</v>
      </c>
      <c r="H885" s="3290" t="s">
        <v>3312</v>
      </c>
      <c r="I885" s="3290" t="s">
        <v>3326</v>
      </c>
      <c r="J885" s="3289"/>
      <c r="K885" s="3289">
        <v>40.32</v>
      </c>
      <c r="L885" s="3291"/>
      <c r="M885" s="3291"/>
      <c r="N885" s="3496"/>
      <c r="O885" s="3496"/>
      <c r="P885" s="3496"/>
      <c r="Q885" s="3291"/>
      <c r="R885" s="3291"/>
    </row>
    <row r="886" spans="1:18">
      <c r="A886" s="3289">
        <v>883</v>
      </c>
      <c r="B886" s="3289">
        <v>3</v>
      </c>
      <c r="C886" s="3289">
        <v>1</v>
      </c>
      <c r="D886" s="3290">
        <v>619</v>
      </c>
      <c r="E886" s="3291">
        <v>1</v>
      </c>
      <c r="F886" s="3291">
        <v>1</v>
      </c>
      <c r="G886" s="3291">
        <v>1</v>
      </c>
      <c r="H886" s="3290" t="s">
        <v>3312</v>
      </c>
      <c r="I886" s="3290" t="s">
        <v>3326</v>
      </c>
      <c r="J886" s="3289"/>
      <c r="K886" s="3289">
        <v>40.32</v>
      </c>
      <c r="L886" s="3291"/>
      <c r="M886" s="3291"/>
      <c r="N886" s="3496"/>
      <c r="O886" s="3496"/>
      <c r="P886" s="3496"/>
      <c r="Q886" s="3291"/>
      <c r="R886" s="3291"/>
    </row>
    <row r="887" spans="1:18">
      <c r="A887" s="3289">
        <v>884</v>
      </c>
      <c r="B887" s="3289">
        <v>3</v>
      </c>
      <c r="C887" s="3289">
        <v>1</v>
      </c>
      <c r="D887" s="3290">
        <v>620</v>
      </c>
      <c r="E887" s="3291">
        <v>1</v>
      </c>
      <c r="F887" s="3291">
        <v>1</v>
      </c>
      <c r="G887" s="3291">
        <v>1</v>
      </c>
      <c r="H887" s="3290" t="s">
        <v>3312</v>
      </c>
      <c r="I887" s="3290" t="s">
        <v>3340</v>
      </c>
      <c r="J887" s="3289"/>
      <c r="K887" s="3289">
        <v>40.65</v>
      </c>
      <c r="L887" s="3291"/>
      <c r="M887" s="3291"/>
      <c r="N887" s="3496"/>
      <c r="O887" s="3496"/>
      <c r="P887" s="3496"/>
      <c r="Q887" s="3291"/>
      <c r="R887" s="3291"/>
    </row>
    <row r="888" spans="1:18" ht="14.25" thickBot="1">
      <c r="A888" s="3289">
        <v>885</v>
      </c>
      <c r="B888" s="3292">
        <v>3</v>
      </c>
      <c r="C888" s="3292">
        <v>1</v>
      </c>
      <c r="D888" s="3293">
        <v>621</v>
      </c>
      <c r="E888" s="3294">
        <v>4</v>
      </c>
      <c r="F888" s="3294">
        <v>1</v>
      </c>
      <c r="G888" s="3294">
        <v>1</v>
      </c>
      <c r="H888" s="3293" t="s">
        <v>3316</v>
      </c>
      <c r="I888" s="3293" t="s">
        <v>3339</v>
      </c>
      <c r="J888" s="3292"/>
      <c r="K888" s="3295">
        <v>76.66</v>
      </c>
      <c r="L888" s="3294"/>
      <c r="M888" s="3294"/>
      <c r="N888" s="3499"/>
      <c r="O888" s="3499"/>
      <c r="P888" s="3499"/>
      <c r="Q888" s="3294"/>
      <c r="R888" s="3294"/>
    </row>
    <row r="889" spans="1:18" ht="14.25" thickTop="1">
      <c r="A889" s="3289">
        <v>886</v>
      </c>
      <c r="B889" s="3285">
        <v>3</v>
      </c>
      <c r="C889" s="3285">
        <v>1</v>
      </c>
      <c r="D889" s="3286">
        <v>701</v>
      </c>
      <c r="E889" s="3287">
        <v>4</v>
      </c>
      <c r="F889" s="3287">
        <v>1</v>
      </c>
      <c r="G889" s="3287">
        <v>1</v>
      </c>
      <c r="H889" s="3286" t="s">
        <v>3318</v>
      </c>
      <c r="I889" s="3286" t="s">
        <v>3339</v>
      </c>
      <c r="J889" s="3285"/>
      <c r="K889" s="3288">
        <v>76.66</v>
      </c>
      <c r="L889" s="3287"/>
      <c r="M889" s="3287"/>
      <c r="N889" s="3495">
        <v>2.9</v>
      </c>
      <c r="O889" s="3497" t="s">
        <v>3297</v>
      </c>
      <c r="P889" s="3497" t="s">
        <v>3298</v>
      </c>
      <c r="Q889" s="3287"/>
      <c r="R889" s="3287"/>
    </row>
    <row r="890" spans="1:18">
      <c r="A890" s="3289">
        <v>887</v>
      </c>
      <c r="B890" s="3289">
        <v>3</v>
      </c>
      <c r="C890" s="3289">
        <v>1</v>
      </c>
      <c r="D890" s="3290">
        <v>702</v>
      </c>
      <c r="E890" s="3291">
        <v>1</v>
      </c>
      <c r="F890" s="3291">
        <v>1</v>
      </c>
      <c r="G890" s="3291">
        <v>1</v>
      </c>
      <c r="H890" s="3290" t="s">
        <v>3300</v>
      </c>
      <c r="I890" s="3290" t="s">
        <v>3340</v>
      </c>
      <c r="J890" s="3289"/>
      <c r="K890" s="3289">
        <v>40.65</v>
      </c>
      <c r="L890" s="3291"/>
      <c r="M890" s="3291"/>
      <c r="N890" s="3496"/>
      <c r="O890" s="3496"/>
      <c r="P890" s="3496"/>
      <c r="Q890" s="3291"/>
      <c r="R890" s="3291"/>
    </row>
    <row r="891" spans="1:18">
      <c r="A891" s="3289">
        <v>888</v>
      </c>
      <c r="B891" s="3289">
        <v>3</v>
      </c>
      <c r="C891" s="3289">
        <v>1</v>
      </c>
      <c r="D891" s="3290">
        <v>703</v>
      </c>
      <c r="E891" s="3291">
        <v>1</v>
      </c>
      <c r="F891" s="3291">
        <v>1</v>
      </c>
      <c r="G891" s="3291">
        <v>1</v>
      </c>
      <c r="H891" s="3290" t="s">
        <v>3300</v>
      </c>
      <c r="I891" s="3290" t="s">
        <v>3326</v>
      </c>
      <c r="J891" s="3289"/>
      <c r="K891" s="3289">
        <v>40.32</v>
      </c>
      <c r="L891" s="3291"/>
      <c r="M891" s="3291"/>
      <c r="N891" s="3496"/>
      <c r="O891" s="3496"/>
      <c r="P891" s="3496"/>
      <c r="Q891" s="3291"/>
      <c r="R891" s="3291"/>
    </row>
    <row r="892" spans="1:18">
      <c r="A892" s="3289">
        <v>889</v>
      </c>
      <c r="B892" s="3289">
        <v>3</v>
      </c>
      <c r="C892" s="3289">
        <v>1</v>
      </c>
      <c r="D892" s="3290">
        <v>704</v>
      </c>
      <c r="E892" s="3291">
        <v>1</v>
      </c>
      <c r="F892" s="3291">
        <v>1</v>
      </c>
      <c r="G892" s="3291">
        <v>1</v>
      </c>
      <c r="H892" s="3290" t="s">
        <v>3300</v>
      </c>
      <c r="I892" s="3290" t="s">
        <v>3326</v>
      </c>
      <c r="J892" s="3289"/>
      <c r="K892" s="3289">
        <v>40.32</v>
      </c>
      <c r="L892" s="3291"/>
      <c r="M892" s="3291"/>
      <c r="N892" s="3496"/>
      <c r="O892" s="3496"/>
      <c r="P892" s="3496"/>
      <c r="Q892" s="3291"/>
      <c r="R892" s="3291"/>
    </row>
    <row r="893" spans="1:18">
      <c r="A893" s="3289">
        <v>890</v>
      </c>
      <c r="B893" s="3289">
        <v>3</v>
      </c>
      <c r="C893" s="3289">
        <v>1</v>
      </c>
      <c r="D893" s="3290">
        <v>705</v>
      </c>
      <c r="E893" s="3291">
        <v>1</v>
      </c>
      <c r="F893" s="3291">
        <v>1</v>
      </c>
      <c r="G893" s="3291">
        <v>1</v>
      </c>
      <c r="H893" s="3290" t="s">
        <v>3300</v>
      </c>
      <c r="I893" s="3290" t="s">
        <v>3326</v>
      </c>
      <c r="J893" s="3289"/>
      <c r="K893" s="3289">
        <v>40.32</v>
      </c>
      <c r="L893" s="3291"/>
      <c r="M893" s="3291"/>
      <c r="N893" s="3496"/>
      <c r="O893" s="3496"/>
      <c r="P893" s="3496"/>
      <c r="Q893" s="3291"/>
      <c r="R893" s="3291"/>
    </row>
    <row r="894" spans="1:18">
      <c r="A894" s="3289">
        <v>891</v>
      </c>
      <c r="B894" s="3289">
        <v>3</v>
      </c>
      <c r="C894" s="3289">
        <v>1</v>
      </c>
      <c r="D894" s="3290">
        <v>706</v>
      </c>
      <c r="E894" s="3291">
        <v>1</v>
      </c>
      <c r="F894" s="3291">
        <v>1</v>
      </c>
      <c r="G894" s="3291">
        <v>1</v>
      </c>
      <c r="H894" s="3290" t="s">
        <v>3300</v>
      </c>
      <c r="I894" s="3290" t="s">
        <v>3326</v>
      </c>
      <c r="J894" s="3289"/>
      <c r="K894" s="3289">
        <v>40.32</v>
      </c>
      <c r="L894" s="3291"/>
      <c r="M894" s="3291"/>
      <c r="N894" s="3496"/>
      <c r="O894" s="3496"/>
      <c r="P894" s="3496"/>
      <c r="Q894" s="3291"/>
      <c r="R894" s="3291"/>
    </row>
    <row r="895" spans="1:18">
      <c r="A895" s="3289">
        <v>892</v>
      </c>
      <c r="B895" s="3289">
        <v>3</v>
      </c>
      <c r="C895" s="3289">
        <v>1</v>
      </c>
      <c r="D895" s="3290">
        <v>707</v>
      </c>
      <c r="E895" s="3291">
        <v>1</v>
      </c>
      <c r="F895" s="3291">
        <v>1</v>
      </c>
      <c r="G895" s="3291">
        <v>1</v>
      </c>
      <c r="H895" s="3290" t="s">
        <v>3300</v>
      </c>
      <c r="I895" s="3290" t="s">
        <v>3326</v>
      </c>
      <c r="J895" s="3289"/>
      <c r="K895" s="3289">
        <v>40.32</v>
      </c>
      <c r="L895" s="3291"/>
      <c r="M895" s="3291"/>
      <c r="N895" s="3496"/>
      <c r="O895" s="3496"/>
      <c r="P895" s="3496"/>
      <c r="Q895" s="3291"/>
      <c r="R895" s="3291"/>
    </row>
    <row r="896" spans="1:18">
      <c r="A896" s="3289">
        <v>893</v>
      </c>
      <c r="B896" s="3289">
        <v>3</v>
      </c>
      <c r="C896" s="3289">
        <v>1</v>
      </c>
      <c r="D896" s="3290">
        <v>708</v>
      </c>
      <c r="E896" s="3291">
        <v>1</v>
      </c>
      <c r="F896" s="3291">
        <v>1</v>
      </c>
      <c r="G896" s="3291">
        <v>1</v>
      </c>
      <c r="H896" s="3290" t="s">
        <v>3300</v>
      </c>
      <c r="I896" s="3290" t="s">
        <v>3326</v>
      </c>
      <c r="J896" s="3289"/>
      <c r="K896" s="3289">
        <v>40.32</v>
      </c>
      <c r="L896" s="3291"/>
      <c r="M896" s="3291"/>
      <c r="N896" s="3496"/>
      <c r="O896" s="3496"/>
      <c r="P896" s="3496"/>
      <c r="Q896" s="3291"/>
      <c r="R896" s="3291"/>
    </row>
    <row r="897" spans="1:18">
      <c r="A897" s="3289">
        <v>894</v>
      </c>
      <c r="B897" s="3289">
        <v>3</v>
      </c>
      <c r="C897" s="3289">
        <v>1</v>
      </c>
      <c r="D897" s="3290">
        <v>709</v>
      </c>
      <c r="E897" s="3291">
        <v>1</v>
      </c>
      <c r="F897" s="3291">
        <v>1</v>
      </c>
      <c r="G897" s="3291">
        <v>1</v>
      </c>
      <c r="H897" s="3290" t="s">
        <v>3300</v>
      </c>
      <c r="I897" s="3290" t="s">
        <v>3326</v>
      </c>
      <c r="J897" s="3289"/>
      <c r="K897" s="3289">
        <v>40.32</v>
      </c>
      <c r="L897" s="3291"/>
      <c r="M897" s="3291"/>
      <c r="N897" s="3496"/>
      <c r="O897" s="3496"/>
      <c r="P897" s="3496"/>
      <c r="Q897" s="3291"/>
      <c r="R897" s="3291"/>
    </row>
    <row r="898" spans="1:18">
      <c r="A898" s="3289">
        <v>895</v>
      </c>
      <c r="B898" s="3289">
        <v>3</v>
      </c>
      <c r="C898" s="3289">
        <v>1</v>
      </c>
      <c r="D898" s="3290">
        <v>710</v>
      </c>
      <c r="E898" s="3291">
        <v>1</v>
      </c>
      <c r="F898" s="3291">
        <v>1</v>
      </c>
      <c r="G898" s="3291">
        <v>1</v>
      </c>
      <c r="H898" s="3290" t="s">
        <v>3300</v>
      </c>
      <c r="I898" s="3290" t="s">
        <v>3341</v>
      </c>
      <c r="J898" s="3289"/>
      <c r="K898" s="3289">
        <v>40.32</v>
      </c>
      <c r="L898" s="3291"/>
      <c r="M898" s="3291"/>
      <c r="N898" s="3496"/>
      <c r="O898" s="3496"/>
      <c r="P898" s="3496"/>
      <c r="Q898" s="3291"/>
      <c r="R898" s="3291"/>
    </row>
    <row r="899" spans="1:18">
      <c r="A899" s="3289">
        <v>896</v>
      </c>
      <c r="B899" s="3289">
        <v>3</v>
      </c>
      <c r="C899" s="3289">
        <v>1</v>
      </c>
      <c r="D899" s="3290">
        <v>711</v>
      </c>
      <c r="E899" s="3291">
        <v>1</v>
      </c>
      <c r="F899" s="3291">
        <v>0</v>
      </c>
      <c r="G899" s="3291">
        <v>1</v>
      </c>
      <c r="H899" s="3290" t="s">
        <v>3300</v>
      </c>
      <c r="I899" s="3290" t="s">
        <v>3330</v>
      </c>
      <c r="J899" s="3289"/>
      <c r="K899" s="3289">
        <v>31.54</v>
      </c>
      <c r="L899" s="3291"/>
      <c r="M899" s="3291"/>
      <c r="N899" s="3496"/>
      <c r="O899" s="3496"/>
      <c r="P899" s="3496"/>
      <c r="Q899" s="3291"/>
      <c r="R899" s="3291"/>
    </row>
    <row r="900" spans="1:18">
      <c r="A900" s="3289">
        <v>897</v>
      </c>
      <c r="B900" s="3289">
        <v>3</v>
      </c>
      <c r="C900" s="3289">
        <v>1</v>
      </c>
      <c r="D900" s="3290">
        <v>712</v>
      </c>
      <c r="E900" s="3291">
        <v>1</v>
      </c>
      <c r="F900" s="3291">
        <v>0</v>
      </c>
      <c r="G900" s="3291">
        <v>1</v>
      </c>
      <c r="H900" s="3290" t="s">
        <v>3302</v>
      </c>
      <c r="I900" s="3290" t="s">
        <v>3342</v>
      </c>
      <c r="J900" s="3290"/>
      <c r="K900" s="3289">
        <v>31.63</v>
      </c>
      <c r="L900" s="3291"/>
      <c r="M900" s="3291"/>
      <c r="N900" s="3496"/>
      <c r="O900" s="3496"/>
      <c r="P900" s="3496"/>
      <c r="Q900" s="3291"/>
      <c r="R900" s="3291"/>
    </row>
    <row r="901" spans="1:18">
      <c r="A901" s="3289">
        <v>898</v>
      </c>
      <c r="B901" s="3289">
        <v>3</v>
      </c>
      <c r="C901" s="3289">
        <v>1</v>
      </c>
      <c r="D901" s="3290">
        <v>713</v>
      </c>
      <c r="E901" s="3291">
        <v>1</v>
      </c>
      <c r="F901" s="3291">
        <v>0</v>
      </c>
      <c r="G901" s="3291">
        <v>1</v>
      </c>
      <c r="H901" s="3290" t="s">
        <v>3310</v>
      </c>
      <c r="I901" s="3290" t="s">
        <v>3342</v>
      </c>
      <c r="J901" s="3290"/>
      <c r="K901" s="3289">
        <v>31.63</v>
      </c>
      <c r="L901" s="3291"/>
      <c r="M901" s="3291"/>
      <c r="N901" s="3496"/>
      <c r="O901" s="3496"/>
      <c r="P901" s="3496"/>
      <c r="Q901" s="3291"/>
      <c r="R901" s="3291"/>
    </row>
    <row r="902" spans="1:18">
      <c r="A902" s="3289">
        <v>899</v>
      </c>
      <c r="B902" s="3289">
        <v>3</v>
      </c>
      <c r="C902" s="3289">
        <v>1</v>
      </c>
      <c r="D902" s="3290">
        <v>714</v>
      </c>
      <c r="E902" s="3291">
        <v>1</v>
      </c>
      <c r="F902" s="3291">
        <v>0</v>
      </c>
      <c r="G902" s="3291">
        <v>1</v>
      </c>
      <c r="H902" s="3290" t="s">
        <v>3312</v>
      </c>
      <c r="I902" s="3290" t="s">
        <v>3330</v>
      </c>
      <c r="J902" s="3290"/>
      <c r="K902" s="3289">
        <v>31.54</v>
      </c>
      <c r="L902" s="3291"/>
      <c r="M902" s="3291"/>
      <c r="N902" s="3496"/>
      <c r="O902" s="3496"/>
      <c r="P902" s="3496"/>
      <c r="Q902" s="3291"/>
      <c r="R902" s="3291"/>
    </row>
    <row r="903" spans="1:18">
      <c r="A903" s="3289">
        <v>900</v>
      </c>
      <c r="B903" s="3289">
        <v>3</v>
      </c>
      <c r="C903" s="3289">
        <v>1</v>
      </c>
      <c r="D903" s="3290">
        <v>715</v>
      </c>
      <c r="E903" s="3291">
        <v>1</v>
      </c>
      <c r="F903" s="3291">
        <v>0</v>
      </c>
      <c r="G903" s="3291">
        <v>1</v>
      </c>
      <c r="H903" s="3290" t="s">
        <v>3312</v>
      </c>
      <c r="I903" s="3290" t="s">
        <v>3343</v>
      </c>
      <c r="J903" s="3289"/>
      <c r="K903" s="3289">
        <v>31.8</v>
      </c>
      <c r="L903" s="3291"/>
      <c r="M903" s="3291"/>
      <c r="N903" s="3496"/>
      <c r="O903" s="3496"/>
      <c r="P903" s="3496"/>
      <c r="Q903" s="3291"/>
      <c r="R903" s="3291"/>
    </row>
    <row r="904" spans="1:18">
      <c r="A904" s="3289">
        <v>901</v>
      </c>
      <c r="B904" s="3289">
        <v>3</v>
      </c>
      <c r="C904" s="3289">
        <v>1</v>
      </c>
      <c r="D904" s="3290">
        <v>716</v>
      </c>
      <c r="E904" s="3291">
        <v>1</v>
      </c>
      <c r="F904" s="3291">
        <v>0</v>
      </c>
      <c r="G904" s="3291">
        <v>1</v>
      </c>
      <c r="H904" s="3290" t="s">
        <v>3312</v>
      </c>
      <c r="I904" s="3290" t="s">
        <v>3331</v>
      </c>
      <c r="J904" s="3289"/>
      <c r="K904" s="3289">
        <v>32.26</v>
      </c>
      <c r="L904" s="3291"/>
      <c r="M904" s="3291"/>
      <c r="N904" s="3496"/>
      <c r="O904" s="3496"/>
      <c r="P904" s="3496"/>
      <c r="Q904" s="3291"/>
      <c r="R904" s="3291"/>
    </row>
    <row r="905" spans="1:18">
      <c r="A905" s="3289">
        <v>902</v>
      </c>
      <c r="B905" s="3289">
        <v>3</v>
      </c>
      <c r="C905" s="3289">
        <v>1</v>
      </c>
      <c r="D905" s="3290">
        <v>717</v>
      </c>
      <c r="E905" s="3291">
        <v>1</v>
      </c>
      <c r="F905" s="3291">
        <v>1</v>
      </c>
      <c r="G905" s="3291">
        <v>1</v>
      </c>
      <c r="H905" s="3290" t="s">
        <v>3312</v>
      </c>
      <c r="I905" s="3290" t="s">
        <v>3326</v>
      </c>
      <c r="J905" s="3289"/>
      <c r="K905" s="3289">
        <v>40.32</v>
      </c>
      <c r="L905" s="3291"/>
      <c r="M905" s="3291"/>
      <c r="N905" s="3496"/>
      <c r="O905" s="3496"/>
      <c r="P905" s="3496"/>
      <c r="Q905" s="3291"/>
      <c r="R905" s="3291"/>
    </row>
    <row r="906" spans="1:18">
      <c r="A906" s="3289">
        <v>903</v>
      </c>
      <c r="B906" s="3289">
        <v>3</v>
      </c>
      <c r="C906" s="3289">
        <v>1</v>
      </c>
      <c r="D906" s="3290">
        <v>718</v>
      </c>
      <c r="E906" s="3291">
        <v>1</v>
      </c>
      <c r="F906" s="3291">
        <v>1</v>
      </c>
      <c r="G906" s="3291">
        <v>1</v>
      </c>
      <c r="H906" s="3290" t="s">
        <v>3312</v>
      </c>
      <c r="I906" s="3290" t="s">
        <v>3326</v>
      </c>
      <c r="J906" s="3289"/>
      <c r="K906" s="3289">
        <v>40.32</v>
      </c>
      <c r="L906" s="3291"/>
      <c r="M906" s="3291"/>
      <c r="N906" s="3496"/>
      <c r="O906" s="3496"/>
      <c r="P906" s="3496"/>
      <c r="Q906" s="3291"/>
      <c r="R906" s="3291"/>
    </row>
    <row r="907" spans="1:18">
      <c r="A907" s="3289">
        <v>904</v>
      </c>
      <c r="B907" s="3289">
        <v>3</v>
      </c>
      <c r="C907" s="3289">
        <v>1</v>
      </c>
      <c r="D907" s="3290">
        <v>719</v>
      </c>
      <c r="E907" s="3291">
        <v>1</v>
      </c>
      <c r="F907" s="3291">
        <v>1</v>
      </c>
      <c r="G907" s="3291">
        <v>1</v>
      </c>
      <c r="H907" s="3290" t="s">
        <v>3312</v>
      </c>
      <c r="I907" s="3290" t="s">
        <v>3326</v>
      </c>
      <c r="J907" s="3289"/>
      <c r="K907" s="3289">
        <v>40.32</v>
      </c>
      <c r="L907" s="3291"/>
      <c r="M907" s="3291"/>
      <c r="N907" s="3496"/>
      <c r="O907" s="3496"/>
      <c r="P907" s="3496"/>
      <c r="Q907" s="3291"/>
      <c r="R907" s="3291"/>
    </row>
    <row r="908" spans="1:18">
      <c r="A908" s="3289">
        <v>905</v>
      </c>
      <c r="B908" s="3289">
        <v>3</v>
      </c>
      <c r="C908" s="3289">
        <v>1</v>
      </c>
      <c r="D908" s="3290">
        <v>720</v>
      </c>
      <c r="E908" s="3291">
        <v>1</v>
      </c>
      <c r="F908" s="3291">
        <v>1</v>
      </c>
      <c r="G908" s="3291">
        <v>1</v>
      </c>
      <c r="H908" s="3290" t="s">
        <v>3312</v>
      </c>
      <c r="I908" s="3290" t="s">
        <v>3340</v>
      </c>
      <c r="J908" s="3289"/>
      <c r="K908" s="3289">
        <v>40.65</v>
      </c>
      <c r="L908" s="3291"/>
      <c r="M908" s="3291"/>
      <c r="N908" s="3496"/>
      <c r="O908" s="3496"/>
      <c r="P908" s="3496"/>
      <c r="Q908" s="3291"/>
      <c r="R908" s="3291"/>
    </row>
    <row r="909" spans="1:18" ht="14.25" thickBot="1">
      <c r="A909" s="3289">
        <v>906</v>
      </c>
      <c r="B909" s="3292">
        <v>3</v>
      </c>
      <c r="C909" s="3292">
        <v>1</v>
      </c>
      <c r="D909" s="3298">
        <v>721</v>
      </c>
      <c r="E909" s="3294">
        <v>4</v>
      </c>
      <c r="F909" s="3294">
        <v>1</v>
      </c>
      <c r="G909" s="3294">
        <v>1</v>
      </c>
      <c r="H909" s="3293" t="s">
        <v>3316</v>
      </c>
      <c r="I909" s="3293" t="s">
        <v>3339</v>
      </c>
      <c r="J909" s="3292"/>
      <c r="K909" s="3295">
        <v>76.66</v>
      </c>
      <c r="L909" s="3294"/>
      <c r="M909" s="3294"/>
      <c r="N909" s="3499"/>
      <c r="O909" s="3499"/>
      <c r="P909" s="3499"/>
      <c r="Q909" s="3294"/>
      <c r="R909" s="3294"/>
    </row>
    <row r="910" spans="1:18" ht="14.25" thickTop="1">
      <c r="A910" s="3289">
        <v>907</v>
      </c>
      <c r="B910" s="3285">
        <v>3</v>
      </c>
      <c r="C910" s="3285">
        <v>1</v>
      </c>
      <c r="D910" s="3286">
        <v>801</v>
      </c>
      <c r="E910" s="3287">
        <v>4</v>
      </c>
      <c r="F910" s="3287">
        <v>1</v>
      </c>
      <c r="G910" s="3287">
        <v>1</v>
      </c>
      <c r="H910" s="3286" t="s">
        <v>3318</v>
      </c>
      <c r="I910" s="3286" t="s">
        <v>3339</v>
      </c>
      <c r="J910" s="3285"/>
      <c r="K910" s="3288">
        <v>76.66</v>
      </c>
      <c r="L910" s="3287"/>
      <c r="M910" s="3287"/>
      <c r="N910" s="3495">
        <v>2.9</v>
      </c>
      <c r="O910" s="3497" t="s">
        <v>3297</v>
      </c>
      <c r="P910" s="3497" t="s">
        <v>3298</v>
      </c>
      <c r="Q910" s="3287"/>
      <c r="R910" s="3287"/>
    </row>
    <row r="911" spans="1:18">
      <c r="A911" s="3289">
        <v>908</v>
      </c>
      <c r="B911" s="3289">
        <v>3</v>
      </c>
      <c r="C911" s="3289">
        <v>1</v>
      </c>
      <c r="D911" s="3290">
        <v>802</v>
      </c>
      <c r="E911" s="3291">
        <v>1</v>
      </c>
      <c r="F911" s="3291">
        <v>1</v>
      </c>
      <c r="G911" s="3291">
        <v>1</v>
      </c>
      <c r="H911" s="3290" t="s">
        <v>3300</v>
      </c>
      <c r="I911" s="3290" t="s">
        <v>3340</v>
      </c>
      <c r="J911" s="3289"/>
      <c r="K911" s="3289">
        <v>40.65</v>
      </c>
      <c r="L911" s="3291"/>
      <c r="M911" s="3291"/>
      <c r="N911" s="3496"/>
      <c r="O911" s="3496"/>
      <c r="P911" s="3496"/>
      <c r="Q911" s="3291"/>
      <c r="R911" s="3291"/>
    </row>
    <row r="912" spans="1:18">
      <c r="A912" s="3289">
        <v>909</v>
      </c>
      <c r="B912" s="3289">
        <v>3</v>
      </c>
      <c r="C912" s="3289">
        <v>1</v>
      </c>
      <c r="D912" s="3290">
        <v>803</v>
      </c>
      <c r="E912" s="3291">
        <v>1</v>
      </c>
      <c r="F912" s="3291">
        <v>1</v>
      </c>
      <c r="G912" s="3291">
        <v>1</v>
      </c>
      <c r="H912" s="3290" t="s">
        <v>3300</v>
      </c>
      <c r="I912" s="3290" t="s">
        <v>3326</v>
      </c>
      <c r="J912" s="3289"/>
      <c r="K912" s="3289">
        <v>40.32</v>
      </c>
      <c r="L912" s="3291"/>
      <c r="M912" s="3291"/>
      <c r="N912" s="3496"/>
      <c r="O912" s="3496"/>
      <c r="P912" s="3496"/>
      <c r="Q912" s="3291"/>
      <c r="R912" s="3291"/>
    </row>
    <row r="913" spans="1:18">
      <c r="A913" s="3289">
        <v>910</v>
      </c>
      <c r="B913" s="3289">
        <v>3</v>
      </c>
      <c r="C913" s="3289">
        <v>1</v>
      </c>
      <c r="D913" s="3290">
        <v>804</v>
      </c>
      <c r="E913" s="3291">
        <v>1</v>
      </c>
      <c r="F913" s="3291">
        <v>1</v>
      </c>
      <c r="G913" s="3291">
        <v>1</v>
      </c>
      <c r="H913" s="3290" t="s">
        <v>3300</v>
      </c>
      <c r="I913" s="3290" t="s">
        <v>3326</v>
      </c>
      <c r="J913" s="3289"/>
      <c r="K913" s="3289">
        <v>40.32</v>
      </c>
      <c r="L913" s="3291"/>
      <c r="M913" s="3291"/>
      <c r="N913" s="3496"/>
      <c r="O913" s="3496"/>
      <c r="P913" s="3496"/>
      <c r="Q913" s="3291"/>
      <c r="R913" s="3291"/>
    </row>
    <row r="914" spans="1:18">
      <c r="A914" s="3289">
        <v>911</v>
      </c>
      <c r="B914" s="3289">
        <v>3</v>
      </c>
      <c r="C914" s="3289">
        <v>1</v>
      </c>
      <c r="D914" s="3290">
        <v>805</v>
      </c>
      <c r="E914" s="3291">
        <v>1</v>
      </c>
      <c r="F914" s="3291">
        <v>1</v>
      </c>
      <c r="G914" s="3291">
        <v>1</v>
      </c>
      <c r="H914" s="3290" t="s">
        <v>3300</v>
      </c>
      <c r="I914" s="3290" t="s">
        <v>3326</v>
      </c>
      <c r="J914" s="3289"/>
      <c r="K914" s="3289">
        <v>40.32</v>
      </c>
      <c r="L914" s="3291"/>
      <c r="M914" s="3291"/>
      <c r="N914" s="3496"/>
      <c r="O914" s="3496"/>
      <c r="P914" s="3496"/>
      <c r="Q914" s="3291"/>
      <c r="R914" s="3291"/>
    </row>
    <row r="915" spans="1:18">
      <c r="A915" s="3289">
        <v>912</v>
      </c>
      <c r="B915" s="3289">
        <v>3</v>
      </c>
      <c r="C915" s="3289">
        <v>1</v>
      </c>
      <c r="D915" s="3290">
        <v>806</v>
      </c>
      <c r="E915" s="3291">
        <v>1</v>
      </c>
      <c r="F915" s="3291">
        <v>1</v>
      </c>
      <c r="G915" s="3291">
        <v>1</v>
      </c>
      <c r="H915" s="3290" t="s">
        <v>3300</v>
      </c>
      <c r="I915" s="3290" t="s">
        <v>3326</v>
      </c>
      <c r="J915" s="3289"/>
      <c r="K915" s="3289">
        <v>40.32</v>
      </c>
      <c r="L915" s="3291"/>
      <c r="M915" s="3291"/>
      <c r="N915" s="3496"/>
      <c r="O915" s="3496"/>
      <c r="P915" s="3496"/>
      <c r="Q915" s="3291"/>
      <c r="R915" s="3291"/>
    </row>
    <row r="916" spans="1:18">
      <c r="A916" s="3289">
        <v>913</v>
      </c>
      <c r="B916" s="3289">
        <v>3</v>
      </c>
      <c r="C916" s="3289">
        <v>1</v>
      </c>
      <c r="D916" s="3290">
        <v>807</v>
      </c>
      <c r="E916" s="3291">
        <v>1</v>
      </c>
      <c r="F916" s="3291">
        <v>1</v>
      </c>
      <c r="G916" s="3291">
        <v>1</v>
      </c>
      <c r="H916" s="3290" t="s">
        <v>3300</v>
      </c>
      <c r="I916" s="3290" t="s">
        <v>3326</v>
      </c>
      <c r="J916" s="3289"/>
      <c r="K916" s="3289">
        <v>40.32</v>
      </c>
      <c r="L916" s="3291"/>
      <c r="M916" s="3291"/>
      <c r="N916" s="3496"/>
      <c r="O916" s="3496"/>
      <c r="P916" s="3496"/>
      <c r="Q916" s="3291"/>
      <c r="R916" s="3291"/>
    </row>
    <row r="917" spans="1:18">
      <c r="A917" s="3289">
        <v>914</v>
      </c>
      <c r="B917" s="3289">
        <v>3</v>
      </c>
      <c r="C917" s="3289">
        <v>1</v>
      </c>
      <c r="D917" s="3290">
        <v>808</v>
      </c>
      <c r="E917" s="3291">
        <v>1</v>
      </c>
      <c r="F917" s="3291">
        <v>1</v>
      </c>
      <c r="G917" s="3291">
        <v>1</v>
      </c>
      <c r="H917" s="3290" t="s">
        <v>3300</v>
      </c>
      <c r="I917" s="3290" t="s">
        <v>3326</v>
      </c>
      <c r="J917" s="3289"/>
      <c r="K917" s="3289">
        <v>40.32</v>
      </c>
      <c r="L917" s="3291"/>
      <c r="M917" s="3291"/>
      <c r="N917" s="3496"/>
      <c r="O917" s="3496"/>
      <c r="P917" s="3496"/>
      <c r="Q917" s="3291"/>
      <c r="R917" s="3291"/>
    </row>
    <row r="918" spans="1:18">
      <c r="A918" s="3289">
        <v>915</v>
      </c>
      <c r="B918" s="3289">
        <v>3</v>
      </c>
      <c r="C918" s="3289">
        <v>1</v>
      </c>
      <c r="D918" s="3290">
        <v>809</v>
      </c>
      <c r="E918" s="3291">
        <v>1</v>
      </c>
      <c r="F918" s="3291">
        <v>1</v>
      </c>
      <c r="G918" s="3291">
        <v>1</v>
      </c>
      <c r="H918" s="3290" t="s">
        <v>3300</v>
      </c>
      <c r="I918" s="3290" t="s">
        <v>3326</v>
      </c>
      <c r="J918" s="3289"/>
      <c r="K918" s="3289">
        <v>40.32</v>
      </c>
      <c r="L918" s="3291"/>
      <c r="M918" s="3291"/>
      <c r="N918" s="3496"/>
      <c r="O918" s="3496"/>
      <c r="P918" s="3496"/>
      <c r="Q918" s="3291"/>
      <c r="R918" s="3291"/>
    </row>
    <row r="919" spans="1:18">
      <c r="A919" s="3289">
        <v>916</v>
      </c>
      <c r="B919" s="3289">
        <v>3</v>
      </c>
      <c r="C919" s="3289">
        <v>1</v>
      </c>
      <c r="D919" s="3290">
        <v>810</v>
      </c>
      <c r="E919" s="3291">
        <v>1</v>
      </c>
      <c r="F919" s="3291">
        <v>1</v>
      </c>
      <c r="G919" s="3291">
        <v>1</v>
      </c>
      <c r="H919" s="3290" t="s">
        <v>3300</v>
      </c>
      <c r="I919" s="3290" t="s">
        <v>3341</v>
      </c>
      <c r="J919" s="3289"/>
      <c r="K919" s="3289">
        <v>40.32</v>
      </c>
      <c r="L919" s="3291"/>
      <c r="M919" s="3291"/>
      <c r="N919" s="3496"/>
      <c r="O919" s="3496"/>
      <c r="P919" s="3496"/>
      <c r="Q919" s="3291"/>
      <c r="R919" s="3291"/>
    </row>
    <row r="920" spans="1:18">
      <c r="A920" s="3289">
        <v>917</v>
      </c>
      <c r="B920" s="3289">
        <v>3</v>
      </c>
      <c r="C920" s="3289">
        <v>1</v>
      </c>
      <c r="D920" s="3290">
        <v>811</v>
      </c>
      <c r="E920" s="3291">
        <v>1</v>
      </c>
      <c r="F920" s="3291">
        <v>0</v>
      </c>
      <c r="G920" s="3291">
        <v>1</v>
      </c>
      <c r="H920" s="3290" t="s">
        <v>3300</v>
      </c>
      <c r="I920" s="3290" t="s">
        <v>3330</v>
      </c>
      <c r="J920" s="3289"/>
      <c r="K920" s="3289">
        <v>31.54</v>
      </c>
      <c r="L920" s="3291"/>
      <c r="M920" s="3291"/>
      <c r="N920" s="3496"/>
      <c r="O920" s="3496"/>
      <c r="P920" s="3496"/>
      <c r="Q920" s="3291"/>
      <c r="R920" s="3291"/>
    </row>
    <row r="921" spans="1:18">
      <c r="A921" s="3289">
        <v>918</v>
      </c>
      <c r="B921" s="3289">
        <v>3</v>
      </c>
      <c r="C921" s="3289">
        <v>1</v>
      </c>
      <c r="D921" s="3290">
        <v>812</v>
      </c>
      <c r="E921" s="3291">
        <v>1</v>
      </c>
      <c r="F921" s="3291">
        <v>0</v>
      </c>
      <c r="G921" s="3291">
        <v>1</v>
      </c>
      <c r="H921" s="3290" t="s">
        <v>3302</v>
      </c>
      <c r="I921" s="3290" t="s">
        <v>3342</v>
      </c>
      <c r="J921" s="3290"/>
      <c r="K921" s="3289">
        <v>31.63</v>
      </c>
      <c r="L921" s="3291"/>
      <c r="M921" s="3291"/>
      <c r="N921" s="3496"/>
      <c r="O921" s="3496"/>
      <c r="P921" s="3496"/>
      <c r="Q921" s="3291"/>
      <c r="R921" s="3291"/>
    </row>
    <row r="922" spans="1:18">
      <c r="A922" s="3289">
        <v>919</v>
      </c>
      <c r="B922" s="3289">
        <v>3</v>
      </c>
      <c r="C922" s="3289">
        <v>1</v>
      </c>
      <c r="D922" s="3290">
        <v>813</v>
      </c>
      <c r="E922" s="3291">
        <v>1</v>
      </c>
      <c r="F922" s="3291">
        <v>0</v>
      </c>
      <c r="G922" s="3291">
        <v>1</v>
      </c>
      <c r="H922" s="3290" t="s">
        <v>3310</v>
      </c>
      <c r="I922" s="3290" t="s">
        <v>3342</v>
      </c>
      <c r="J922" s="3290"/>
      <c r="K922" s="3289">
        <v>31.63</v>
      </c>
      <c r="L922" s="3291"/>
      <c r="M922" s="3291"/>
      <c r="N922" s="3496"/>
      <c r="O922" s="3496"/>
      <c r="P922" s="3496"/>
      <c r="Q922" s="3291"/>
      <c r="R922" s="3291"/>
    </row>
    <row r="923" spans="1:18">
      <c r="A923" s="3289">
        <v>920</v>
      </c>
      <c r="B923" s="3289">
        <v>3</v>
      </c>
      <c r="C923" s="3289">
        <v>1</v>
      </c>
      <c r="D923" s="3290">
        <v>814</v>
      </c>
      <c r="E923" s="3291">
        <v>1</v>
      </c>
      <c r="F923" s="3291">
        <v>0</v>
      </c>
      <c r="G923" s="3291">
        <v>1</v>
      </c>
      <c r="H923" s="3290" t="s">
        <v>3312</v>
      </c>
      <c r="I923" s="3290" t="s">
        <v>3330</v>
      </c>
      <c r="J923" s="3290"/>
      <c r="K923" s="3289">
        <v>31.54</v>
      </c>
      <c r="L923" s="3291"/>
      <c r="M923" s="3291"/>
      <c r="N923" s="3496"/>
      <c r="O923" s="3496"/>
      <c r="P923" s="3496"/>
      <c r="Q923" s="3291"/>
      <c r="R923" s="3291"/>
    </row>
    <row r="924" spans="1:18">
      <c r="A924" s="3289">
        <v>921</v>
      </c>
      <c r="B924" s="3289">
        <v>3</v>
      </c>
      <c r="C924" s="3289">
        <v>1</v>
      </c>
      <c r="D924" s="3290">
        <v>815</v>
      </c>
      <c r="E924" s="3291">
        <v>1</v>
      </c>
      <c r="F924" s="3291">
        <v>0</v>
      </c>
      <c r="G924" s="3291">
        <v>1</v>
      </c>
      <c r="H924" s="3290" t="s">
        <v>3312</v>
      </c>
      <c r="I924" s="3290" t="s">
        <v>3343</v>
      </c>
      <c r="J924" s="3289"/>
      <c r="K924" s="3289">
        <v>31.8</v>
      </c>
      <c r="L924" s="3291"/>
      <c r="M924" s="3291"/>
      <c r="N924" s="3496"/>
      <c r="O924" s="3496"/>
      <c r="P924" s="3496"/>
      <c r="Q924" s="3291"/>
      <c r="R924" s="3291"/>
    </row>
    <row r="925" spans="1:18">
      <c r="A925" s="3289">
        <v>922</v>
      </c>
      <c r="B925" s="3289">
        <v>3</v>
      </c>
      <c r="C925" s="3289">
        <v>1</v>
      </c>
      <c r="D925" s="3290">
        <v>816</v>
      </c>
      <c r="E925" s="3291">
        <v>1</v>
      </c>
      <c r="F925" s="3291">
        <v>0</v>
      </c>
      <c r="G925" s="3291">
        <v>1</v>
      </c>
      <c r="H925" s="3290" t="s">
        <v>3312</v>
      </c>
      <c r="I925" s="3290" t="s">
        <v>3331</v>
      </c>
      <c r="J925" s="3289"/>
      <c r="K925" s="3289">
        <v>32.26</v>
      </c>
      <c r="L925" s="3291"/>
      <c r="M925" s="3291"/>
      <c r="N925" s="3496"/>
      <c r="O925" s="3496"/>
      <c r="P925" s="3496"/>
      <c r="Q925" s="3291"/>
      <c r="R925" s="3291"/>
    </row>
    <row r="926" spans="1:18">
      <c r="A926" s="3289">
        <v>923</v>
      </c>
      <c r="B926" s="3289">
        <v>3</v>
      </c>
      <c r="C926" s="3289">
        <v>1</v>
      </c>
      <c r="D926" s="3290">
        <v>817</v>
      </c>
      <c r="E926" s="3291">
        <v>1</v>
      </c>
      <c r="F926" s="3291">
        <v>1</v>
      </c>
      <c r="G926" s="3291">
        <v>1</v>
      </c>
      <c r="H926" s="3290" t="s">
        <v>3312</v>
      </c>
      <c r="I926" s="3290" t="s">
        <v>3326</v>
      </c>
      <c r="J926" s="3289"/>
      <c r="K926" s="3289">
        <v>40.32</v>
      </c>
      <c r="L926" s="3291"/>
      <c r="M926" s="3291"/>
      <c r="N926" s="3496"/>
      <c r="O926" s="3496"/>
      <c r="P926" s="3496"/>
      <c r="Q926" s="3291"/>
      <c r="R926" s="3291"/>
    </row>
    <row r="927" spans="1:18">
      <c r="A927" s="3289">
        <v>924</v>
      </c>
      <c r="B927" s="3289">
        <v>3</v>
      </c>
      <c r="C927" s="3289">
        <v>1</v>
      </c>
      <c r="D927" s="3290">
        <v>818</v>
      </c>
      <c r="E927" s="3291">
        <v>1</v>
      </c>
      <c r="F927" s="3291">
        <v>1</v>
      </c>
      <c r="G927" s="3291">
        <v>1</v>
      </c>
      <c r="H927" s="3290" t="s">
        <v>3312</v>
      </c>
      <c r="I927" s="3290" t="s">
        <v>3326</v>
      </c>
      <c r="J927" s="3289"/>
      <c r="K927" s="3289">
        <v>40.32</v>
      </c>
      <c r="L927" s="3291"/>
      <c r="M927" s="3291"/>
      <c r="N927" s="3496"/>
      <c r="O927" s="3496"/>
      <c r="P927" s="3496"/>
      <c r="Q927" s="3291"/>
      <c r="R927" s="3291"/>
    </row>
    <row r="928" spans="1:18">
      <c r="A928" s="3289">
        <v>925</v>
      </c>
      <c r="B928" s="3289">
        <v>3</v>
      </c>
      <c r="C928" s="3289">
        <v>1</v>
      </c>
      <c r="D928" s="3290">
        <v>819</v>
      </c>
      <c r="E928" s="3291">
        <v>1</v>
      </c>
      <c r="F928" s="3291">
        <v>1</v>
      </c>
      <c r="G928" s="3291">
        <v>1</v>
      </c>
      <c r="H928" s="3290" t="s">
        <v>3312</v>
      </c>
      <c r="I928" s="3290" t="s">
        <v>3326</v>
      </c>
      <c r="J928" s="3289"/>
      <c r="K928" s="3289">
        <v>40.32</v>
      </c>
      <c r="L928" s="3291"/>
      <c r="M928" s="3291"/>
      <c r="N928" s="3496"/>
      <c r="O928" s="3496"/>
      <c r="P928" s="3496"/>
      <c r="Q928" s="3291"/>
      <c r="R928" s="3291"/>
    </row>
    <row r="929" spans="1:18">
      <c r="A929" s="3289">
        <v>926</v>
      </c>
      <c r="B929" s="3289">
        <v>3</v>
      </c>
      <c r="C929" s="3289">
        <v>1</v>
      </c>
      <c r="D929" s="3290">
        <v>820</v>
      </c>
      <c r="E929" s="3291">
        <v>1</v>
      </c>
      <c r="F929" s="3291">
        <v>1</v>
      </c>
      <c r="G929" s="3291">
        <v>1</v>
      </c>
      <c r="H929" s="3290" t="s">
        <v>3312</v>
      </c>
      <c r="I929" s="3290" t="s">
        <v>3340</v>
      </c>
      <c r="J929" s="3289"/>
      <c r="K929" s="3289">
        <v>40.65</v>
      </c>
      <c r="L929" s="3291"/>
      <c r="M929" s="3291"/>
      <c r="N929" s="3496"/>
      <c r="O929" s="3496"/>
      <c r="P929" s="3496"/>
      <c r="Q929" s="3291"/>
      <c r="R929" s="3291"/>
    </row>
    <row r="930" spans="1:18" ht="14.25" thickBot="1">
      <c r="A930" s="3289">
        <v>927</v>
      </c>
      <c r="B930" s="3292">
        <v>3</v>
      </c>
      <c r="C930" s="3292">
        <v>1</v>
      </c>
      <c r="D930" s="3293">
        <v>821</v>
      </c>
      <c r="E930" s="3294">
        <v>4</v>
      </c>
      <c r="F930" s="3294">
        <v>1</v>
      </c>
      <c r="G930" s="3294">
        <v>1</v>
      </c>
      <c r="H930" s="3293" t="s">
        <v>3316</v>
      </c>
      <c r="I930" s="3293" t="s">
        <v>3339</v>
      </c>
      <c r="J930" s="3292"/>
      <c r="K930" s="3295">
        <v>76.66</v>
      </c>
      <c r="L930" s="3294"/>
      <c r="M930" s="3294"/>
      <c r="N930" s="3499"/>
      <c r="O930" s="3499"/>
      <c r="P930" s="3499"/>
      <c r="Q930" s="3294"/>
      <c r="R930" s="3294"/>
    </row>
    <row r="931" spans="1:18" ht="14.25" thickTop="1">
      <c r="A931" s="3289">
        <v>928</v>
      </c>
      <c r="B931" s="3285">
        <v>3</v>
      </c>
      <c r="C931" s="3285">
        <v>1</v>
      </c>
      <c r="D931" s="3286">
        <v>901</v>
      </c>
      <c r="E931" s="3287">
        <v>4</v>
      </c>
      <c r="F931" s="3287">
        <v>1</v>
      </c>
      <c r="G931" s="3287">
        <v>1</v>
      </c>
      <c r="H931" s="3286" t="s">
        <v>3318</v>
      </c>
      <c r="I931" s="3286" t="s">
        <v>3339</v>
      </c>
      <c r="J931" s="3285"/>
      <c r="K931" s="3288">
        <v>76.66</v>
      </c>
      <c r="L931" s="3287"/>
      <c r="M931" s="3287"/>
      <c r="N931" s="3495">
        <v>2.9</v>
      </c>
      <c r="O931" s="3497" t="s">
        <v>3297</v>
      </c>
      <c r="P931" s="3497" t="s">
        <v>3298</v>
      </c>
      <c r="Q931" s="3287"/>
      <c r="R931" s="3287"/>
    </row>
    <row r="932" spans="1:18">
      <c r="A932" s="3289">
        <v>929</v>
      </c>
      <c r="B932" s="3289">
        <v>3</v>
      </c>
      <c r="C932" s="3289">
        <v>1</v>
      </c>
      <c r="D932" s="3290">
        <v>902</v>
      </c>
      <c r="E932" s="3291">
        <v>1</v>
      </c>
      <c r="F932" s="3291">
        <v>1</v>
      </c>
      <c r="G932" s="3291">
        <v>1</v>
      </c>
      <c r="H932" s="3290" t="s">
        <v>3300</v>
      </c>
      <c r="I932" s="3290" t="s">
        <v>3340</v>
      </c>
      <c r="J932" s="3289"/>
      <c r="K932" s="3289">
        <v>40.65</v>
      </c>
      <c r="L932" s="3291"/>
      <c r="M932" s="3291"/>
      <c r="N932" s="3496"/>
      <c r="O932" s="3496"/>
      <c r="P932" s="3496"/>
      <c r="Q932" s="3291"/>
      <c r="R932" s="3291"/>
    </row>
    <row r="933" spans="1:18">
      <c r="A933" s="3289">
        <v>930</v>
      </c>
      <c r="B933" s="3289">
        <v>3</v>
      </c>
      <c r="C933" s="3289">
        <v>1</v>
      </c>
      <c r="D933" s="3290">
        <v>903</v>
      </c>
      <c r="E933" s="3291">
        <v>1</v>
      </c>
      <c r="F933" s="3291">
        <v>1</v>
      </c>
      <c r="G933" s="3291">
        <v>1</v>
      </c>
      <c r="H933" s="3290" t="s">
        <v>3300</v>
      </c>
      <c r="I933" s="3290" t="s">
        <v>3326</v>
      </c>
      <c r="J933" s="3289"/>
      <c r="K933" s="3289">
        <v>40.32</v>
      </c>
      <c r="L933" s="3291"/>
      <c r="M933" s="3291"/>
      <c r="N933" s="3496"/>
      <c r="O933" s="3496"/>
      <c r="P933" s="3496"/>
      <c r="Q933" s="3291"/>
      <c r="R933" s="3291"/>
    </row>
    <row r="934" spans="1:18">
      <c r="A934" s="3289">
        <v>931</v>
      </c>
      <c r="B934" s="3289">
        <v>3</v>
      </c>
      <c r="C934" s="3289">
        <v>1</v>
      </c>
      <c r="D934" s="3290">
        <v>904</v>
      </c>
      <c r="E934" s="3291">
        <v>1</v>
      </c>
      <c r="F934" s="3291">
        <v>1</v>
      </c>
      <c r="G934" s="3291">
        <v>1</v>
      </c>
      <c r="H934" s="3290" t="s">
        <v>3300</v>
      </c>
      <c r="I934" s="3290" t="s">
        <v>3326</v>
      </c>
      <c r="J934" s="3289"/>
      <c r="K934" s="3289">
        <v>40.32</v>
      </c>
      <c r="L934" s="3291"/>
      <c r="M934" s="3291"/>
      <c r="N934" s="3496"/>
      <c r="O934" s="3496"/>
      <c r="P934" s="3496"/>
      <c r="Q934" s="3291"/>
      <c r="R934" s="3291"/>
    </row>
    <row r="935" spans="1:18">
      <c r="A935" s="3289">
        <v>932</v>
      </c>
      <c r="B935" s="3289">
        <v>3</v>
      </c>
      <c r="C935" s="3289">
        <v>1</v>
      </c>
      <c r="D935" s="3290">
        <v>905</v>
      </c>
      <c r="E935" s="3291">
        <v>1</v>
      </c>
      <c r="F935" s="3291">
        <v>1</v>
      </c>
      <c r="G935" s="3291">
        <v>1</v>
      </c>
      <c r="H935" s="3290" t="s">
        <v>3300</v>
      </c>
      <c r="I935" s="3290" t="s">
        <v>3326</v>
      </c>
      <c r="J935" s="3289"/>
      <c r="K935" s="3289">
        <v>40.32</v>
      </c>
      <c r="L935" s="3291"/>
      <c r="M935" s="3291"/>
      <c r="N935" s="3496"/>
      <c r="O935" s="3496"/>
      <c r="P935" s="3496"/>
      <c r="Q935" s="3291"/>
      <c r="R935" s="3291"/>
    </row>
    <row r="936" spans="1:18">
      <c r="A936" s="3289">
        <v>933</v>
      </c>
      <c r="B936" s="3289">
        <v>3</v>
      </c>
      <c r="C936" s="3289">
        <v>1</v>
      </c>
      <c r="D936" s="3290">
        <v>906</v>
      </c>
      <c r="E936" s="3291">
        <v>1</v>
      </c>
      <c r="F936" s="3291">
        <v>1</v>
      </c>
      <c r="G936" s="3291">
        <v>1</v>
      </c>
      <c r="H936" s="3290" t="s">
        <v>3300</v>
      </c>
      <c r="I936" s="3290" t="s">
        <v>3326</v>
      </c>
      <c r="J936" s="3289"/>
      <c r="K936" s="3289">
        <v>40.32</v>
      </c>
      <c r="L936" s="3291"/>
      <c r="M936" s="3291"/>
      <c r="N936" s="3496"/>
      <c r="O936" s="3496"/>
      <c r="P936" s="3496"/>
      <c r="Q936" s="3291"/>
      <c r="R936" s="3291"/>
    </row>
    <row r="937" spans="1:18">
      <c r="A937" s="3289">
        <v>934</v>
      </c>
      <c r="B937" s="3289">
        <v>3</v>
      </c>
      <c r="C937" s="3289">
        <v>1</v>
      </c>
      <c r="D937" s="3290">
        <v>907</v>
      </c>
      <c r="E937" s="3291">
        <v>1</v>
      </c>
      <c r="F937" s="3291">
        <v>1</v>
      </c>
      <c r="G937" s="3291">
        <v>1</v>
      </c>
      <c r="H937" s="3290" t="s">
        <v>3300</v>
      </c>
      <c r="I937" s="3290" t="s">
        <v>3326</v>
      </c>
      <c r="J937" s="3289"/>
      <c r="K937" s="3289">
        <v>40.32</v>
      </c>
      <c r="L937" s="3291"/>
      <c r="M937" s="3291"/>
      <c r="N937" s="3496"/>
      <c r="O937" s="3496"/>
      <c r="P937" s="3496"/>
      <c r="Q937" s="3291"/>
      <c r="R937" s="3291"/>
    </row>
    <row r="938" spans="1:18">
      <c r="A938" s="3289">
        <v>935</v>
      </c>
      <c r="B938" s="3289">
        <v>3</v>
      </c>
      <c r="C938" s="3289">
        <v>1</v>
      </c>
      <c r="D938" s="3290">
        <v>908</v>
      </c>
      <c r="E938" s="3291">
        <v>1</v>
      </c>
      <c r="F938" s="3291">
        <v>1</v>
      </c>
      <c r="G938" s="3291">
        <v>1</v>
      </c>
      <c r="H938" s="3290" t="s">
        <v>3300</v>
      </c>
      <c r="I938" s="3290" t="s">
        <v>3326</v>
      </c>
      <c r="J938" s="3289"/>
      <c r="K938" s="3289">
        <v>40.32</v>
      </c>
      <c r="L938" s="3291"/>
      <c r="M938" s="3291"/>
      <c r="N938" s="3496"/>
      <c r="O938" s="3496"/>
      <c r="P938" s="3496"/>
      <c r="Q938" s="3291"/>
      <c r="R938" s="3291"/>
    </row>
    <row r="939" spans="1:18">
      <c r="A939" s="3289">
        <v>936</v>
      </c>
      <c r="B939" s="3289">
        <v>3</v>
      </c>
      <c r="C939" s="3289">
        <v>1</v>
      </c>
      <c r="D939" s="3290">
        <v>909</v>
      </c>
      <c r="E939" s="3291">
        <v>1</v>
      </c>
      <c r="F939" s="3291">
        <v>1</v>
      </c>
      <c r="G939" s="3291">
        <v>1</v>
      </c>
      <c r="H939" s="3290" t="s">
        <v>3300</v>
      </c>
      <c r="I939" s="3290" t="s">
        <v>3326</v>
      </c>
      <c r="J939" s="3289"/>
      <c r="K939" s="3289">
        <v>40.32</v>
      </c>
      <c r="L939" s="3291"/>
      <c r="M939" s="3291"/>
      <c r="N939" s="3496"/>
      <c r="O939" s="3496"/>
      <c r="P939" s="3496"/>
      <c r="Q939" s="3291"/>
      <c r="R939" s="3291"/>
    </row>
    <row r="940" spans="1:18">
      <c r="A940" s="3289">
        <v>937</v>
      </c>
      <c r="B940" s="3289">
        <v>3</v>
      </c>
      <c r="C940" s="3289">
        <v>1</v>
      </c>
      <c r="D940" s="3290">
        <v>910</v>
      </c>
      <c r="E940" s="3291">
        <v>1</v>
      </c>
      <c r="F940" s="3291">
        <v>1</v>
      </c>
      <c r="G940" s="3291">
        <v>1</v>
      </c>
      <c r="H940" s="3290" t="s">
        <v>3300</v>
      </c>
      <c r="I940" s="3290" t="s">
        <v>3341</v>
      </c>
      <c r="J940" s="3289"/>
      <c r="K940" s="3289">
        <v>40.32</v>
      </c>
      <c r="L940" s="3291"/>
      <c r="M940" s="3291"/>
      <c r="N940" s="3496"/>
      <c r="O940" s="3496"/>
      <c r="P940" s="3496"/>
      <c r="Q940" s="3291"/>
      <c r="R940" s="3291"/>
    </row>
    <row r="941" spans="1:18">
      <c r="A941" s="3289">
        <v>938</v>
      </c>
      <c r="B941" s="3289">
        <v>3</v>
      </c>
      <c r="C941" s="3289">
        <v>1</v>
      </c>
      <c r="D941" s="3290">
        <v>911</v>
      </c>
      <c r="E941" s="3291">
        <v>1</v>
      </c>
      <c r="F941" s="3291">
        <v>0</v>
      </c>
      <c r="G941" s="3291">
        <v>1</v>
      </c>
      <c r="H941" s="3290" t="s">
        <v>3300</v>
      </c>
      <c r="I941" s="3290" t="s">
        <v>3330</v>
      </c>
      <c r="J941" s="3289"/>
      <c r="K941" s="3289">
        <v>31.54</v>
      </c>
      <c r="L941" s="3291"/>
      <c r="M941" s="3291"/>
      <c r="N941" s="3496"/>
      <c r="O941" s="3496"/>
      <c r="P941" s="3496"/>
      <c r="Q941" s="3291"/>
      <c r="R941" s="3291"/>
    </row>
    <row r="942" spans="1:18">
      <c r="A942" s="3289">
        <v>939</v>
      </c>
      <c r="B942" s="3289">
        <v>3</v>
      </c>
      <c r="C942" s="3289">
        <v>1</v>
      </c>
      <c r="D942" s="3290">
        <v>912</v>
      </c>
      <c r="E942" s="3291">
        <v>1</v>
      </c>
      <c r="F942" s="3291">
        <v>0</v>
      </c>
      <c r="G942" s="3291">
        <v>1</v>
      </c>
      <c r="H942" s="3290" t="s">
        <v>3302</v>
      </c>
      <c r="I942" s="3290" t="s">
        <v>3342</v>
      </c>
      <c r="J942" s="3290"/>
      <c r="K942" s="3289">
        <v>31.63</v>
      </c>
      <c r="L942" s="3291"/>
      <c r="M942" s="3291"/>
      <c r="N942" s="3496"/>
      <c r="O942" s="3496"/>
      <c r="P942" s="3496"/>
      <c r="Q942" s="3291"/>
      <c r="R942" s="3291"/>
    </row>
    <row r="943" spans="1:18">
      <c r="A943" s="3289">
        <v>940</v>
      </c>
      <c r="B943" s="3289">
        <v>3</v>
      </c>
      <c r="C943" s="3289">
        <v>1</v>
      </c>
      <c r="D943" s="3290">
        <v>913</v>
      </c>
      <c r="E943" s="3291">
        <v>1</v>
      </c>
      <c r="F943" s="3291">
        <v>0</v>
      </c>
      <c r="G943" s="3291">
        <v>1</v>
      </c>
      <c r="H943" s="3290" t="s">
        <v>3310</v>
      </c>
      <c r="I943" s="3290" t="s">
        <v>3342</v>
      </c>
      <c r="J943" s="3290"/>
      <c r="K943" s="3289">
        <v>31.63</v>
      </c>
      <c r="L943" s="3291"/>
      <c r="M943" s="3291"/>
      <c r="N943" s="3496"/>
      <c r="O943" s="3496"/>
      <c r="P943" s="3496"/>
      <c r="Q943" s="3291"/>
      <c r="R943" s="3291"/>
    </row>
    <row r="944" spans="1:18">
      <c r="A944" s="3289">
        <v>941</v>
      </c>
      <c r="B944" s="3289">
        <v>3</v>
      </c>
      <c r="C944" s="3289">
        <v>1</v>
      </c>
      <c r="D944" s="3290">
        <v>914</v>
      </c>
      <c r="E944" s="3291">
        <v>1</v>
      </c>
      <c r="F944" s="3291">
        <v>0</v>
      </c>
      <c r="G944" s="3291">
        <v>1</v>
      </c>
      <c r="H944" s="3290" t="s">
        <v>3312</v>
      </c>
      <c r="I944" s="3290" t="s">
        <v>3330</v>
      </c>
      <c r="J944" s="3290"/>
      <c r="K944" s="3289">
        <v>31.54</v>
      </c>
      <c r="L944" s="3291"/>
      <c r="M944" s="3291"/>
      <c r="N944" s="3496"/>
      <c r="O944" s="3496"/>
      <c r="P944" s="3496"/>
      <c r="Q944" s="3291"/>
      <c r="R944" s="3291"/>
    </row>
    <row r="945" spans="1:18">
      <c r="A945" s="3289">
        <v>942</v>
      </c>
      <c r="B945" s="3289">
        <v>3</v>
      </c>
      <c r="C945" s="3289">
        <v>1</v>
      </c>
      <c r="D945" s="3290">
        <v>915</v>
      </c>
      <c r="E945" s="3291">
        <v>1</v>
      </c>
      <c r="F945" s="3291">
        <v>0</v>
      </c>
      <c r="G945" s="3291">
        <v>1</v>
      </c>
      <c r="H945" s="3290" t="s">
        <v>3312</v>
      </c>
      <c r="I945" s="3290" t="s">
        <v>3343</v>
      </c>
      <c r="J945" s="3289"/>
      <c r="K945" s="3289">
        <v>31.8</v>
      </c>
      <c r="L945" s="3291"/>
      <c r="M945" s="3291"/>
      <c r="N945" s="3496"/>
      <c r="O945" s="3496"/>
      <c r="P945" s="3496"/>
      <c r="Q945" s="3291"/>
      <c r="R945" s="3291"/>
    </row>
    <row r="946" spans="1:18">
      <c r="A946" s="3289">
        <v>943</v>
      </c>
      <c r="B946" s="3289">
        <v>3</v>
      </c>
      <c r="C946" s="3289">
        <v>1</v>
      </c>
      <c r="D946" s="3290">
        <v>916</v>
      </c>
      <c r="E946" s="3291">
        <v>1</v>
      </c>
      <c r="F946" s="3291">
        <v>0</v>
      </c>
      <c r="G946" s="3291">
        <v>1</v>
      </c>
      <c r="H946" s="3290" t="s">
        <v>3312</v>
      </c>
      <c r="I946" s="3290" t="s">
        <v>3331</v>
      </c>
      <c r="J946" s="3289"/>
      <c r="K946" s="3289">
        <v>32.26</v>
      </c>
      <c r="L946" s="3291"/>
      <c r="M946" s="3291"/>
      <c r="N946" s="3496"/>
      <c r="O946" s="3496"/>
      <c r="P946" s="3496"/>
      <c r="Q946" s="3291"/>
      <c r="R946" s="3291"/>
    </row>
    <row r="947" spans="1:18">
      <c r="A947" s="3289">
        <v>944</v>
      </c>
      <c r="B947" s="3289">
        <v>3</v>
      </c>
      <c r="C947" s="3289">
        <v>1</v>
      </c>
      <c r="D947" s="3290">
        <v>917</v>
      </c>
      <c r="E947" s="3291">
        <v>1</v>
      </c>
      <c r="F947" s="3291">
        <v>1</v>
      </c>
      <c r="G947" s="3291">
        <v>1</v>
      </c>
      <c r="H947" s="3290" t="s">
        <v>3312</v>
      </c>
      <c r="I947" s="3290" t="s">
        <v>3326</v>
      </c>
      <c r="J947" s="3289"/>
      <c r="K947" s="3289">
        <v>40.32</v>
      </c>
      <c r="L947" s="3291"/>
      <c r="M947" s="3291"/>
      <c r="N947" s="3496"/>
      <c r="O947" s="3496"/>
      <c r="P947" s="3496"/>
      <c r="Q947" s="3291"/>
      <c r="R947" s="3291"/>
    </row>
    <row r="948" spans="1:18">
      <c r="A948" s="3289">
        <v>945</v>
      </c>
      <c r="B948" s="3289">
        <v>3</v>
      </c>
      <c r="C948" s="3289">
        <v>1</v>
      </c>
      <c r="D948" s="3290">
        <v>918</v>
      </c>
      <c r="E948" s="3291">
        <v>1</v>
      </c>
      <c r="F948" s="3291">
        <v>1</v>
      </c>
      <c r="G948" s="3291">
        <v>1</v>
      </c>
      <c r="H948" s="3290" t="s">
        <v>3312</v>
      </c>
      <c r="I948" s="3290" t="s">
        <v>3326</v>
      </c>
      <c r="J948" s="3289"/>
      <c r="K948" s="3289">
        <v>40.32</v>
      </c>
      <c r="L948" s="3291"/>
      <c r="M948" s="3291"/>
      <c r="N948" s="3496"/>
      <c r="O948" s="3496"/>
      <c r="P948" s="3496"/>
      <c r="Q948" s="3291"/>
      <c r="R948" s="3291"/>
    </row>
    <row r="949" spans="1:18">
      <c r="A949" s="3289">
        <v>946</v>
      </c>
      <c r="B949" s="3289">
        <v>3</v>
      </c>
      <c r="C949" s="3289">
        <v>1</v>
      </c>
      <c r="D949" s="3290">
        <v>919</v>
      </c>
      <c r="E949" s="3291">
        <v>1</v>
      </c>
      <c r="F949" s="3291">
        <v>1</v>
      </c>
      <c r="G949" s="3291">
        <v>1</v>
      </c>
      <c r="H949" s="3290" t="s">
        <v>3312</v>
      </c>
      <c r="I949" s="3290" t="s">
        <v>3326</v>
      </c>
      <c r="J949" s="3289"/>
      <c r="K949" s="3289">
        <v>40.32</v>
      </c>
      <c r="L949" s="3291"/>
      <c r="M949" s="3291"/>
      <c r="N949" s="3496"/>
      <c r="O949" s="3496"/>
      <c r="P949" s="3496"/>
      <c r="Q949" s="3291"/>
      <c r="R949" s="3291"/>
    </row>
    <row r="950" spans="1:18">
      <c r="A950" s="3289">
        <v>947</v>
      </c>
      <c r="B950" s="3289">
        <v>3</v>
      </c>
      <c r="C950" s="3289">
        <v>1</v>
      </c>
      <c r="D950" s="3290">
        <v>920</v>
      </c>
      <c r="E950" s="3291">
        <v>1</v>
      </c>
      <c r="F950" s="3291">
        <v>1</v>
      </c>
      <c r="G950" s="3291">
        <v>1</v>
      </c>
      <c r="H950" s="3290" t="s">
        <v>3312</v>
      </c>
      <c r="I950" s="3290" t="s">
        <v>3340</v>
      </c>
      <c r="J950" s="3289"/>
      <c r="K950" s="3289">
        <v>40.65</v>
      </c>
      <c r="L950" s="3291"/>
      <c r="M950" s="3291"/>
      <c r="N950" s="3496"/>
      <c r="O950" s="3496"/>
      <c r="P950" s="3496"/>
      <c r="Q950" s="3291"/>
      <c r="R950" s="3291"/>
    </row>
    <row r="951" spans="1:18" ht="14.25" thickBot="1">
      <c r="A951" s="3289">
        <v>948</v>
      </c>
      <c r="B951" s="3292">
        <v>3</v>
      </c>
      <c r="C951" s="3292">
        <v>1</v>
      </c>
      <c r="D951" s="3298">
        <v>921</v>
      </c>
      <c r="E951" s="3294">
        <v>4</v>
      </c>
      <c r="F951" s="3294">
        <v>1</v>
      </c>
      <c r="G951" s="3294">
        <v>1</v>
      </c>
      <c r="H951" s="3293" t="s">
        <v>3316</v>
      </c>
      <c r="I951" s="3293" t="s">
        <v>3339</v>
      </c>
      <c r="J951" s="3292"/>
      <c r="K951" s="3295">
        <v>76.66</v>
      </c>
      <c r="L951" s="3294"/>
      <c r="M951" s="3294"/>
      <c r="N951" s="3499"/>
      <c r="O951" s="3499"/>
      <c r="P951" s="3499"/>
      <c r="Q951" s="3294"/>
      <c r="R951" s="3294"/>
    </row>
    <row r="952" spans="1:18" ht="14.25" thickTop="1">
      <c r="A952" s="3289">
        <v>949</v>
      </c>
      <c r="B952" s="3285">
        <v>3</v>
      </c>
      <c r="C952" s="3285">
        <v>1</v>
      </c>
      <c r="D952" s="3286">
        <v>1001</v>
      </c>
      <c r="E952" s="3287">
        <v>4</v>
      </c>
      <c r="F952" s="3287">
        <v>1</v>
      </c>
      <c r="G952" s="3287">
        <v>1</v>
      </c>
      <c r="H952" s="3286" t="s">
        <v>3318</v>
      </c>
      <c r="I952" s="3286" t="s">
        <v>3339</v>
      </c>
      <c r="J952" s="3285"/>
      <c r="K952" s="3288">
        <v>76.66</v>
      </c>
      <c r="L952" s="3287"/>
      <c r="M952" s="3287"/>
      <c r="N952" s="3495">
        <v>2.9</v>
      </c>
      <c r="O952" s="3497" t="s">
        <v>3297</v>
      </c>
      <c r="P952" s="3497" t="s">
        <v>3298</v>
      </c>
      <c r="Q952" s="3287"/>
      <c r="R952" s="3287"/>
    </row>
    <row r="953" spans="1:18">
      <c r="A953" s="3289">
        <v>950</v>
      </c>
      <c r="B953" s="3289">
        <v>3</v>
      </c>
      <c r="C953" s="3289">
        <v>1</v>
      </c>
      <c r="D953" s="3290">
        <v>1002</v>
      </c>
      <c r="E953" s="3291">
        <v>1</v>
      </c>
      <c r="F953" s="3291">
        <v>1</v>
      </c>
      <c r="G953" s="3291">
        <v>1</v>
      </c>
      <c r="H953" s="3290" t="s">
        <v>3300</v>
      </c>
      <c r="I953" s="3290" t="s">
        <v>3340</v>
      </c>
      <c r="J953" s="3289"/>
      <c r="K953" s="3289">
        <v>40.65</v>
      </c>
      <c r="L953" s="3291"/>
      <c r="M953" s="3291"/>
      <c r="N953" s="3496"/>
      <c r="O953" s="3496"/>
      <c r="P953" s="3496"/>
      <c r="Q953" s="3291"/>
      <c r="R953" s="3291"/>
    </row>
    <row r="954" spans="1:18">
      <c r="A954" s="3289">
        <v>951</v>
      </c>
      <c r="B954" s="3289">
        <v>3</v>
      </c>
      <c r="C954" s="3289">
        <v>1</v>
      </c>
      <c r="D954" s="3290">
        <v>1003</v>
      </c>
      <c r="E954" s="3291">
        <v>1</v>
      </c>
      <c r="F954" s="3291">
        <v>1</v>
      </c>
      <c r="G954" s="3291">
        <v>1</v>
      </c>
      <c r="H954" s="3290" t="s">
        <v>3300</v>
      </c>
      <c r="I954" s="3290" t="s">
        <v>3326</v>
      </c>
      <c r="J954" s="3289"/>
      <c r="K954" s="3289">
        <v>40.32</v>
      </c>
      <c r="L954" s="3291"/>
      <c r="M954" s="3291"/>
      <c r="N954" s="3496"/>
      <c r="O954" s="3496"/>
      <c r="P954" s="3496"/>
      <c r="Q954" s="3291"/>
      <c r="R954" s="3291"/>
    </row>
    <row r="955" spans="1:18">
      <c r="A955" s="3289">
        <v>952</v>
      </c>
      <c r="B955" s="3289">
        <v>3</v>
      </c>
      <c r="C955" s="3289">
        <v>1</v>
      </c>
      <c r="D955" s="3290">
        <v>1004</v>
      </c>
      <c r="E955" s="3291">
        <v>1</v>
      </c>
      <c r="F955" s="3291">
        <v>1</v>
      </c>
      <c r="G955" s="3291">
        <v>1</v>
      </c>
      <c r="H955" s="3290" t="s">
        <v>3300</v>
      </c>
      <c r="I955" s="3290" t="s">
        <v>3326</v>
      </c>
      <c r="J955" s="3289"/>
      <c r="K955" s="3289">
        <v>40.32</v>
      </c>
      <c r="L955" s="3291"/>
      <c r="M955" s="3291"/>
      <c r="N955" s="3496"/>
      <c r="O955" s="3496"/>
      <c r="P955" s="3496"/>
      <c r="Q955" s="3291"/>
      <c r="R955" s="3291"/>
    </row>
    <row r="956" spans="1:18">
      <c r="A956" s="3289">
        <v>953</v>
      </c>
      <c r="B956" s="3289">
        <v>3</v>
      </c>
      <c r="C956" s="3289">
        <v>1</v>
      </c>
      <c r="D956" s="3290">
        <v>1005</v>
      </c>
      <c r="E956" s="3291">
        <v>1</v>
      </c>
      <c r="F956" s="3291">
        <v>1</v>
      </c>
      <c r="G956" s="3291">
        <v>1</v>
      </c>
      <c r="H956" s="3290" t="s">
        <v>3300</v>
      </c>
      <c r="I956" s="3290" t="s">
        <v>3326</v>
      </c>
      <c r="J956" s="3289"/>
      <c r="K956" s="3289">
        <v>40.32</v>
      </c>
      <c r="L956" s="3291"/>
      <c r="M956" s="3291"/>
      <c r="N956" s="3496"/>
      <c r="O956" s="3496"/>
      <c r="P956" s="3496"/>
      <c r="Q956" s="3291"/>
      <c r="R956" s="3291"/>
    </row>
    <row r="957" spans="1:18">
      <c r="A957" s="3289">
        <v>954</v>
      </c>
      <c r="B957" s="3289">
        <v>3</v>
      </c>
      <c r="C957" s="3289">
        <v>1</v>
      </c>
      <c r="D957" s="3290">
        <v>1006</v>
      </c>
      <c r="E957" s="3291">
        <v>1</v>
      </c>
      <c r="F957" s="3291">
        <v>1</v>
      </c>
      <c r="G957" s="3291">
        <v>1</v>
      </c>
      <c r="H957" s="3290" t="s">
        <v>3300</v>
      </c>
      <c r="I957" s="3290" t="s">
        <v>3326</v>
      </c>
      <c r="J957" s="3289"/>
      <c r="K957" s="3289">
        <v>40.32</v>
      </c>
      <c r="L957" s="3291"/>
      <c r="M957" s="3291"/>
      <c r="N957" s="3496"/>
      <c r="O957" s="3496"/>
      <c r="P957" s="3496"/>
      <c r="Q957" s="3291"/>
      <c r="R957" s="3291"/>
    </row>
    <row r="958" spans="1:18">
      <c r="A958" s="3289">
        <v>955</v>
      </c>
      <c r="B958" s="3289">
        <v>3</v>
      </c>
      <c r="C958" s="3289">
        <v>1</v>
      </c>
      <c r="D958" s="3290">
        <v>1007</v>
      </c>
      <c r="E958" s="3291">
        <v>1</v>
      </c>
      <c r="F958" s="3291">
        <v>1</v>
      </c>
      <c r="G958" s="3291">
        <v>1</v>
      </c>
      <c r="H958" s="3290" t="s">
        <v>3300</v>
      </c>
      <c r="I958" s="3290" t="s">
        <v>3326</v>
      </c>
      <c r="J958" s="3289"/>
      <c r="K958" s="3289">
        <v>40.32</v>
      </c>
      <c r="L958" s="3291"/>
      <c r="M958" s="3291"/>
      <c r="N958" s="3496"/>
      <c r="O958" s="3496"/>
      <c r="P958" s="3496"/>
      <c r="Q958" s="3291"/>
      <c r="R958" s="3291"/>
    </row>
    <row r="959" spans="1:18">
      <c r="A959" s="3289">
        <v>956</v>
      </c>
      <c r="B959" s="3289">
        <v>3</v>
      </c>
      <c r="C959" s="3289">
        <v>1</v>
      </c>
      <c r="D959" s="3290">
        <v>1008</v>
      </c>
      <c r="E959" s="3291">
        <v>1</v>
      </c>
      <c r="F959" s="3291">
        <v>1</v>
      </c>
      <c r="G959" s="3291">
        <v>1</v>
      </c>
      <c r="H959" s="3290" t="s">
        <v>3300</v>
      </c>
      <c r="I959" s="3290" t="s">
        <v>3326</v>
      </c>
      <c r="J959" s="3289"/>
      <c r="K959" s="3289">
        <v>40.32</v>
      </c>
      <c r="L959" s="3291"/>
      <c r="M959" s="3291"/>
      <c r="N959" s="3496"/>
      <c r="O959" s="3496"/>
      <c r="P959" s="3496"/>
      <c r="Q959" s="3291"/>
      <c r="R959" s="3291"/>
    </row>
    <row r="960" spans="1:18">
      <c r="A960" s="3289">
        <v>957</v>
      </c>
      <c r="B960" s="3289">
        <v>3</v>
      </c>
      <c r="C960" s="3289">
        <v>1</v>
      </c>
      <c r="D960" s="3290">
        <v>1009</v>
      </c>
      <c r="E960" s="3291">
        <v>1</v>
      </c>
      <c r="F960" s="3291">
        <v>1</v>
      </c>
      <c r="G960" s="3291">
        <v>1</v>
      </c>
      <c r="H960" s="3290" t="s">
        <v>3300</v>
      </c>
      <c r="I960" s="3290" t="s">
        <v>3326</v>
      </c>
      <c r="J960" s="3289"/>
      <c r="K960" s="3289">
        <v>40.32</v>
      </c>
      <c r="L960" s="3291"/>
      <c r="M960" s="3291"/>
      <c r="N960" s="3496"/>
      <c r="O960" s="3496"/>
      <c r="P960" s="3496"/>
      <c r="Q960" s="3291"/>
      <c r="R960" s="3291"/>
    </row>
    <row r="961" spans="1:18">
      <c r="A961" s="3289">
        <v>958</v>
      </c>
      <c r="B961" s="3289">
        <v>3</v>
      </c>
      <c r="C961" s="3289">
        <v>1</v>
      </c>
      <c r="D961" s="3290">
        <v>1010</v>
      </c>
      <c r="E961" s="3291">
        <v>1</v>
      </c>
      <c r="F961" s="3291">
        <v>1</v>
      </c>
      <c r="G961" s="3291">
        <v>1</v>
      </c>
      <c r="H961" s="3290" t="s">
        <v>3300</v>
      </c>
      <c r="I961" s="3290" t="s">
        <v>3341</v>
      </c>
      <c r="J961" s="3289"/>
      <c r="K961" s="3289">
        <v>40.32</v>
      </c>
      <c r="L961" s="3291"/>
      <c r="M961" s="3291"/>
      <c r="N961" s="3496"/>
      <c r="O961" s="3496"/>
      <c r="P961" s="3496"/>
      <c r="Q961" s="3291"/>
      <c r="R961" s="3291"/>
    </row>
    <row r="962" spans="1:18">
      <c r="A962" s="3289">
        <v>959</v>
      </c>
      <c r="B962" s="3289">
        <v>3</v>
      </c>
      <c r="C962" s="3289">
        <v>1</v>
      </c>
      <c r="D962" s="3290">
        <v>1011</v>
      </c>
      <c r="E962" s="3291">
        <v>1</v>
      </c>
      <c r="F962" s="3291">
        <v>0</v>
      </c>
      <c r="G962" s="3291">
        <v>1</v>
      </c>
      <c r="H962" s="3290" t="s">
        <v>3300</v>
      </c>
      <c r="I962" s="3290" t="s">
        <v>3330</v>
      </c>
      <c r="J962" s="3289"/>
      <c r="K962" s="3289">
        <v>31.54</v>
      </c>
      <c r="L962" s="3291"/>
      <c r="M962" s="3291"/>
      <c r="N962" s="3496"/>
      <c r="O962" s="3496"/>
      <c r="P962" s="3496"/>
      <c r="Q962" s="3291"/>
      <c r="R962" s="3291"/>
    </row>
    <row r="963" spans="1:18">
      <c r="A963" s="3289">
        <v>960</v>
      </c>
      <c r="B963" s="3289">
        <v>3</v>
      </c>
      <c r="C963" s="3289">
        <v>1</v>
      </c>
      <c r="D963" s="3290">
        <v>1012</v>
      </c>
      <c r="E963" s="3291">
        <v>1</v>
      </c>
      <c r="F963" s="3291">
        <v>0</v>
      </c>
      <c r="G963" s="3291">
        <v>1</v>
      </c>
      <c r="H963" s="3290" t="s">
        <v>3302</v>
      </c>
      <c r="I963" s="3290" t="s">
        <v>3342</v>
      </c>
      <c r="J963" s="3290"/>
      <c r="K963" s="3289">
        <v>31.63</v>
      </c>
      <c r="L963" s="3291"/>
      <c r="M963" s="3291"/>
      <c r="N963" s="3496"/>
      <c r="O963" s="3496"/>
      <c r="P963" s="3496"/>
      <c r="Q963" s="3291"/>
      <c r="R963" s="3291"/>
    </row>
    <row r="964" spans="1:18">
      <c r="A964" s="3289">
        <v>961</v>
      </c>
      <c r="B964" s="3289">
        <v>3</v>
      </c>
      <c r="C964" s="3289">
        <v>1</v>
      </c>
      <c r="D964" s="3290">
        <v>1013</v>
      </c>
      <c r="E964" s="3291">
        <v>1</v>
      </c>
      <c r="F964" s="3291">
        <v>0</v>
      </c>
      <c r="G964" s="3291">
        <v>1</v>
      </c>
      <c r="H964" s="3290" t="s">
        <v>3310</v>
      </c>
      <c r="I964" s="3290" t="s">
        <v>3342</v>
      </c>
      <c r="J964" s="3290"/>
      <c r="K964" s="3289">
        <v>31.63</v>
      </c>
      <c r="L964" s="3291"/>
      <c r="M964" s="3291"/>
      <c r="N964" s="3496"/>
      <c r="O964" s="3496"/>
      <c r="P964" s="3496"/>
      <c r="Q964" s="3291"/>
      <c r="R964" s="3291"/>
    </row>
    <row r="965" spans="1:18">
      <c r="A965" s="3289">
        <v>962</v>
      </c>
      <c r="B965" s="3289">
        <v>3</v>
      </c>
      <c r="C965" s="3289">
        <v>1</v>
      </c>
      <c r="D965" s="3290">
        <v>1014</v>
      </c>
      <c r="E965" s="3291">
        <v>1</v>
      </c>
      <c r="F965" s="3291">
        <v>0</v>
      </c>
      <c r="G965" s="3291">
        <v>1</v>
      </c>
      <c r="H965" s="3290" t="s">
        <v>3312</v>
      </c>
      <c r="I965" s="3290" t="s">
        <v>3330</v>
      </c>
      <c r="J965" s="3290"/>
      <c r="K965" s="3289">
        <v>31.54</v>
      </c>
      <c r="L965" s="3291"/>
      <c r="M965" s="3291"/>
      <c r="N965" s="3496"/>
      <c r="O965" s="3496"/>
      <c r="P965" s="3496"/>
      <c r="Q965" s="3291"/>
      <c r="R965" s="3291"/>
    </row>
    <row r="966" spans="1:18">
      <c r="A966" s="3289">
        <v>963</v>
      </c>
      <c r="B966" s="3289">
        <v>3</v>
      </c>
      <c r="C966" s="3289">
        <v>1</v>
      </c>
      <c r="D966" s="3290">
        <v>1015</v>
      </c>
      <c r="E966" s="3291">
        <v>1</v>
      </c>
      <c r="F966" s="3291">
        <v>0</v>
      </c>
      <c r="G966" s="3291">
        <v>1</v>
      </c>
      <c r="H966" s="3290" t="s">
        <v>3312</v>
      </c>
      <c r="I966" s="3290" t="s">
        <v>3343</v>
      </c>
      <c r="J966" s="3289"/>
      <c r="K966" s="3289">
        <v>31.8</v>
      </c>
      <c r="L966" s="3291"/>
      <c r="M966" s="3291"/>
      <c r="N966" s="3496"/>
      <c r="O966" s="3496"/>
      <c r="P966" s="3496"/>
      <c r="Q966" s="3291"/>
      <c r="R966" s="3291"/>
    </row>
    <row r="967" spans="1:18">
      <c r="A967" s="3289">
        <v>964</v>
      </c>
      <c r="B967" s="3289">
        <v>3</v>
      </c>
      <c r="C967" s="3289">
        <v>1</v>
      </c>
      <c r="D967" s="3290">
        <v>1016</v>
      </c>
      <c r="E967" s="3291">
        <v>1</v>
      </c>
      <c r="F967" s="3291">
        <v>0</v>
      </c>
      <c r="G967" s="3291">
        <v>1</v>
      </c>
      <c r="H967" s="3290" t="s">
        <v>3312</v>
      </c>
      <c r="I967" s="3290" t="s">
        <v>3331</v>
      </c>
      <c r="J967" s="3289"/>
      <c r="K967" s="3289">
        <v>32.26</v>
      </c>
      <c r="L967" s="3291"/>
      <c r="M967" s="3291"/>
      <c r="N967" s="3496"/>
      <c r="O967" s="3496"/>
      <c r="P967" s="3496"/>
      <c r="Q967" s="3291"/>
      <c r="R967" s="3291"/>
    </row>
    <row r="968" spans="1:18">
      <c r="A968" s="3289">
        <v>965</v>
      </c>
      <c r="B968" s="3289">
        <v>3</v>
      </c>
      <c r="C968" s="3289">
        <v>1</v>
      </c>
      <c r="D968" s="3290">
        <v>1017</v>
      </c>
      <c r="E968" s="3291">
        <v>1</v>
      </c>
      <c r="F968" s="3291">
        <v>1</v>
      </c>
      <c r="G968" s="3291">
        <v>1</v>
      </c>
      <c r="H968" s="3290" t="s">
        <v>3312</v>
      </c>
      <c r="I968" s="3290" t="s">
        <v>3326</v>
      </c>
      <c r="J968" s="3289"/>
      <c r="K968" s="3289">
        <v>40.32</v>
      </c>
      <c r="L968" s="3291"/>
      <c r="M968" s="3291"/>
      <c r="N968" s="3496"/>
      <c r="O968" s="3496"/>
      <c r="P968" s="3496"/>
      <c r="Q968" s="3291"/>
      <c r="R968" s="3291"/>
    </row>
    <row r="969" spans="1:18">
      <c r="A969" s="3289">
        <v>966</v>
      </c>
      <c r="B969" s="3289">
        <v>3</v>
      </c>
      <c r="C969" s="3289">
        <v>1</v>
      </c>
      <c r="D969" s="3290">
        <v>1018</v>
      </c>
      <c r="E969" s="3291">
        <v>1</v>
      </c>
      <c r="F969" s="3291">
        <v>1</v>
      </c>
      <c r="G969" s="3291">
        <v>1</v>
      </c>
      <c r="H969" s="3290" t="s">
        <v>3312</v>
      </c>
      <c r="I969" s="3290" t="s">
        <v>3326</v>
      </c>
      <c r="J969" s="3289"/>
      <c r="K969" s="3289">
        <v>40.32</v>
      </c>
      <c r="L969" s="3291"/>
      <c r="M969" s="3291"/>
      <c r="N969" s="3496"/>
      <c r="O969" s="3496"/>
      <c r="P969" s="3496"/>
      <c r="Q969" s="3291"/>
      <c r="R969" s="3291"/>
    </row>
    <row r="970" spans="1:18">
      <c r="A970" s="3289">
        <v>967</v>
      </c>
      <c r="B970" s="3289">
        <v>3</v>
      </c>
      <c r="C970" s="3289">
        <v>1</v>
      </c>
      <c r="D970" s="3290">
        <v>1019</v>
      </c>
      <c r="E970" s="3291">
        <v>1</v>
      </c>
      <c r="F970" s="3291">
        <v>1</v>
      </c>
      <c r="G970" s="3291">
        <v>1</v>
      </c>
      <c r="H970" s="3290" t="s">
        <v>3312</v>
      </c>
      <c r="I970" s="3290" t="s">
        <v>3326</v>
      </c>
      <c r="J970" s="3289"/>
      <c r="K970" s="3289">
        <v>40.32</v>
      </c>
      <c r="L970" s="3291"/>
      <c r="M970" s="3291"/>
      <c r="N970" s="3496"/>
      <c r="O970" s="3496"/>
      <c r="P970" s="3496"/>
      <c r="Q970" s="3291"/>
      <c r="R970" s="3291"/>
    </row>
    <row r="971" spans="1:18">
      <c r="A971" s="3289">
        <v>968</v>
      </c>
      <c r="B971" s="3289">
        <v>3</v>
      </c>
      <c r="C971" s="3289">
        <v>1</v>
      </c>
      <c r="D971" s="3290">
        <v>1020</v>
      </c>
      <c r="E971" s="3291">
        <v>1</v>
      </c>
      <c r="F971" s="3291">
        <v>1</v>
      </c>
      <c r="G971" s="3291">
        <v>1</v>
      </c>
      <c r="H971" s="3290" t="s">
        <v>3312</v>
      </c>
      <c r="I971" s="3290" t="s">
        <v>3340</v>
      </c>
      <c r="J971" s="3289"/>
      <c r="K971" s="3289">
        <v>40.65</v>
      </c>
      <c r="L971" s="3291"/>
      <c r="M971" s="3291"/>
      <c r="N971" s="3496"/>
      <c r="O971" s="3496"/>
      <c r="P971" s="3496"/>
      <c r="Q971" s="3291"/>
      <c r="R971" s="3291"/>
    </row>
    <row r="972" spans="1:18" ht="14.25" thickBot="1">
      <c r="A972" s="3289">
        <v>969</v>
      </c>
      <c r="B972" s="3292">
        <v>3</v>
      </c>
      <c r="C972" s="3292">
        <v>1</v>
      </c>
      <c r="D972" s="3293">
        <v>1021</v>
      </c>
      <c r="E972" s="3294">
        <v>4</v>
      </c>
      <c r="F972" s="3294">
        <v>1</v>
      </c>
      <c r="G972" s="3294">
        <v>1</v>
      </c>
      <c r="H972" s="3293" t="s">
        <v>3316</v>
      </c>
      <c r="I972" s="3293" t="s">
        <v>3339</v>
      </c>
      <c r="J972" s="3292"/>
      <c r="K972" s="3295">
        <v>76.66</v>
      </c>
      <c r="L972" s="3294"/>
      <c r="M972" s="3294"/>
      <c r="N972" s="3499"/>
      <c r="O972" s="3499"/>
      <c r="P972" s="3499"/>
      <c r="Q972" s="3294"/>
      <c r="R972" s="3294"/>
    </row>
    <row r="973" spans="1:18" ht="14.25" thickTop="1">
      <c r="A973" s="3289">
        <v>970</v>
      </c>
      <c r="B973" s="3285">
        <v>3</v>
      </c>
      <c r="C973" s="3285">
        <v>1</v>
      </c>
      <c r="D973" s="3286">
        <v>1101</v>
      </c>
      <c r="E973" s="3287">
        <v>4</v>
      </c>
      <c r="F973" s="3287">
        <v>1</v>
      </c>
      <c r="G973" s="3287">
        <v>1</v>
      </c>
      <c r="H973" s="3286" t="s">
        <v>3318</v>
      </c>
      <c r="I973" s="3286" t="s">
        <v>3339</v>
      </c>
      <c r="J973" s="3285"/>
      <c r="K973" s="3288">
        <v>76.66</v>
      </c>
      <c r="L973" s="3287"/>
      <c r="M973" s="3287"/>
      <c r="N973" s="3495">
        <v>2.9</v>
      </c>
      <c r="O973" s="3497" t="s">
        <v>3297</v>
      </c>
      <c r="P973" s="3497" t="s">
        <v>3298</v>
      </c>
      <c r="Q973" s="3287"/>
      <c r="R973" s="3287"/>
    </row>
    <row r="974" spans="1:18">
      <c r="A974" s="3289">
        <v>971</v>
      </c>
      <c r="B974" s="3289">
        <v>3</v>
      </c>
      <c r="C974" s="3289">
        <v>1</v>
      </c>
      <c r="D974" s="3290">
        <v>1102</v>
      </c>
      <c r="E974" s="3291">
        <v>1</v>
      </c>
      <c r="F974" s="3291">
        <v>1</v>
      </c>
      <c r="G974" s="3291">
        <v>1</v>
      </c>
      <c r="H974" s="3290" t="s">
        <v>3300</v>
      </c>
      <c r="I974" s="3290" t="s">
        <v>3340</v>
      </c>
      <c r="J974" s="3289"/>
      <c r="K974" s="3289">
        <v>40.65</v>
      </c>
      <c r="L974" s="3291"/>
      <c r="M974" s="3291"/>
      <c r="N974" s="3496"/>
      <c r="O974" s="3496"/>
      <c r="P974" s="3496"/>
      <c r="Q974" s="3291"/>
      <c r="R974" s="3291"/>
    </row>
    <row r="975" spans="1:18">
      <c r="A975" s="3289">
        <v>972</v>
      </c>
      <c r="B975" s="3289">
        <v>3</v>
      </c>
      <c r="C975" s="3289">
        <v>1</v>
      </c>
      <c r="D975" s="3290">
        <v>1103</v>
      </c>
      <c r="E975" s="3291">
        <v>1</v>
      </c>
      <c r="F975" s="3291">
        <v>1</v>
      </c>
      <c r="G975" s="3291">
        <v>1</v>
      </c>
      <c r="H975" s="3290" t="s">
        <v>3300</v>
      </c>
      <c r="I975" s="3290" t="s">
        <v>3326</v>
      </c>
      <c r="J975" s="3289"/>
      <c r="K975" s="3289">
        <v>40.32</v>
      </c>
      <c r="L975" s="3291"/>
      <c r="M975" s="3291"/>
      <c r="N975" s="3496"/>
      <c r="O975" s="3496"/>
      <c r="P975" s="3496"/>
      <c r="Q975" s="3291"/>
      <c r="R975" s="3291"/>
    </row>
    <row r="976" spans="1:18">
      <c r="A976" s="3289">
        <v>973</v>
      </c>
      <c r="B976" s="3289">
        <v>3</v>
      </c>
      <c r="C976" s="3289">
        <v>1</v>
      </c>
      <c r="D976" s="3290">
        <v>1104</v>
      </c>
      <c r="E976" s="3291">
        <v>1</v>
      </c>
      <c r="F976" s="3291">
        <v>1</v>
      </c>
      <c r="G976" s="3291">
        <v>1</v>
      </c>
      <c r="H976" s="3290" t="s">
        <v>3300</v>
      </c>
      <c r="I976" s="3290" t="s">
        <v>3326</v>
      </c>
      <c r="J976" s="3289"/>
      <c r="K976" s="3289">
        <v>40.32</v>
      </c>
      <c r="L976" s="3291"/>
      <c r="M976" s="3291"/>
      <c r="N976" s="3496"/>
      <c r="O976" s="3496"/>
      <c r="P976" s="3496"/>
      <c r="Q976" s="3291"/>
      <c r="R976" s="3291"/>
    </row>
    <row r="977" spans="1:18">
      <c r="A977" s="3289">
        <v>974</v>
      </c>
      <c r="B977" s="3289">
        <v>3</v>
      </c>
      <c r="C977" s="3289">
        <v>1</v>
      </c>
      <c r="D977" s="3290">
        <v>1106</v>
      </c>
      <c r="E977" s="3291">
        <v>1</v>
      </c>
      <c r="F977" s="3291">
        <v>1</v>
      </c>
      <c r="G977" s="3291">
        <v>1</v>
      </c>
      <c r="H977" s="3290" t="s">
        <v>3300</v>
      </c>
      <c r="I977" s="3290" t="s">
        <v>3326</v>
      </c>
      <c r="J977" s="3289"/>
      <c r="K977" s="3289">
        <v>40.32</v>
      </c>
      <c r="L977" s="3291"/>
      <c r="M977" s="3291"/>
      <c r="N977" s="3496"/>
      <c r="O977" s="3496"/>
      <c r="P977" s="3496"/>
      <c r="Q977" s="3291"/>
      <c r="R977" s="3291"/>
    </row>
    <row r="978" spans="1:18">
      <c r="A978" s="3289">
        <v>975</v>
      </c>
      <c r="B978" s="3289">
        <v>3</v>
      </c>
      <c r="C978" s="3289">
        <v>1</v>
      </c>
      <c r="D978" s="3290">
        <v>1106</v>
      </c>
      <c r="E978" s="3291">
        <v>1</v>
      </c>
      <c r="F978" s="3291">
        <v>1</v>
      </c>
      <c r="G978" s="3291">
        <v>1</v>
      </c>
      <c r="H978" s="3290" t="s">
        <v>3300</v>
      </c>
      <c r="I978" s="3290" t="s">
        <v>3326</v>
      </c>
      <c r="J978" s="3289"/>
      <c r="K978" s="3289">
        <v>40.32</v>
      </c>
      <c r="L978" s="3291"/>
      <c r="M978" s="3291"/>
      <c r="N978" s="3496"/>
      <c r="O978" s="3496"/>
      <c r="P978" s="3496"/>
      <c r="Q978" s="3291"/>
      <c r="R978" s="3291"/>
    </row>
    <row r="979" spans="1:18">
      <c r="A979" s="3289">
        <v>976</v>
      </c>
      <c r="B979" s="3289">
        <v>3</v>
      </c>
      <c r="C979" s="3289">
        <v>1</v>
      </c>
      <c r="D979" s="3290">
        <v>1107</v>
      </c>
      <c r="E979" s="3291">
        <v>1</v>
      </c>
      <c r="F979" s="3291">
        <v>1</v>
      </c>
      <c r="G979" s="3291">
        <v>1</v>
      </c>
      <c r="H979" s="3290" t="s">
        <v>3300</v>
      </c>
      <c r="I979" s="3290" t="s">
        <v>3326</v>
      </c>
      <c r="J979" s="3289"/>
      <c r="K979" s="3289">
        <v>40.32</v>
      </c>
      <c r="L979" s="3291"/>
      <c r="M979" s="3291"/>
      <c r="N979" s="3496"/>
      <c r="O979" s="3496"/>
      <c r="P979" s="3496"/>
      <c r="Q979" s="3291"/>
      <c r="R979" s="3291"/>
    </row>
    <row r="980" spans="1:18">
      <c r="A980" s="3289">
        <v>977</v>
      </c>
      <c r="B980" s="3289">
        <v>3</v>
      </c>
      <c r="C980" s="3289">
        <v>1</v>
      </c>
      <c r="D980" s="3290">
        <v>1108</v>
      </c>
      <c r="E980" s="3291">
        <v>1</v>
      </c>
      <c r="F980" s="3291">
        <v>1</v>
      </c>
      <c r="G980" s="3291">
        <v>1</v>
      </c>
      <c r="H980" s="3290" t="s">
        <v>3300</v>
      </c>
      <c r="I980" s="3290" t="s">
        <v>3326</v>
      </c>
      <c r="J980" s="3289"/>
      <c r="K980" s="3289">
        <v>40.32</v>
      </c>
      <c r="L980" s="3291"/>
      <c r="M980" s="3291"/>
      <c r="N980" s="3496"/>
      <c r="O980" s="3496"/>
      <c r="P980" s="3496"/>
      <c r="Q980" s="3291"/>
      <c r="R980" s="3291"/>
    </row>
    <row r="981" spans="1:18">
      <c r="A981" s="3289">
        <v>978</v>
      </c>
      <c r="B981" s="3289">
        <v>3</v>
      </c>
      <c r="C981" s="3289">
        <v>1</v>
      </c>
      <c r="D981" s="3290">
        <v>1109</v>
      </c>
      <c r="E981" s="3291">
        <v>1</v>
      </c>
      <c r="F981" s="3291">
        <v>1</v>
      </c>
      <c r="G981" s="3291">
        <v>1</v>
      </c>
      <c r="H981" s="3290" t="s">
        <v>3300</v>
      </c>
      <c r="I981" s="3290" t="s">
        <v>3326</v>
      </c>
      <c r="J981" s="3289"/>
      <c r="K981" s="3289">
        <v>40.32</v>
      </c>
      <c r="L981" s="3291"/>
      <c r="M981" s="3291"/>
      <c r="N981" s="3496"/>
      <c r="O981" s="3496"/>
      <c r="P981" s="3496"/>
      <c r="Q981" s="3291"/>
      <c r="R981" s="3291"/>
    </row>
    <row r="982" spans="1:18">
      <c r="A982" s="3289">
        <v>979</v>
      </c>
      <c r="B982" s="3289">
        <v>3</v>
      </c>
      <c r="C982" s="3289">
        <v>1</v>
      </c>
      <c r="D982" s="3290">
        <v>1110</v>
      </c>
      <c r="E982" s="3291">
        <v>1</v>
      </c>
      <c r="F982" s="3291">
        <v>1</v>
      </c>
      <c r="G982" s="3291">
        <v>1</v>
      </c>
      <c r="H982" s="3290" t="s">
        <v>3300</v>
      </c>
      <c r="I982" s="3290" t="s">
        <v>3341</v>
      </c>
      <c r="J982" s="3289"/>
      <c r="K982" s="3289">
        <v>40.32</v>
      </c>
      <c r="L982" s="3291"/>
      <c r="M982" s="3291"/>
      <c r="N982" s="3496"/>
      <c r="O982" s="3496"/>
      <c r="P982" s="3496"/>
      <c r="Q982" s="3291"/>
      <c r="R982" s="3291"/>
    </row>
    <row r="983" spans="1:18">
      <c r="A983" s="3289">
        <v>980</v>
      </c>
      <c r="B983" s="3289">
        <v>3</v>
      </c>
      <c r="C983" s="3289">
        <v>1</v>
      </c>
      <c r="D983" s="3290">
        <v>1111</v>
      </c>
      <c r="E983" s="3291">
        <v>1</v>
      </c>
      <c r="F983" s="3291">
        <v>0</v>
      </c>
      <c r="G983" s="3291">
        <v>1</v>
      </c>
      <c r="H983" s="3290" t="s">
        <v>3300</v>
      </c>
      <c r="I983" s="3290" t="s">
        <v>3330</v>
      </c>
      <c r="J983" s="3289"/>
      <c r="K983" s="3289">
        <v>31.54</v>
      </c>
      <c r="L983" s="3291"/>
      <c r="M983" s="3291"/>
      <c r="N983" s="3496"/>
      <c r="O983" s="3496"/>
      <c r="P983" s="3496"/>
      <c r="Q983" s="3291"/>
      <c r="R983" s="3291"/>
    </row>
    <row r="984" spans="1:18">
      <c r="A984" s="3289">
        <v>981</v>
      </c>
      <c r="B984" s="3289">
        <v>3</v>
      </c>
      <c r="C984" s="3289">
        <v>1</v>
      </c>
      <c r="D984" s="3290">
        <v>1112</v>
      </c>
      <c r="E984" s="3291">
        <v>1</v>
      </c>
      <c r="F984" s="3291">
        <v>0</v>
      </c>
      <c r="G984" s="3291">
        <v>1</v>
      </c>
      <c r="H984" s="3290" t="s">
        <v>3302</v>
      </c>
      <c r="I984" s="3290" t="s">
        <v>3342</v>
      </c>
      <c r="J984" s="3290"/>
      <c r="K984" s="3289">
        <v>31.63</v>
      </c>
      <c r="L984" s="3291"/>
      <c r="M984" s="3291"/>
      <c r="N984" s="3496"/>
      <c r="O984" s="3496"/>
      <c r="P984" s="3496"/>
      <c r="Q984" s="3291"/>
      <c r="R984" s="3291"/>
    </row>
    <row r="985" spans="1:18">
      <c r="A985" s="3289">
        <v>982</v>
      </c>
      <c r="B985" s="3289">
        <v>3</v>
      </c>
      <c r="C985" s="3289">
        <v>1</v>
      </c>
      <c r="D985" s="3290">
        <v>1113</v>
      </c>
      <c r="E985" s="3291">
        <v>1</v>
      </c>
      <c r="F985" s="3291">
        <v>0</v>
      </c>
      <c r="G985" s="3291">
        <v>1</v>
      </c>
      <c r="H985" s="3290" t="s">
        <v>3310</v>
      </c>
      <c r="I985" s="3290" t="s">
        <v>3342</v>
      </c>
      <c r="J985" s="3290"/>
      <c r="K985" s="3289">
        <v>31.63</v>
      </c>
      <c r="L985" s="3291"/>
      <c r="M985" s="3291"/>
      <c r="N985" s="3496"/>
      <c r="O985" s="3496"/>
      <c r="P985" s="3496"/>
      <c r="Q985" s="3291"/>
      <c r="R985" s="3291"/>
    </row>
    <row r="986" spans="1:18">
      <c r="A986" s="3289">
        <v>983</v>
      </c>
      <c r="B986" s="3289">
        <v>3</v>
      </c>
      <c r="C986" s="3289">
        <v>1</v>
      </c>
      <c r="D986" s="3290">
        <v>1114</v>
      </c>
      <c r="E986" s="3291">
        <v>1</v>
      </c>
      <c r="F986" s="3291">
        <v>0</v>
      </c>
      <c r="G986" s="3291">
        <v>1</v>
      </c>
      <c r="H986" s="3290" t="s">
        <v>3312</v>
      </c>
      <c r="I986" s="3290" t="s">
        <v>3330</v>
      </c>
      <c r="J986" s="3290"/>
      <c r="K986" s="3289">
        <v>31.54</v>
      </c>
      <c r="L986" s="3291"/>
      <c r="M986" s="3291"/>
      <c r="N986" s="3496"/>
      <c r="O986" s="3496"/>
      <c r="P986" s="3496"/>
      <c r="Q986" s="3291"/>
      <c r="R986" s="3291"/>
    </row>
    <row r="987" spans="1:18">
      <c r="A987" s="3289">
        <v>984</v>
      </c>
      <c r="B987" s="3289">
        <v>3</v>
      </c>
      <c r="C987" s="3289">
        <v>1</v>
      </c>
      <c r="D987" s="3290">
        <v>1115</v>
      </c>
      <c r="E987" s="3291">
        <v>1</v>
      </c>
      <c r="F987" s="3291">
        <v>0</v>
      </c>
      <c r="G987" s="3291">
        <v>1</v>
      </c>
      <c r="H987" s="3290" t="s">
        <v>3312</v>
      </c>
      <c r="I987" s="3290" t="s">
        <v>3343</v>
      </c>
      <c r="J987" s="3289"/>
      <c r="K987" s="3289">
        <v>31.8</v>
      </c>
      <c r="L987" s="3291"/>
      <c r="M987" s="3291"/>
      <c r="N987" s="3496"/>
      <c r="O987" s="3496"/>
      <c r="P987" s="3496"/>
      <c r="Q987" s="3291"/>
      <c r="R987" s="3291"/>
    </row>
    <row r="988" spans="1:18">
      <c r="A988" s="3289">
        <v>985</v>
      </c>
      <c r="B988" s="3289">
        <v>3</v>
      </c>
      <c r="C988" s="3289">
        <v>1</v>
      </c>
      <c r="D988" s="3290">
        <v>1116</v>
      </c>
      <c r="E988" s="3291">
        <v>1</v>
      </c>
      <c r="F988" s="3291">
        <v>0</v>
      </c>
      <c r="G988" s="3291">
        <v>1</v>
      </c>
      <c r="H988" s="3290" t="s">
        <v>3312</v>
      </c>
      <c r="I988" s="3290" t="s">
        <v>3331</v>
      </c>
      <c r="J988" s="3289"/>
      <c r="K988" s="3289">
        <v>32.26</v>
      </c>
      <c r="L988" s="3291"/>
      <c r="M988" s="3291"/>
      <c r="N988" s="3496"/>
      <c r="O988" s="3496"/>
      <c r="P988" s="3496"/>
      <c r="Q988" s="3291"/>
      <c r="R988" s="3291"/>
    </row>
    <row r="989" spans="1:18">
      <c r="A989" s="3289">
        <v>986</v>
      </c>
      <c r="B989" s="3289">
        <v>3</v>
      </c>
      <c r="C989" s="3289">
        <v>1</v>
      </c>
      <c r="D989" s="3290">
        <v>1117</v>
      </c>
      <c r="E989" s="3291">
        <v>1</v>
      </c>
      <c r="F989" s="3291">
        <v>1</v>
      </c>
      <c r="G989" s="3291">
        <v>1</v>
      </c>
      <c r="H989" s="3290" t="s">
        <v>3312</v>
      </c>
      <c r="I989" s="3290" t="s">
        <v>3326</v>
      </c>
      <c r="J989" s="3289"/>
      <c r="K989" s="3289">
        <v>40.32</v>
      </c>
      <c r="L989" s="3291"/>
      <c r="M989" s="3291"/>
      <c r="N989" s="3496"/>
      <c r="O989" s="3496"/>
      <c r="P989" s="3496"/>
      <c r="Q989" s="3291"/>
      <c r="R989" s="3291"/>
    </row>
    <row r="990" spans="1:18">
      <c r="A990" s="3289">
        <v>987</v>
      </c>
      <c r="B990" s="3289">
        <v>3</v>
      </c>
      <c r="C990" s="3289">
        <v>1</v>
      </c>
      <c r="D990" s="3290">
        <v>1118</v>
      </c>
      <c r="E990" s="3291">
        <v>1</v>
      </c>
      <c r="F990" s="3291">
        <v>1</v>
      </c>
      <c r="G990" s="3291">
        <v>1</v>
      </c>
      <c r="H990" s="3290" t="s">
        <v>3312</v>
      </c>
      <c r="I990" s="3290" t="s">
        <v>3326</v>
      </c>
      <c r="J990" s="3289"/>
      <c r="K990" s="3289">
        <v>40.32</v>
      </c>
      <c r="L990" s="3291"/>
      <c r="M990" s="3291"/>
      <c r="N990" s="3496"/>
      <c r="O990" s="3496"/>
      <c r="P990" s="3496"/>
      <c r="Q990" s="3291"/>
      <c r="R990" s="3291"/>
    </row>
    <row r="991" spans="1:18">
      <c r="A991" s="3289">
        <v>988</v>
      </c>
      <c r="B991" s="3289">
        <v>3</v>
      </c>
      <c r="C991" s="3289">
        <v>1</v>
      </c>
      <c r="D991" s="3290">
        <v>1119</v>
      </c>
      <c r="E991" s="3291">
        <v>1</v>
      </c>
      <c r="F991" s="3291">
        <v>1</v>
      </c>
      <c r="G991" s="3291">
        <v>1</v>
      </c>
      <c r="H991" s="3290" t="s">
        <v>3312</v>
      </c>
      <c r="I991" s="3290" t="s">
        <v>3326</v>
      </c>
      <c r="J991" s="3289"/>
      <c r="K991" s="3289">
        <v>40.32</v>
      </c>
      <c r="L991" s="3291"/>
      <c r="M991" s="3291"/>
      <c r="N991" s="3496"/>
      <c r="O991" s="3496"/>
      <c r="P991" s="3496"/>
      <c r="Q991" s="3291"/>
      <c r="R991" s="3291"/>
    </row>
    <row r="992" spans="1:18">
      <c r="A992" s="3289">
        <v>989</v>
      </c>
      <c r="B992" s="3289">
        <v>3</v>
      </c>
      <c r="C992" s="3289">
        <v>1</v>
      </c>
      <c r="D992" s="3290">
        <v>1120</v>
      </c>
      <c r="E992" s="3291">
        <v>1</v>
      </c>
      <c r="F992" s="3291">
        <v>1</v>
      </c>
      <c r="G992" s="3291">
        <v>1</v>
      </c>
      <c r="H992" s="3290" t="s">
        <v>3312</v>
      </c>
      <c r="I992" s="3290" t="s">
        <v>3340</v>
      </c>
      <c r="J992" s="3289"/>
      <c r="K992" s="3289">
        <v>40.65</v>
      </c>
      <c r="L992" s="3291"/>
      <c r="M992" s="3291"/>
      <c r="N992" s="3496"/>
      <c r="O992" s="3496"/>
      <c r="P992" s="3496"/>
      <c r="Q992" s="3291"/>
      <c r="R992" s="3291"/>
    </row>
    <row r="993" spans="1:18" ht="14.25" thickBot="1">
      <c r="A993" s="3299">
        <v>990</v>
      </c>
      <c r="B993" s="3292">
        <v>3</v>
      </c>
      <c r="C993" s="3292">
        <v>1</v>
      </c>
      <c r="D993" s="3298">
        <v>1121</v>
      </c>
      <c r="E993" s="3300">
        <v>4</v>
      </c>
      <c r="F993" s="3300">
        <v>1</v>
      </c>
      <c r="G993" s="3300">
        <v>1</v>
      </c>
      <c r="H993" s="3298" t="s">
        <v>3316</v>
      </c>
      <c r="I993" s="3298" t="s">
        <v>3339</v>
      </c>
      <c r="J993" s="3299"/>
      <c r="K993" s="3301">
        <v>76.66</v>
      </c>
      <c r="L993" s="3300"/>
      <c r="M993" s="3300"/>
      <c r="N993" s="3496"/>
      <c r="O993" s="3496"/>
      <c r="P993" s="3496"/>
      <c r="Q993" s="3300"/>
      <c r="R993" s="3300"/>
    </row>
    <row r="994" spans="1:18" ht="14.25" thickTop="1">
      <c r="A994" s="3302">
        <v>991</v>
      </c>
      <c r="B994" s="3302">
        <v>6</v>
      </c>
      <c r="C994" s="3302">
        <v>1</v>
      </c>
      <c r="D994" s="3303">
        <v>201</v>
      </c>
      <c r="E994" s="3304">
        <v>4</v>
      </c>
      <c r="F994" s="3304">
        <v>1</v>
      </c>
      <c r="G994" s="3304">
        <v>1</v>
      </c>
      <c r="H994" s="3305" t="s">
        <v>3344</v>
      </c>
      <c r="I994" s="3303" t="s">
        <v>3345</v>
      </c>
      <c r="J994" s="3302"/>
      <c r="K994" s="3302">
        <v>89.43</v>
      </c>
      <c r="L994" s="3304">
        <v>3.53</v>
      </c>
      <c r="M994" s="3304"/>
      <c r="N994" s="3498">
        <v>2.9</v>
      </c>
      <c r="O994" s="3492" t="s">
        <v>3297</v>
      </c>
      <c r="P994" s="3492" t="s">
        <v>3298</v>
      </c>
      <c r="Q994" s="3304"/>
      <c r="R994" s="3304"/>
    </row>
    <row r="995" spans="1:18">
      <c r="A995" s="3306">
        <v>992</v>
      </c>
      <c r="B995" s="3306">
        <v>6</v>
      </c>
      <c r="C995" s="3306">
        <v>1</v>
      </c>
      <c r="D995" s="3307">
        <v>202</v>
      </c>
      <c r="E995" s="3308">
        <v>3</v>
      </c>
      <c r="F995" s="3308">
        <v>1</v>
      </c>
      <c r="G995" s="3308">
        <v>1</v>
      </c>
      <c r="H995" s="3309" t="s">
        <v>3346</v>
      </c>
      <c r="I995" s="3307" t="s">
        <v>3347</v>
      </c>
      <c r="J995" s="3306"/>
      <c r="K995" s="3306">
        <v>71.760000000000005</v>
      </c>
      <c r="L995" s="3308">
        <v>3.96</v>
      </c>
      <c r="M995" s="3308"/>
      <c r="N995" s="3493"/>
      <c r="O995" s="3493"/>
      <c r="P995" s="3493"/>
      <c r="Q995" s="3308"/>
      <c r="R995" s="3308"/>
    </row>
    <row r="996" spans="1:18">
      <c r="A996" s="3306">
        <v>993</v>
      </c>
      <c r="B996" s="3306">
        <v>6</v>
      </c>
      <c r="C996" s="3306">
        <v>1</v>
      </c>
      <c r="D996" s="3307">
        <v>203</v>
      </c>
      <c r="E996" s="3308">
        <v>3</v>
      </c>
      <c r="F996" s="3308">
        <v>1</v>
      </c>
      <c r="G996" s="3308">
        <v>1</v>
      </c>
      <c r="H996" s="3309" t="s">
        <v>3346</v>
      </c>
      <c r="I996" s="3307" t="s">
        <v>3347</v>
      </c>
      <c r="J996" s="3306"/>
      <c r="K996" s="3306">
        <v>71.760000000000005</v>
      </c>
      <c r="L996" s="3308">
        <v>3.96</v>
      </c>
      <c r="M996" s="3308"/>
      <c r="N996" s="3493"/>
      <c r="O996" s="3493"/>
      <c r="P996" s="3493"/>
      <c r="Q996" s="3308"/>
      <c r="R996" s="3308"/>
    </row>
    <row r="997" spans="1:18">
      <c r="A997" s="3306">
        <v>994</v>
      </c>
      <c r="B997" s="3306">
        <v>6</v>
      </c>
      <c r="C997" s="3306">
        <v>1</v>
      </c>
      <c r="D997" s="3307">
        <v>204</v>
      </c>
      <c r="E997" s="3308">
        <v>3</v>
      </c>
      <c r="F997" s="3308">
        <v>1</v>
      </c>
      <c r="G997" s="3308">
        <v>1</v>
      </c>
      <c r="H997" s="3309" t="s">
        <v>3348</v>
      </c>
      <c r="I997" s="3307" t="s">
        <v>3349</v>
      </c>
      <c r="J997" s="3306"/>
      <c r="K997" s="3306">
        <v>68.569999999999993</v>
      </c>
      <c r="L997" s="3308">
        <v>3.53</v>
      </c>
      <c r="M997" s="3308"/>
      <c r="N997" s="3493"/>
      <c r="O997" s="3493"/>
      <c r="P997" s="3493"/>
      <c r="Q997" s="3308"/>
      <c r="R997" s="3308"/>
    </row>
    <row r="998" spans="1:18">
      <c r="A998" s="3306">
        <v>995</v>
      </c>
      <c r="B998" s="3306">
        <v>6</v>
      </c>
      <c r="C998" s="3306">
        <v>2</v>
      </c>
      <c r="D998" s="3307">
        <v>201</v>
      </c>
      <c r="E998" s="3308">
        <v>3</v>
      </c>
      <c r="F998" s="3308">
        <v>1</v>
      </c>
      <c r="G998" s="3308">
        <v>1</v>
      </c>
      <c r="H998" s="3309" t="s">
        <v>3344</v>
      </c>
      <c r="I998" s="3310" t="s">
        <v>3349</v>
      </c>
      <c r="J998" s="3306"/>
      <c r="K998" s="3311">
        <v>68.569999999999993</v>
      </c>
      <c r="L998" s="3308">
        <v>3.53</v>
      </c>
      <c r="M998" s="3308"/>
      <c r="N998" s="3493"/>
      <c r="O998" s="3493"/>
      <c r="P998" s="3493"/>
      <c r="Q998" s="3308"/>
      <c r="R998" s="3308"/>
    </row>
    <row r="999" spans="1:18">
      <c r="A999" s="3306">
        <v>996</v>
      </c>
      <c r="B999" s="3306">
        <v>6</v>
      </c>
      <c r="C999" s="3306">
        <v>2</v>
      </c>
      <c r="D999" s="3307">
        <v>202</v>
      </c>
      <c r="E999" s="3308">
        <v>3</v>
      </c>
      <c r="F999" s="3308">
        <v>1</v>
      </c>
      <c r="G999" s="3308">
        <v>1</v>
      </c>
      <c r="H999" s="3309" t="s">
        <v>3346</v>
      </c>
      <c r="I999" s="3310" t="s">
        <v>3347</v>
      </c>
      <c r="J999" s="3306"/>
      <c r="K999" s="3311">
        <v>71.760000000000005</v>
      </c>
      <c r="L999" s="3308">
        <v>3.96</v>
      </c>
      <c r="M999" s="3308"/>
      <c r="N999" s="3493"/>
      <c r="O999" s="3493"/>
      <c r="P999" s="3493"/>
      <c r="Q999" s="3308"/>
      <c r="R999" s="3308"/>
    </row>
    <row r="1000" spans="1:18">
      <c r="A1000" s="3306">
        <v>997</v>
      </c>
      <c r="B1000" s="3306">
        <v>6</v>
      </c>
      <c r="C1000" s="3306">
        <v>2</v>
      </c>
      <c r="D1000" s="3307">
        <v>203</v>
      </c>
      <c r="E1000" s="3308">
        <v>3</v>
      </c>
      <c r="F1000" s="3308">
        <v>1</v>
      </c>
      <c r="G1000" s="3308">
        <v>1</v>
      </c>
      <c r="H1000" s="3309" t="s">
        <v>3346</v>
      </c>
      <c r="I1000" s="3310" t="s">
        <v>3347</v>
      </c>
      <c r="J1000" s="3306"/>
      <c r="K1000" s="3311">
        <v>71.760000000000005</v>
      </c>
      <c r="L1000" s="3308">
        <v>3.96</v>
      </c>
      <c r="M1000" s="3308"/>
      <c r="N1000" s="3493"/>
      <c r="O1000" s="3493"/>
      <c r="P1000" s="3493"/>
      <c r="Q1000" s="3308"/>
      <c r="R1000" s="3308"/>
    </row>
    <row r="1001" spans="1:18" ht="14.25" thickBot="1">
      <c r="A1001" s="3306">
        <v>998</v>
      </c>
      <c r="B1001" s="3306">
        <v>6</v>
      </c>
      <c r="C1001" s="3306">
        <v>2</v>
      </c>
      <c r="D1001" s="3312">
        <v>204</v>
      </c>
      <c r="E1001" s="3313">
        <v>4</v>
      </c>
      <c r="F1001" s="3313">
        <v>1</v>
      </c>
      <c r="G1001" s="3313">
        <v>1</v>
      </c>
      <c r="H1001" s="3314" t="s">
        <v>3348</v>
      </c>
      <c r="I1001" s="3315" t="s">
        <v>3345</v>
      </c>
      <c r="J1001" s="3316"/>
      <c r="K1001" s="3317">
        <v>89.43</v>
      </c>
      <c r="L1001" s="3313">
        <v>3.53</v>
      </c>
      <c r="M1001" s="3313"/>
      <c r="N1001" s="3494"/>
      <c r="O1001" s="3494"/>
      <c r="P1001" s="3494"/>
      <c r="Q1001" s="3313"/>
      <c r="R1001" s="3313"/>
    </row>
    <row r="1002" spans="1:18" ht="14.25" thickTop="1">
      <c r="A1002" s="3318">
        <v>999</v>
      </c>
      <c r="B1002" s="3302">
        <v>6</v>
      </c>
      <c r="C1002" s="3302">
        <v>1</v>
      </c>
      <c r="D1002" s="3303">
        <v>301</v>
      </c>
      <c r="E1002" s="3304">
        <v>4</v>
      </c>
      <c r="F1002" s="3304">
        <v>1</v>
      </c>
      <c r="G1002" s="3304">
        <v>1</v>
      </c>
      <c r="H1002" s="3305" t="s">
        <v>3344</v>
      </c>
      <c r="I1002" s="3303" t="s">
        <v>3345</v>
      </c>
      <c r="J1002" s="3302"/>
      <c r="K1002" s="3302">
        <v>89.43</v>
      </c>
      <c r="L1002" s="3304">
        <v>3.53</v>
      </c>
      <c r="M1002" s="3304"/>
      <c r="N1002" s="3489">
        <v>2.9</v>
      </c>
      <c r="O1002" s="3492" t="s">
        <v>3297</v>
      </c>
      <c r="P1002" s="3492" t="s">
        <v>3298</v>
      </c>
      <c r="Q1002" s="3304"/>
      <c r="R1002" s="3304"/>
    </row>
    <row r="1003" spans="1:18">
      <c r="A1003" s="3306">
        <v>1000</v>
      </c>
      <c r="B1003" s="3306">
        <v>6</v>
      </c>
      <c r="C1003" s="3306">
        <v>1</v>
      </c>
      <c r="D1003" s="3307">
        <v>302</v>
      </c>
      <c r="E1003" s="3308">
        <v>3</v>
      </c>
      <c r="F1003" s="3308">
        <v>1</v>
      </c>
      <c r="G1003" s="3308">
        <v>1</v>
      </c>
      <c r="H1003" s="3309" t="s">
        <v>3346</v>
      </c>
      <c r="I1003" s="3307" t="s">
        <v>3347</v>
      </c>
      <c r="J1003" s="3306"/>
      <c r="K1003" s="3306">
        <v>71.760000000000005</v>
      </c>
      <c r="L1003" s="3308">
        <v>3.96</v>
      </c>
      <c r="M1003" s="3308"/>
      <c r="N1003" s="3490"/>
      <c r="O1003" s="3493"/>
      <c r="P1003" s="3493"/>
      <c r="Q1003" s="3308"/>
      <c r="R1003" s="3308"/>
    </row>
    <row r="1004" spans="1:18">
      <c r="A1004" s="3306">
        <v>1001</v>
      </c>
      <c r="B1004" s="3306">
        <v>6</v>
      </c>
      <c r="C1004" s="3306">
        <v>1</v>
      </c>
      <c r="D1004" s="3307">
        <v>303</v>
      </c>
      <c r="E1004" s="3308">
        <v>3</v>
      </c>
      <c r="F1004" s="3308">
        <v>1</v>
      </c>
      <c r="G1004" s="3308">
        <v>1</v>
      </c>
      <c r="H1004" s="3309" t="s">
        <v>3346</v>
      </c>
      <c r="I1004" s="3307" t="s">
        <v>3347</v>
      </c>
      <c r="J1004" s="3306"/>
      <c r="K1004" s="3306">
        <v>71.760000000000005</v>
      </c>
      <c r="L1004" s="3308">
        <v>3.96</v>
      </c>
      <c r="M1004" s="3308"/>
      <c r="N1004" s="3490"/>
      <c r="O1004" s="3493"/>
      <c r="P1004" s="3493"/>
      <c r="Q1004" s="3308"/>
      <c r="R1004" s="3308"/>
    </row>
    <row r="1005" spans="1:18">
      <c r="A1005" s="3306">
        <v>1002</v>
      </c>
      <c r="B1005" s="3306">
        <v>6</v>
      </c>
      <c r="C1005" s="3306">
        <v>1</v>
      </c>
      <c r="D1005" s="3307">
        <v>304</v>
      </c>
      <c r="E1005" s="3308">
        <v>3</v>
      </c>
      <c r="F1005" s="3308">
        <v>1</v>
      </c>
      <c r="G1005" s="3308">
        <v>1</v>
      </c>
      <c r="H1005" s="3309" t="s">
        <v>3348</v>
      </c>
      <c r="I1005" s="3307" t="s">
        <v>3349</v>
      </c>
      <c r="J1005" s="3306"/>
      <c r="K1005" s="3306">
        <v>68.569999999999993</v>
      </c>
      <c r="L1005" s="3308">
        <v>3.53</v>
      </c>
      <c r="M1005" s="3308"/>
      <c r="N1005" s="3490"/>
      <c r="O1005" s="3493"/>
      <c r="P1005" s="3493"/>
      <c r="Q1005" s="3308"/>
      <c r="R1005" s="3308"/>
    </row>
    <row r="1006" spans="1:18">
      <c r="A1006" s="3306">
        <v>1003</v>
      </c>
      <c r="B1006" s="3306">
        <v>6</v>
      </c>
      <c r="C1006" s="3306">
        <v>2</v>
      </c>
      <c r="D1006" s="3307">
        <v>301</v>
      </c>
      <c r="E1006" s="3308">
        <v>3</v>
      </c>
      <c r="F1006" s="3308">
        <v>1</v>
      </c>
      <c r="G1006" s="3308">
        <v>1</v>
      </c>
      <c r="H1006" s="3309" t="s">
        <v>3344</v>
      </c>
      <c r="I1006" s="3307" t="s">
        <v>3349</v>
      </c>
      <c r="J1006" s="3306"/>
      <c r="K1006" s="3306">
        <v>68.569999999999993</v>
      </c>
      <c r="L1006" s="3308">
        <v>3.53</v>
      </c>
      <c r="M1006" s="3308"/>
      <c r="N1006" s="3490"/>
      <c r="O1006" s="3493"/>
      <c r="P1006" s="3493"/>
      <c r="Q1006" s="3308"/>
      <c r="R1006" s="3308"/>
    </row>
    <row r="1007" spans="1:18">
      <c r="A1007" s="3306">
        <v>1004</v>
      </c>
      <c r="B1007" s="3306">
        <v>6</v>
      </c>
      <c r="C1007" s="3306">
        <v>2</v>
      </c>
      <c r="D1007" s="3307">
        <v>302</v>
      </c>
      <c r="E1007" s="3308">
        <v>3</v>
      </c>
      <c r="F1007" s="3308">
        <v>1</v>
      </c>
      <c r="G1007" s="3308">
        <v>1</v>
      </c>
      <c r="H1007" s="3309" t="s">
        <v>3346</v>
      </c>
      <c r="I1007" s="3307" t="s">
        <v>3347</v>
      </c>
      <c r="J1007" s="3306"/>
      <c r="K1007" s="3306">
        <v>71.760000000000005</v>
      </c>
      <c r="L1007" s="3308">
        <v>3.96</v>
      </c>
      <c r="M1007" s="3308"/>
      <c r="N1007" s="3490"/>
      <c r="O1007" s="3493"/>
      <c r="P1007" s="3493"/>
      <c r="Q1007" s="3308"/>
      <c r="R1007" s="3308"/>
    </row>
    <row r="1008" spans="1:18">
      <c r="A1008" s="3306">
        <v>1005</v>
      </c>
      <c r="B1008" s="3306">
        <v>6</v>
      </c>
      <c r="C1008" s="3306">
        <v>2</v>
      </c>
      <c r="D1008" s="3307">
        <v>303</v>
      </c>
      <c r="E1008" s="3308">
        <v>3</v>
      </c>
      <c r="F1008" s="3308">
        <v>1</v>
      </c>
      <c r="G1008" s="3308">
        <v>1</v>
      </c>
      <c r="H1008" s="3309" t="s">
        <v>3346</v>
      </c>
      <c r="I1008" s="3307" t="s">
        <v>3347</v>
      </c>
      <c r="J1008" s="3306"/>
      <c r="K1008" s="3306">
        <v>71.760000000000005</v>
      </c>
      <c r="L1008" s="3308">
        <v>3.96</v>
      </c>
      <c r="M1008" s="3308"/>
      <c r="N1008" s="3490"/>
      <c r="O1008" s="3493"/>
      <c r="P1008" s="3493"/>
      <c r="Q1008" s="3308"/>
      <c r="R1008" s="3308"/>
    </row>
    <row r="1009" spans="1:18" ht="14.25" thickBot="1">
      <c r="A1009" s="3306">
        <v>1006</v>
      </c>
      <c r="B1009" s="3306">
        <v>6</v>
      </c>
      <c r="C1009" s="3306">
        <v>2</v>
      </c>
      <c r="D1009" s="3312">
        <v>304</v>
      </c>
      <c r="E1009" s="3313">
        <v>4</v>
      </c>
      <c r="F1009" s="3313">
        <v>1</v>
      </c>
      <c r="G1009" s="3313">
        <v>1</v>
      </c>
      <c r="H1009" s="3314" t="s">
        <v>3348</v>
      </c>
      <c r="I1009" s="3312" t="s">
        <v>3345</v>
      </c>
      <c r="J1009" s="3316"/>
      <c r="K1009" s="3316">
        <v>89.43</v>
      </c>
      <c r="L1009" s="3313">
        <v>3.53</v>
      </c>
      <c r="M1009" s="3313"/>
      <c r="N1009" s="3491"/>
      <c r="O1009" s="3494"/>
      <c r="P1009" s="3494"/>
      <c r="Q1009" s="3313"/>
      <c r="R1009" s="3313"/>
    </row>
    <row r="1010" spans="1:18" ht="14.25" thickTop="1">
      <c r="A1010" s="3306">
        <v>1007</v>
      </c>
      <c r="B1010" s="3302">
        <v>6</v>
      </c>
      <c r="C1010" s="3302">
        <v>1</v>
      </c>
      <c r="D1010" s="3303">
        <v>401</v>
      </c>
      <c r="E1010" s="3304">
        <v>4</v>
      </c>
      <c r="F1010" s="3304">
        <v>1</v>
      </c>
      <c r="G1010" s="3304">
        <v>1</v>
      </c>
      <c r="H1010" s="3305" t="s">
        <v>3344</v>
      </c>
      <c r="I1010" s="3303" t="s">
        <v>3345</v>
      </c>
      <c r="J1010" s="3302"/>
      <c r="K1010" s="3302">
        <v>89.43</v>
      </c>
      <c r="L1010" s="3304">
        <v>3.53</v>
      </c>
      <c r="M1010" s="3304"/>
      <c r="N1010" s="3489">
        <v>2.9</v>
      </c>
      <c r="O1010" s="3492" t="s">
        <v>3297</v>
      </c>
      <c r="P1010" s="3492" t="s">
        <v>3298</v>
      </c>
      <c r="Q1010" s="3304"/>
      <c r="R1010" s="3304"/>
    </row>
    <row r="1011" spans="1:18">
      <c r="A1011" s="3306">
        <v>1008</v>
      </c>
      <c r="B1011" s="3306">
        <v>6</v>
      </c>
      <c r="C1011" s="3306">
        <v>1</v>
      </c>
      <c r="D1011" s="3307">
        <v>402</v>
      </c>
      <c r="E1011" s="3308">
        <v>3</v>
      </c>
      <c r="F1011" s="3308">
        <v>1</v>
      </c>
      <c r="G1011" s="3308">
        <v>1</v>
      </c>
      <c r="H1011" s="3309" t="s">
        <v>3346</v>
      </c>
      <c r="I1011" s="3307" t="s">
        <v>3347</v>
      </c>
      <c r="J1011" s="3306"/>
      <c r="K1011" s="3306">
        <v>71.760000000000005</v>
      </c>
      <c r="L1011" s="3308">
        <v>3.96</v>
      </c>
      <c r="M1011" s="3308"/>
      <c r="N1011" s="3490"/>
      <c r="O1011" s="3493"/>
      <c r="P1011" s="3493"/>
      <c r="Q1011" s="3308"/>
      <c r="R1011" s="3308"/>
    </row>
    <row r="1012" spans="1:18">
      <c r="A1012" s="3306">
        <v>1009</v>
      </c>
      <c r="B1012" s="3306">
        <v>6</v>
      </c>
      <c r="C1012" s="3306">
        <v>1</v>
      </c>
      <c r="D1012" s="3307">
        <v>403</v>
      </c>
      <c r="E1012" s="3308">
        <v>3</v>
      </c>
      <c r="F1012" s="3308">
        <v>1</v>
      </c>
      <c r="G1012" s="3308">
        <v>1</v>
      </c>
      <c r="H1012" s="3309" t="s">
        <v>3346</v>
      </c>
      <c r="I1012" s="3307" t="s">
        <v>3347</v>
      </c>
      <c r="J1012" s="3306"/>
      <c r="K1012" s="3306">
        <v>71.760000000000005</v>
      </c>
      <c r="L1012" s="3308">
        <v>3.96</v>
      </c>
      <c r="M1012" s="3308"/>
      <c r="N1012" s="3490"/>
      <c r="O1012" s="3493"/>
      <c r="P1012" s="3493"/>
      <c r="Q1012" s="3308"/>
      <c r="R1012" s="3308"/>
    </row>
    <row r="1013" spans="1:18">
      <c r="A1013" s="3306">
        <v>1010</v>
      </c>
      <c r="B1013" s="3306">
        <v>6</v>
      </c>
      <c r="C1013" s="3306">
        <v>1</v>
      </c>
      <c r="D1013" s="3307">
        <v>404</v>
      </c>
      <c r="E1013" s="3308">
        <v>3</v>
      </c>
      <c r="F1013" s="3308">
        <v>1</v>
      </c>
      <c r="G1013" s="3308">
        <v>1</v>
      </c>
      <c r="H1013" s="3309" t="s">
        <v>3348</v>
      </c>
      <c r="I1013" s="3307" t="s">
        <v>3349</v>
      </c>
      <c r="J1013" s="3306"/>
      <c r="K1013" s="3306">
        <v>68.569999999999993</v>
      </c>
      <c r="L1013" s="3308">
        <v>3.53</v>
      </c>
      <c r="M1013" s="3308"/>
      <c r="N1013" s="3490"/>
      <c r="O1013" s="3493"/>
      <c r="P1013" s="3493"/>
      <c r="Q1013" s="3308"/>
      <c r="R1013" s="3308"/>
    </row>
    <row r="1014" spans="1:18">
      <c r="A1014" s="3306">
        <v>1011</v>
      </c>
      <c r="B1014" s="3306">
        <v>6</v>
      </c>
      <c r="C1014" s="3306">
        <v>2</v>
      </c>
      <c r="D1014" s="3307">
        <v>401</v>
      </c>
      <c r="E1014" s="3308">
        <v>3</v>
      </c>
      <c r="F1014" s="3308">
        <v>1</v>
      </c>
      <c r="G1014" s="3308">
        <v>1</v>
      </c>
      <c r="H1014" s="3309" t="s">
        <v>3344</v>
      </c>
      <c r="I1014" s="3307" t="s">
        <v>3349</v>
      </c>
      <c r="J1014" s="3306"/>
      <c r="K1014" s="3306">
        <v>68.569999999999993</v>
      </c>
      <c r="L1014" s="3308">
        <v>3.53</v>
      </c>
      <c r="M1014" s="3308"/>
      <c r="N1014" s="3490"/>
      <c r="O1014" s="3493"/>
      <c r="P1014" s="3493"/>
      <c r="Q1014" s="3308"/>
      <c r="R1014" s="3308"/>
    </row>
    <row r="1015" spans="1:18">
      <c r="A1015" s="3306">
        <v>1012</v>
      </c>
      <c r="B1015" s="3306">
        <v>6</v>
      </c>
      <c r="C1015" s="3306">
        <v>2</v>
      </c>
      <c r="D1015" s="3307">
        <v>402</v>
      </c>
      <c r="E1015" s="3308">
        <v>3</v>
      </c>
      <c r="F1015" s="3308">
        <v>1</v>
      </c>
      <c r="G1015" s="3308">
        <v>1</v>
      </c>
      <c r="H1015" s="3309" t="s">
        <v>3346</v>
      </c>
      <c r="I1015" s="3307" t="s">
        <v>3347</v>
      </c>
      <c r="J1015" s="3306"/>
      <c r="K1015" s="3306">
        <v>71.760000000000005</v>
      </c>
      <c r="L1015" s="3308">
        <v>3.96</v>
      </c>
      <c r="M1015" s="3308"/>
      <c r="N1015" s="3490"/>
      <c r="O1015" s="3493"/>
      <c r="P1015" s="3493"/>
      <c r="Q1015" s="3308"/>
      <c r="R1015" s="3308"/>
    </row>
    <row r="1016" spans="1:18">
      <c r="A1016" s="3306">
        <v>1013</v>
      </c>
      <c r="B1016" s="3306">
        <v>6</v>
      </c>
      <c r="C1016" s="3306">
        <v>2</v>
      </c>
      <c r="D1016" s="3307">
        <v>403</v>
      </c>
      <c r="E1016" s="3308">
        <v>3</v>
      </c>
      <c r="F1016" s="3308">
        <v>1</v>
      </c>
      <c r="G1016" s="3308">
        <v>1</v>
      </c>
      <c r="H1016" s="3309" t="s">
        <v>3346</v>
      </c>
      <c r="I1016" s="3307" t="s">
        <v>3347</v>
      </c>
      <c r="J1016" s="3306"/>
      <c r="K1016" s="3306">
        <v>71.760000000000005</v>
      </c>
      <c r="L1016" s="3308">
        <v>3.96</v>
      </c>
      <c r="M1016" s="3308"/>
      <c r="N1016" s="3490"/>
      <c r="O1016" s="3493"/>
      <c r="P1016" s="3493"/>
      <c r="Q1016" s="3308"/>
      <c r="R1016" s="3308"/>
    </row>
    <row r="1017" spans="1:18" ht="14.25" thickBot="1">
      <c r="A1017" s="3306">
        <v>1014</v>
      </c>
      <c r="B1017" s="3306">
        <v>6</v>
      </c>
      <c r="C1017" s="3306">
        <v>2</v>
      </c>
      <c r="D1017" s="3312">
        <v>404</v>
      </c>
      <c r="E1017" s="3313">
        <v>4</v>
      </c>
      <c r="F1017" s="3313">
        <v>1</v>
      </c>
      <c r="G1017" s="3313">
        <v>1</v>
      </c>
      <c r="H1017" s="3314" t="s">
        <v>3348</v>
      </c>
      <c r="I1017" s="3312" t="s">
        <v>3345</v>
      </c>
      <c r="J1017" s="3316"/>
      <c r="K1017" s="3316">
        <v>89.43</v>
      </c>
      <c r="L1017" s="3313">
        <v>3.53</v>
      </c>
      <c r="M1017" s="3313"/>
      <c r="N1017" s="3491"/>
      <c r="O1017" s="3494"/>
      <c r="P1017" s="3494"/>
      <c r="Q1017" s="3313"/>
      <c r="R1017" s="3313"/>
    </row>
    <row r="1018" spans="1:18" ht="14.25" thickTop="1">
      <c r="A1018" s="3306">
        <v>1015</v>
      </c>
      <c r="B1018" s="3302">
        <v>6</v>
      </c>
      <c r="C1018" s="3302">
        <v>1</v>
      </c>
      <c r="D1018" s="3303">
        <v>501</v>
      </c>
      <c r="E1018" s="3304">
        <v>4</v>
      </c>
      <c r="F1018" s="3304">
        <v>1</v>
      </c>
      <c r="G1018" s="3304">
        <v>1</v>
      </c>
      <c r="H1018" s="3305" t="s">
        <v>3344</v>
      </c>
      <c r="I1018" s="3303" t="s">
        <v>3345</v>
      </c>
      <c r="J1018" s="3302"/>
      <c r="K1018" s="3302">
        <v>89.43</v>
      </c>
      <c r="L1018" s="3304">
        <v>3.53</v>
      </c>
      <c r="M1018" s="3304"/>
      <c r="N1018" s="3489">
        <v>2.9</v>
      </c>
      <c r="O1018" s="3492" t="s">
        <v>3297</v>
      </c>
      <c r="P1018" s="3492" t="s">
        <v>3298</v>
      </c>
      <c r="Q1018" s="3304"/>
      <c r="R1018" s="3304"/>
    </row>
    <row r="1019" spans="1:18">
      <c r="A1019" s="3306">
        <v>1016</v>
      </c>
      <c r="B1019" s="3306">
        <v>6</v>
      </c>
      <c r="C1019" s="3306">
        <v>1</v>
      </c>
      <c r="D1019" s="3307">
        <v>502</v>
      </c>
      <c r="E1019" s="3308">
        <v>3</v>
      </c>
      <c r="F1019" s="3308">
        <v>1</v>
      </c>
      <c r="G1019" s="3308">
        <v>1</v>
      </c>
      <c r="H1019" s="3309" t="s">
        <v>3346</v>
      </c>
      <c r="I1019" s="3307" t="s">
        <v>3347</v>
      </c>
      <c r="J1019" s="3306"/>
      <c r="K1019" s="3306">
        <v>71.760000000000005</v>
      </c>
      <c r="L1019" s="3308">
        <v>3.96</v>
      </c>
      <c r="M1019" s="3308"/>
      <c r="N1019" s="3490"/>
      <c r="O1019" s="3493"/>
      <c r="P1019" s="3493"/>
      <c r="Q1019" s="3308"/>
      <c r="R1019" s="3308"/>
    </row>
    <row r="1020" spans="1:18">
      <c r="A1020" s="3306">
        <v>1017</v>
      </c>
      <c r="B1020" s="3306">
        <v>6</v>
      </c>
      <c r="C1020" s="3306">
        <v>1</v>
      </c>
      <c r="D1020" s="3307">
        <v>503</v>
      </c>
      <c r="E1020" s="3308">
        <v>3</v>
      </c>
      <c r="F1020" s="3308">
        <v>1</v>
      </c>
      <c r="G1020" s="3308">
        <v>1</v>
      </c>
      <c r="H1020" s="3309" t="s">
        <v>3346</v>
      </c>
      <c r="I1020" s="3307" t="s">
        <v>3347</v>
      </c>
      <c r="J1020" s="3306"/>
      <c r="K1020" s="3306">
        <v>71.760000000000005</v>
      </c>
      <c r="L1020" s="3308">
        <v>3.96</v>
      </c>
      <c r="M1020" s="3308"/>
      <c r="N1020" s="3490"/>
      <c r="O1020" s="3493"/>
      <c r="P1020" s="3493"/>
      <c r="Q1020" s="3308"/>
      <c r="R1020" s="3308"/>
    </row>
    <row r="1021" spans="1:18">
      <c r="A1021" s="3306">
        <v>1018</v>
      </c>
      <c r="B1021" s="3306">
        <v>6</v>
      </c>
      <c r="C1021" s="3306">
        <v>1</v>
      </c>
      <c r="D1021" s="3307">
        <v>504</v>
      </c>
      <c r="E1021" s="3308">
        <v>3</v>
      </c>
      <c r="F1021" s="3308">
        <v>1</v>
      </c>
      <c r="G1021" s="3308">
        <v>1</v>
      </c>
      <c r="H1021" s="3309" t="s">
        <v>3348</v>
      </c>
      <c r="I1021" s="3307" t="s">
        <v>3349</v>
      </c>
      <c r="J1021" s="3306"/>
      <c r="K1021" s="3306">
        <v>68.569999999999993</v>
      </c>
      <c r="L1021" s="3308">
        <v>3.53</v>
      </c>
      <c r="M1021" s="3308"/>
      <c r="N1021" s="3490"/>
      <c r="O1021" s="3493"/>
      <c r="P1021" s="3493"/>
      <c r="Q1021" s="3308"/>
      <c r="R1021" s="3308"/>
    </row>
    <row r="1022" spans="1:18">
      <c r="A1022" s="3306">
        <v>1019</v>
      </c>
      <c r="B1022" s="3306">
        <v>6</v>
      </c>
      <c r="C1022" s="3306">
        <v>2</v>
      </c>
      <c r="D1022" s="3307">
        <v>501</v>
      </c>
      <c r="E1022" s="3308">
        <v>3</v>
      </c>
      <c r="F1022" s="3308">
        <v>1</v>
      </c>
      <c r="G1022" s="3308">
        <v>1</v>
      </c>
      <c r="H1022" s="3309" t="s">
        <v>3344</v>
      </c>
      <c r="I1022" s="3307" t="s">
        <v>3349</v>
      </c>
      <c r="J1022" s="3306"/>
      <c r="K1022" s="3306">
        <v>68.569999999999993</v>
      </c>
      <c r="L1022" s="3308">
        <v>3.53</v>
      </c>
      <c r="M1022" s="3308"/>
      <c r="N1022" s="3490"/>
      <c r="O1022" s="3493"/>
      <c r="P1022" s="3493"/>
      <c r="Q1022" s="3308"/>
      <c r="R1022" s="3308"/>
    </row>
    <row r="1023" spans="1:18">
      <c r="A1023" s="3306">
        <v>1020</v>
      </c>
      <c r="B1023" s="3306">
        <v>6</v>
      </c>
      <c r="C1023" s="3306">
        <v>2</v>
      </c>
      <c r="D1023" s="3307">
        <v>502</v>
      </c>
      <c r="E1023" s="3308">
        <v>3</v>
      </c>
      <c r="F1023" s="3308">
        <v>1</v>
      </c>
      <c r="G1023" s="3308">
        <v>1</v>
      </c>
      <c r="H1023" s="3309" t="s">
        <v>3346</v>
      </c>
      <c r="I1023" s="3307" t="s">
        <v>3347</v>
      </c>
      <c r="J1023" s="3306"/>
      <c r="K1023" s="3306">
        <v>71.760000000000005</v>
      </c>
      <c r="L1023" s="3308">
        <v>3.96</v>
      </c>
      <c r="M1023" s="3308"/>
      <c r="N1023" s="3490"/>
      <c r="O1023" s="3493"/>
      <c r="P1023" s="3493"/>
      <c r="Q1023" s="3308"/>
      <c r="R1023" s="3308"/>
    </row>
    <row r="1024" spans="1:18">
      <c r="A1024" s="3306">
        <v>1021</v>
      </c>
      <c r="B1024" s="3306">
        <v>6</v>
      </c>
      <c r="C1024" s="3306">
        <v>2</v>
      </c>
      <c r="D1024" s="3307">
        <v>503</v>
      </c>
      <c r="E1024" s="3308">
        <v>3</v>
      </c>
      <c r="F1024" s="3308">
        <v>1</v>
      </c>
      <c r="G1024" s="3308">
        <v>1</v>
      </c>
      <c r="H1024" s="3309" t="s">
        <v>3346</v>
      </c>
      <c r="I1024" s="3307" t="s">
        <v>3347</v>
      </c>
      <c r="J1024" s="3306"/>
      <c r="K1024" s="3306">
        <v>71.760000000000005</v>
      </c>
      <c r="L1024" s="3308">
        <v>3.96</v>
      </c>
      <c r="M1024" s="3308"/>
      <c r="N1024" s="3490"/>
      <c r="O1024" s="3493"/>
      <c r="P1024" s="3493"/>
      <c r="Q1024" s="3308"/>
      <c r="R1024" s="3308"/>
    </row>
    <row r="1025" spans="1:18" ht="14.25" thickBot="1">
      <c r="A1025" s="3306">
        <v>1022</v>
      </c>
      <c r="B1025" s="3306">
        <v>6</v>
      </c>
      <c r="C1025" s="3306">
        <v>2</v>
      </c>
      <c r="D1025" s="3312">
        <v>504</v>
      </c>
      <c r="E1025" s="3313">
        <v>4</v>
      </c>
      <c r="F1025" s="3313">
        <v>1</v>
      </c>
      <c r="G1025" s="3313">
        <v>1</v>
      </c>
      <c r="H1025" s="3314" t="s">
        <v>3348</v>
      </c>
      <c r="I1025" s="3312" t="s">
        <v>3345</v>
      </c>
      <c r="J1025" s="3316"/>
      <c r="K1025" s="3316">
        <v>89.43</v>
      </c>
      <c r="L1025" s="3313">
        <v>3.53</v>
      </c>
      <c r="M1025" s="3313"/>
      <c r="N1025" s="3491"/>
      <c r="O1025" s="3494"/>
      <c r="P1025" s="3494"/>
      <c r="Q1025" s="3313"/>
      <c r="R1025" s="3313"/>
    </row>
    <row r="1026" spans="1:18" ht="14.25" thickTop="1">
      <c r="A1026" s="3306">
        <v>1023</v>
      </c>
      <c r="B1026" s="3302">
        <v>6</v>
      </c>
      <c r="C1026" s="3302">
        <v>1</v>
      </c>
      <c r="D1026" s="3303">
        <v>601</v>
      </c>
      <c r="E1026" s="3304">
        <v>4</v>
      </c>
      <c r="F1026" s="3304">
        <v>1</v>
      </c>
      <c r="G1026" s="3304">
        <v>1</v>
      </c>
      <c r="H1026" s="3305" t="s">
        <v>3344</v>
      </c>
      <c r="I1026" s="3303" t="s">
        <v>3345</v>
      </c>
      <c r="J1026" s="3302"/>
      <c r="K1026" s="3302">
        <v>89.43</v>
      </c>
      <c r="L1026" s="3304">
        <v>3.53</v>
      </c>
      <c r="M1026" s="3304"/>
      <c r="N1026" s="3489">
        <v>2.9</v>
      </c>
      <c r="O1026" s="3492" t="s">
        <v>3297</v>
      </c>
      <c r="P1026" s="3492" t="s">
        <v>3298</v>
      </c>
      <c r="Q1026" s="3304"/>
      <c r="R1026" s="3304"/>
    </row>
    <row r="1027" spans="1:18">
      <c r="A1027" s="3306">
        <v>1024</v>
      </c>
      <c r="B1027" s="3306">
        <v>6</v>
      </c>
      <c r="C1027" s="3306">
        <v>1</v>
      </c>
      <c r="D1027" s="3307">
        <v>602</v>
      </c>
      <c r="E1027" s="3308">
        <v>3</v>
      </c>
      <c r="F1027" s="3308">
        <v>1</v>
      </c>
      <c r="G1027" s="3308">
        <v>1</v>
      </c>
      <c r="H1027" s="3309" t="s">
        <v>3346</v>
      </c>
      <c r="I1027" s="3307" t="s">
        <v>3347</v>
      </c>
      <c r="J1027" s="3306"/>
      <c r="K1027" s="3306">
        <v>71.760000000000005</v>
      </c>
      <c r="L1027" s="3308">
        <v>3.96</v>
      </c>
      <c r="M1027" s="3308"/>
      <c r="N1027" s="3490"/>
      <c r="O1027" s="3493"/>
      <c r="P1027" s="3493"/>
      <c r="Q1027" s="3308"/>
      <c r="R1027" s="3308"/>
    </row>
    <row r="1028" spans="1:18">
      <c r="A1028" s="3306">
        <v>1025</v>
      </c>
      <c r="B1028" s="3306">
        <v>6</v>
      </c>
      <c r="C1028" s="3306">
        <v>1</v>
      </c>
      <c r="D1028" s="3307">
        <v>603</v>
      </c>
      <c r="E1028" s="3308">
        <v>3</v>
      </c>
      <c r="F1028" s="3308">
        <v>1</v>
      </c>
      <c r="G1028" s="3308">
        <v>1</v>
      </c>
      <c r="H1028" s="3309" t="s">
        <v>3346</v>
      </c>
      <c r="I1028" s="3307" t="s">
        <v>3347</v>
      </c>
      <c r="J1028" s="3306"/>
      <c r="K1028" s="3306">
        <v>71.760000000000005</v>
      </c>
      <c r="L1028" s="3308">
        <v>3.96</v>
      </c>
      <c r="M1028" s="3308"/>
      <c r="N1028" s="3490"/>
      <c r="O1028" s="3493"/>
      <c r="P1028" s="3493"/>
      <c r="Q1028" s="3308"/>
      <c r="R1028" s="3308"/>
    </row>
    <row r="1029" spans="1:18">
      <c r="A1029" s="3306">
        <v>1026</v>
      </c>
      <c r="B1029" s="3306">
        <v>6</v>
      </c>
      <c r="C1029" s="3306">
        <v>1</v>
      </c>
      <c r="D1029" s="3307">
        <v>604</v>
      </c>
      <c r="E1029" s="3308">
        <v>3</v>
      </c>
      <c r="F1029" s="3308">
        <v>1</v>
      </c>
      <c r="G1029" s="3308">
        <v>1</v>
      </c>
      <c r="H1029" s="3309" t="s">
        <v>3348</v>
      </c>
      <c r="I1029" s="3307" t="s">
        <v>3349</v>
      </c>
      <c r="J1029" s="3306"/>
      <c r="K1029" s="3306">
        <v>68.569999999999993</v>
      </c>
      <c r="L1029" s="3308">
        <v>3.53</v>
      </c>
      <c r="M1029" s="3308"/>
      <c r="N1029" s="3490"/>
      <c r="O1029" s="3493"/>
      <c r="P1029" s="3493"/>
      <c r="Q1029" s="3308"/>
      <c r="R1029" s="3308"/>
    </row>
    <row r="1030" spans="1:18">
      <c r="A1030" s="3306">
        <v>1027</v>
      </c>
      <c r="B1030" s="3306">
        <v>6</v>
      </c>
      <c r="C1030" s="3306">
        <v>2</v>
      </c>
      <c r="D1030" s="3307">
        <v>601</v>
      </c>
      <c r="E1030" s="3308">
        <v>3</v>
      </c>
      <c r="F1030" s="3308">
        <v>1</v>
      </c>
      <c r="G1030" s="3308">
        <v>1</v>
      </c>
      <c r="H1030" s="3309" t="s">
        <v>3344</v>
      </c>
      <c r="I1030" s="3307" t="s">
        <v>3349</v>
      </c>
      <c r="J1030" s="3306"/>
      <c r="K1030" s="3306">
        <v>68.569999999999993</v>
      </c>
      <c r="L1030" s="3308">
        <v>3.53</v>
      </c>
      <c r="M1030" s="3308"/>
      <c r="N1030" s="3490"/>
      <c r="O1030" s="3493"/>
      <c r="P1030" s="3493"/>
      <c r="Q1030" s="3308"/>
      <c r="R1030" s="3308"/>
    </row>
    <row r="1031" spans="1:18">
      <c r="A1031" s="3306">
        <v>1028</v>
      </c>
      <c r="B1031" s="3306">
        <v>6</v>
      </c>
      <c r="C1031" s="3306">
        <v>2</v>
      </c>
      <c r="D1031" s="3307">
        <v>602</v>
      </c>
      <c r="E1031" s="3308">
        <v>3</v>
      </c>
      <c r="F1031" s="3308">
        <v>1</v>
      </c>
      <c r="G1031" s="3308">
        <v>1</v>
      </c>
      <c r="H1031" s="3309" t="s">
        <v>3346</v>
      </c>
      <c r="I1031" s="3307" t="s">
        <v>3347</v>
      </c>
      <c r="J1031" s="3306"/>
      <c r="K1031" s="3306">
        <v>71.760000000000005</v>
      </c>
      <c r="L1031" s="3308">
        <v>3.96</v>
      </c>
      <c r="M1031" s="3308"/>
      <c r="N1031" s="3490"/>
      <c r="O1031" s="3493"/>
      <c r="P1031" s="3493"/>
      <c r="Q1031" s="3308"/>
      <c r="R1031" s="3308"/>
    </row>
    <row r="1032" spans="1:18">
      <c r="A1032" s="3306">
        <v>1029</v>
      </c>
      <c r="B1032" s="3306">
        <v>6</v>
      </c>
      <c r="C1032" s="3306">
        <v>2</v>
      </c>
      <c r="D1032" s="3307">
        <v>603</v>
      </c>
      <c r="E1032" s="3308">
        <v>3</v>
      </c>
      <c r="F1032" s="3308">
        <v>1</v>
      </c>
      <c r="G1032" s="3308">
        <v>1</v>
      </c>
      <c r="H1032" s="3309" t="s">
        <v>3346</v>
      </c>
      <c r="I1032" s="3307" t="s">
        <v>3347</v>
      </c>
      <c r="J1032" s="3306"/>
      <c r="K1032" s="3306">
        <v>71.760000000000005</v>
      </c>
      <c r="L1032" s="3308">
        <v>3.96</v>
      </c>
      <c r="M1032" s="3308"/>
      <c r="N1032" s="3490"/>
      <c r="O1032" s="3493"/>
      <c r="P1032" s="3493"/>
      <c r="Q1032" s="3308"/>
      <c r="R1032" s="3308"/>
    </row>
    <row r="1033" spans="1:18" ht="14.25" thickBot="1">
      <c r="A1033" s="3306">
        <v>1030</v>
      </c>
      <c r="B1033" s="3306">
        <v>6</v>
      </c>
      <c r="C1033" s="3306">
        <v>2</v>
      </c>
      <c r="D1033" s="3312">
        <v>604</v>
      </c>
      <c r="E1033" s="3313">
        <v>4</v>
      </c>
      <c r="F1033" s="3313">
        <v>1</v>
      </c>
      <c r="G1033" s="3313">
        <v>1</v>
      </c>
      <c r="H1033" s="3314" t="s">
        <v>3348</v>
      </c>
      <c r="I1033" s="3312" t="s">
        <v>3345</v>
      </c>
      <c r="J1033" s="3316"/>
      <c r="K1033" s="3316">
        <v>89.43</v>
      </c>
      <c r="L1033" s="3313">
        <v>3.53</v>
      </c>
      <c r="M1033" s="3313"/>
      <c r="N1033" s="3491"/>
      <c r="O1033" s="3494"/>
      <c r="P1033" s="3494"/>
      <c r="Q1033" s="3313"/>
      <c r="R1033" s="3313"/>
    </row>
    <row r="1034" spans="1:18" ht="14.25" thickTop="1">
      <c r="A1034" s="3306">
        <v>1031</v>
      </c>
      <c r="B1034" s="3302">
        <v>6</v>
      </c>
      <c r="C1034" s="3302">
        <v>1</v>
      </c>
      <c r="D1034" s="3303">
        <v>701</v>
      </c>
      <c r="E1034" s="3304">
        <v>4</v>
      </c>
      <c r="F1034" s="3304">
        <v>1</v>
      </c>
      <c r="G1034" s="3304">
        <v>1</v>
      </c>
      <c r="H1034" s="3305" t="s">
        <v>3344</v>
      </c>
      <c r="I1034" s="3303" t="s">
        <v>3345</v>
      </c>
      <c r="J1034" s="3302"/>
      <c r="K1034" s="3302">
        <v>89.43</v>
      </c>
      <c r="L1034" s="3304">
        <v>3.53</v>
      </c>
      <c r="M1034" s="3304"/>
      <c r="N1034" s="3489">
        <v>2.9</v>
      </c>
      <c r="O1034" s="3492" t="s">
        <v>3297</v>
      </c>
      <c r="P1034" s="3492" t="s">
        <v>3298</v>
      </c>
      <c r="Q1034" s="3304"/>
      <c r="R1034" s="3304"/>
    </row>
    <row r="1035" spans="1:18">
      <c r="A1035" s="3306">
        <v>1032</v>
      </c>
      <c r="B1035" s="3306">
        <v>6</v>
      </c>
      <c r="C1035" s="3306">
        <v>1</v>
      </c>
      <c r="D1035" s="3307">
        <v>702</v>
      </c>
      <c r="E1035" s="3308">
        <v>3</v>
      </c>
      <c r="F1035" s="3308">
        <v>1</v>
      </c>
      <c r="G1035" s="3308">
        <v>1</v>
      </c>
      <c r="H1035" s="3309" t="s">
        <v>3346</v>
      </c>
      <c r="I1035" s="3307" t="s">
        <v>3347</v>
      </c>
      <c r="J1035" s="3306"/>
      <c r="K1035" s="3306">
        <v>71.760000000000005</v>
      </c>
      <c r="L1035" s="3308">
        <v>3.96</v>
      </c>
      <c r="M1035" s="3308"/>
      <c r="N1035" s="3490"/>
      <c r="O1035" s="3493"/>
      <c r="P1035" s="3493"/>
      <c r="Q1035" s="3308"/>
      <c r="R1035" s="3308"/>
    </row>
    <row r="1036" spans="1:18">
      <c r="A1036" s="3306">
        <v>1033</v>
      </c>
      <c r="B1036" s="3306">
        <v>6</v>
      </c>
      <c r="C1036" s="3306">
        <v>1</v>
      </c>
      <c r="D1036" s="3307">
        <v>703</v>
      </c>
      <c r="E1036" s="3308">
        <v>3</v>
      </c>
      <c r="F1036" s="3308">
        <v>1</v>
      </c>
      <c r="G1036" s="3308">
        <v>1</v>
      </c>
      <c r="H1036" s="3309" t="s">
        <v>3346</v>
      </c>
      <c r="I1036" s="3307" t="s">
        <v>3347</v>
      </c>
      <c r="J1036" s="3306"/>
      <c r="K1036" s="3306">
        <v>71.760000000000005</v>
      </c>
      <c r="L1036" s="3308">
        <v>3.96</v>
      </c>
      <c r="M1036" s="3308"/>
      <c r="N1036" s="3490"/>
      <c r="O1036" s="3493"/>
      <c r="P1036" s="3493"/>
      <c r="Q1036" s="3308"/>
      <c r="R1036" s="3308"/>
    </row>
    <row r="1037" spans="1:18">
      <c r="A1037" s="3306">
        <v>1034</v>
      </c>
      <c r="B1037" s="3306">
        <v>6</v>
      </c>
      <c r="C1037" s="3306">
        <v>1</v>
      </c>
      <c r="D1037" s="3307">
        <v>704</v>
      </c>
      <c r="E1037" s="3308">
        <v>3</v>
      </c>
      <c r="F1037" s="3308">
        <v>1</v>
      </c>
      <c r="G1037" s="3308">
        <v>1</v>
      </c>
      <c r="H1037" s="3309" t="s">
        <v>3348</v>
      </c>
      <c r="I1037" s="3307" t="s">
        <v>3349</v>
      </c>
      <c r="J1037" s="3306"/>
      <c r="K1037" s="3306">
        <v>68.569999999999993</v>
      </c>
      <c r="L1037" s="3308">
        <v>3.53</v>
      </c>
      <c r="M1037" s="3308"/>
      <c r="N1037" s="3490"/>
      <c r="O1037" s="3493"/>
      <c r="P1037" s="3493"/>
      <c r="Q1037" s="3308"/>
      <c r="R1037" s="3308"/>
    </row>
    <row r="1038" spans="1:18">
      <c r="A1038" s="3306">
        <v>1035</v>
      </c>
      <c r="B1038" s="3306">
        <v>6</v>
      </c>
      <c r="C1038" s="3306">
        <v>2</v>
      </c>
      <c r="D1038" s="3307">
        <v>701</v>
      </c>
      <c r="E1038" s="3308">
        <v>3</v>
      </c>
      <c r="F1038" s="3308">
        <v>1</v>
      </c>
      <c r="G1038" s="3308">
        <v>1</v>
      </c>
      <c r="H1038" s="3309" t="s">
        <v>3344</v>
      </c>
      <c r="I1038" s="3307" t="s">
        <v>3349</v>
      </c>
      <c r="J1038" s="3306"/>
      <c r="K1038" s="3306">
        <v>68.569999999999993</v>
      </c>
      <c r="L1038" s="3308">
        <v>3.53</v>
      </c>
      <c r="M1038" s="3308"/>
      <c r="N1038" s="3490"/>
      <c r="O1038" s="3493"/>
      <c r="P1038" s="3493"/>
      <c r="Q1038" s="3308"/>
      <c r="R1038" s="3308"/>
    </row>
    <row r="1039" spans="1:18">
      <c r="A1039" s="3306">
        <v>1036</v>
      </c>
      <c r="B1039" s="3306">
        <v>6</v>
      </c>
      <c r="C1039" s="3306">
        <v>2</v>
      </c>
      <c r="D1039" s="3307">
        <v>702</v>
      </c>
      <c r="E1039" s="3308">
        <v>3</v>
      </c>
      <c r="F1039" s="3308">
        <v>1</v>
      </c>
      <c r="G1039" s="3308">
        <v>1</v>
      </c>
      <c r="H1039" s="3309" t="s">
        <v>3346</v>
      </c>
      <c r="I1039" s="3307" t="s">
        <v>3347</v>
      </c>
      <c r="J1039" s="3306"/>
      <c r="K1039" s="3306">
        <v>71.760000000000005</v>
      </c>
      <c r="L1039" s="3308">
        <v>3.96</v>
      </c>
      <c r="M1039" s="3308"/>
      <c r="N1039" s="3490"/>
      <c r="O1039" s="3493"/>
      <c r="P1039" s="3493"/>
      <c r="Q1039" s="3308"/>
      <c r="R1039" s="3308"/>
    </row>
    <row r="1040" spans="1:18">
      <c r="A1040" s="3306">
        <v>1037</v>
      </c>
      <c r="B1040" s="3306">
        <v>6</v>
      </c>
      <c r="C1040" s="3306">
        <v>2</v>
      </c>
      <c r="D1040" s="3307">
        <v>703</v>
      </c>
      <c r="E1040" s="3308">
        <v>3</v>
      </c>
      <c r="F1040" s="3308">
        <v>1</v>
      </c>
      <c r="G1040" s="3308">
        <v>1</v>
      </c>
      <c r="H1040" s="3309" t="s">
        <v>3346</v>
      </c>
      <c r="I1040" s="3307" t="s">
        <v>3347</v>
      </c>
      <c r="J1040" s="3306"/>
      <c r="K1040" s="3306">
        <v>71.760000000000005</v>
      </c>
      <c r="L1040" s="3308">
        <v>3.96</v>
      </c>
      <c r="M1040" s="3308"/>
      <c r="N1040" s="3490"/>
      <c r="O1040" s="3493"/>
      <c r="P1040" s="3493"/>
      <c r="Q1040" s="3308"/>
      <c r="R1040" s="3308"/>
    </row>
    <row r="1041" spans="1:18" ht="14.25" thickBot="1">
      <c r="A1041" s="3306">
        <v>1038</v>
      </c>
      <c r="B1041" s="3306">
        <v>6</v>
      </c>
      <c r="C1041" s="3306">
        <v>2</v>
      </c>
      <c r="D1041" s="3312">
        <v>704</v>
      </c>
      <c r="E1041" s="3313">
        <v>4</v>
      </c>
      <c r="F1041" s="3313">
        <v>1</v>
      </c>
      <c r="G1041" s="3313">
        <v>1</v>
      </c>
      <c r="H1041" s="3314" t="s">
        <v>3348</v>
      </c>
      <c r="I1041" s="3312" t="s">
        <v>3345</v>
      </c>
      <c r="J1041" s="3316"/>
      <c r="K1041" s="3316">
        <v>89.43</v>
      </c>
      <c r="L1041" s="3313">
        <v>3.53</v>
      </c>
      <c r="M1041" s="3313"/>
      <c r="N1041" s="3491"/>
      <c r="O1041" s="3494"/>
      <c r="P1041" s="3494"/>
      <c r="Q1041" s="3313"/>
      <c r="R1041" s="3313"/>
    </row>
    <row r="1042" spans="1:18" ht="14.25" thickTop="1">
      <c r="A1042" s="3306">
        <v>1039</v>
      </c>
      <c r="B1042" s="3302">
        <v>6</v>
      </c>
      <c r="C1042" s="3302">
        <v>1</v>
      </c>
      <c r="D1042" s="3303">
        <v>801</v>
      </c>
      <c r="E1042" s="3304">
        <v>4</v>
      </c>
      <c r="F1042" s="3304">
        <v>1</v>
      </c>
      <c r="G1042" s="3304">
        <v>1</v>
      </c>
      <c r="H1042" s="3305" t="s">
        <v>3344</v>
      </c>
      <c r="I1042" s="3303" t="s">
        <v>3345</v>
      </c>
      <c r="J1042" s="3302"/>
      <c r="K1042" s="3302">
        <v>89.43</v>
      </c>
      <c r="L1042" s="3304">
        <v>3.53</v>
      </c>
      <c r="M1042" s="3304"/>
      <c r="N1042" s="3489">
        <v>2.9</v>
      </c>
      <c r="O1042" s="3492" t="s">
        <v>3297</v>
      </c>
      <c r="P1042" s="3492" t="s">
        <v>3298</v>
      </c>
      <c r="Q1042" s="3304"/>
      <c r="R1042" s="3304"/>
    </row>
    <row r="1043" spans="1:18">
      <c r="A1043" s="3306">
        <v>1040</v>
      </c>
      <c r="B1043" s="3306">
        <v>6</v>
      </c>
      <c r="C1043" s="3306">
        <v>1</v>
      </c>
      <c r="D1043" s="3307">
        <v>802</v>
      </c>
      <c r="E1043" s="3308">
        <v>3</v>
      </c>
      <c r="F1043" s="3308">
        <v>1</v>
      </c>
      <c r="G1043" s="3308">
        <v>1</v>
      </c>
      <c r="H1043" s="3309" t="s">
        <v>3346</v>
      </c>
      <c r="I1043" s="3307" t="s">
        <v>3347</v>
      </c>
      <c r="J1043" s="3306"/>
      <c r="K1043" s="3306">
        <v>71.760000000000005</v>
      </c>
      <c r="L1043" s="3308">
        <v>3.96</v>
      </c>
      <c r="M1043" s="3308"/>
      <c r="N1043" s="3490"/>
      <c r="O1043" s="3493"/>
      <c r="P1043" s="3493"/>
      <c r="Q1043" s="3308"/>
      <c r="R1043" s="3308"/>
    </row>
    <row r="1044" spans="1:18">
      <c r="A1044" s="3306">
        <v>1041</v>
      </c>
      <c r="B1044" s="3306">
        <v>6</v>
      </c>
      <c r="C1044" s="3306">
        <v>1</v>
      </c>
      <c r="D1044" s="3307">
        <v>803</v>
      </c>
      <c r="E1044" s="3308">
        <v>3</v>
      </c>
      <c r="F1044" s="3308">
        <v>1</v>
      </c>
      <c r="G1044" s="3308">
        <v>1</v>
      </c>
      <c r="H1044" s="3309" t="s">
        <v>3346</v>
      </c>
      <c r="I1044" s="3307" t="s">
        <v>3347</v>
      </c>
      <c r="J1044" s="3306"/>
      <c r="K1044" s="3306">
        <v>71.760000000000005</v>
      </c>
      <c r="L1044" s="3308">
        <v>3.96</v>
      </c>
      <c r="M1044" s="3308"/>
      <c r="N1044" s="3490"/>
      <c r="O1044" s="3493"/>
      <c r="P1044" s="3493"/>
      <c r="Q1044" s="3308"/>
      <c r="R1044" s="3308"/>
    </row>
    <row r="1045" spans="1:18">
      <c r="A1045" s="3306">
        <v>1042</v>
      </c>
      <c r="B1045" s="3306">
        <v>6</v>
      </c>
      <c r="C1045" s="3306">
        <v>1</v>
      </c>
      <c r="D1045" s="3307">
        <v>804</v>
      </c>
      <c r="E1045" s="3308">
        <v>3</v>
      </c>
      <c r="F1045" s="3308">
        <v>1</v>
      </c>
      <c r="G1045" s="3308">
        <v>1</v>
      </c>
      <c r="H1045" s="3309" t="s">
        <v>3348</v>
      </c>
      <c r="I1045" s="3307" t="s">
        <v>3349</v>
      </c>
      <c r="J1045" s="3306"/>
      <c r="K1045" s="3306">
        <v>68.569999999999993</v>
      </c>
      <c r="L1045" s="3308">
        <v>3.53</v>
      </c>
      <c r="M1045" s="3308"/>
      <c r="N1045" s="3490"/>
      <c r="O1045" s="3493"/>
      <c r="P1045" s="3493"/>
      <c r="Q1045" s="3308"/>
      <c r="R1045" s="3308"/>
    </row>
    <row r="1046" spans="1:18">
      <c r="A1046" s="3306">
        <v>1043</v>
      </c>
      <c r="B1046" s="3306">
        <v>6</v>
      </c>
      <c r="C1046" s="3306">
        <v>2</v>
      </c>
      <c r="D1046" s="3307">
        <v>801</v>
      </c>
      <c r="E1046" s="3308">
        <v>3</v>
      </c>
      <c r="F1046" s="3308">
        <v>1</v>
      </c>
      <c r="G1046" s="3308">
        <v>1</v>
      </c>
      <c r="H1046" s="3309" t="s">
        <v>3344</v>
      </c>
      <c r="I1046" s="3307" t="s">
        <v>3349</v>
      </c>
      <c r="J1046" s="3306"/>
      <c r="K1046" s="3306">
        <v>68.569999999999993</v>
      </c>
      <c r="L1046" s="3308">
        <v>3.53</v>
      </c>
      <c r="M1046" s="3308"/>
      <c r="N1046" s="3490"/>
      <c r="O1046" s="3493"/>
      <c r="P1046" s="3493"/>
      <c r="Q1046" s="3308"/>
      <c r="R1046" s="3308"/>
    </row>
    <row r="1047" spans="1:18">
      <c r="A1047" s="3306">
        <v>1044</v>
      </c>
      <c r="B1047" s="3306">
        <v>6</v>
      </c>
      <c r="C1047" s="3306">
        <v>2</v>
      </c>
      <c r="D1047" s="3307">
        <v>802</v>
      </c>
      <c r="E1047" s="3308">
        <v>3</v>
      </c>
      <c r="F1047" s="3308">
        <v>1</v>
      </c>
      <c r="G1047" s="3308">
        <v>1</v>
      </c>
      <c r="H1047" s="3309" t="s">
        <v>3346</v>
      </c>
      <c r="I1047" s="3307" t="s">
        <v>3347</v>
      </c>
      <c r="J1047" s="3306"/>
      <c r="K1047" s="3306">
        <v>71.760000000000005</v>
      </c>
      <c r="L1047" s="3308">
        <v>3.96</v>
      </c>
      <c r="M1047" s="3308"/>
      <c r="N1047" s="3490"/>
      <c r="O1047" s="3493"/>
      <c r="P1047" s="3493"/>
      <c r="Q1047" s="3308"/>
      <c r="R1047" s="3308"/>
    </row>
    <row r="1048" spans="1:18">
      <c r="A1048" s="3306">
        <v>1045</v>
      </c>
      <c r="B1048" s="3306">
        <v>6</v>
      </c>
      <c r="C1048" s="3306">
        <v>2</v>
      </c>
      <c r="D1048" s="3307">
        <v>803</v>
      </c>
      <c r="E1048" s="3308">
        <v>3</v>
      </c>
      <c r="F1048" s="3308">
        <v>1</v>
      </c>
      <c r="G1048" s="3308">
        <v>1</v>
      </c>
      <c r="H1048" s="3309" t="s">
        <v>3346</v>
      </c>
      <c r="I1048" s="3307" t="s">
        <v>3347</v>
      </c>
      <c r="J1048" s="3306"/>
      <c r="K1048" s="3306">
        <v>71.760000000000005</v>
      </c>
      <c r="L1048" s="3308">
        <v>3.96</v>
      </c>
      <c r="M1048" s="3308"/>
      <c r="N1048" s="3490"/>
      <c r="O1048" s="3493"/>
      <c r="P1048" s="3493"/>
      <c r="Q1048" s="3308"/>
      <c r="R1048" s="3308"/>
    </row>
    <row r="1049" spans="1:18" ht="14.25" thickBot="1">
      <c r="A1049" s="3306">
        <v>1046</v>
      </c>
      <c r="B1049" s="3306">
        <v>6</v>
      </c>
      <c r="C1049" s="3306">
        <v>2</v>
      </c>
      <c r="D1049" s="3312">
        <v>804</v>
      </c>
      <c r="E1049" s="3313">
        <v>4</v>
      </c>
      <c r="F1049" s="3313">
        <v>1</v>
      </c>
      <c r="G1049" s="3313">
        <v>1</v>
      </c>
      <c r="H1049" s="3314" t="s">
        <v>3348</v>
      </c>
      <c r="I1049" s="3312" t="s">
        <v>3345</v>
      </c>
      <c r="J1049" s="3316"/>
      <c r="K1049" s="3316">
        <v>89.43</v>
      </c>
      <c r="L1049" s="3313">
        <v>3.53</v>
      </c>
      <c r="M1049" s="3313"/>
      <c r="N1049" s="3491"/>
      <c r="O1049" s="3494"/>
      <c r="P1049" s="3494"/>
      <c r="Q1049" s="3313"/>
      <c r="R1049" s="3313"/>
    </row>
    <row r="1050" spans="1:18" ht="14.25" thickTop="1">
      <c r="A1050" s="3306">
        <v>1047</v>
      </c>
      <c r="B1050" s="3302">
        <v>6</v>
      </c>
      <c r="C1050" s="3302">
        <v>1</v>
      </c>
      <c r="D1050" s="3303">
        <v>901</v>
      </c>
      <c r="E1050" s="3304">
        <v>4</v>
      </c>
      <c r="F1050" s="3304">
        <v>1</v>
      </c>
      <c r="G1050" s="3304">
        <v>1</v>
      </c>
      <c r="H1050" s="3305" t="s">
        <v>3344</v>
      </c>
      <c r="I1050" s="3303" t="s">
        <v>3345</v>
      </c>
      <c r="J1050" s="3302"/>
      <c r="K1050" s="3302">
        <v>89.43</v>
      </c>
      <c r="L1050" s="3304">
        <v>3.53</v>
      </c>
      <c r="M1050" s="3304"/>
      <c r="N1050" s="3489">
        <v>2.9</v>
      </c>
      <c r="O1050" s="3492" t="s">
        <v>3297</v>
      </c>
      <c r="P1050" s="3492" t="s">
        <v>3298</v>
      </c>
      <c r="Q1050" s="3304"/>
      <c r="R1050" s="3304"/>
    </row>
    <row r="1051" spans="1:18">
      <c r="A1051" s="3306">
        <v>1048</v>
      </c>
      <c r="B1051" s="3306">
        <v>6</v>
      </c>
      <c r="C1051" s="3306">
        <v>1</v>
      </c>
      <c r="D1051" s="3307">
        <v>902</v>
      </c>
      <c r="E1051" s="3308">
        <v>3</v>
      </c>
      <c r="F1051" s="3308">
        <v>1</v>
      </c>
      <c r="G1051" s="3308">
        <v>1</v>
      </c>
      <c r="H1051" s="3309" t="s">
        <v>3346</v>
      </c>
      <c r="I1051" s="3307" t="s">
        <v>3347</v>
      </c>
      <c r="J1051" s="3306"/>
      <c r="K1051" s="3306">
        <v>71.760000000000005</v>
      </c>
      <c r="L1051" s="3308">
        <v>3.96</v>
      </c>
      <c r="M1051" s="3308"/>
      <c r="N1051" s="3490"/>
      <c r="O1051" s="3493"/>
      <c r="P1051" s="3493"/>
      <c r="Q1051" s="3308"/>
      <c r="R1051" s="3308"/>
    </row>
    <row r="1052" spans="1:18">
      <c r="A1052" s="3306">
        <v>1049</v>
      </c>
      <c r="B1052" s="3306">
        <v>6</v>
      </c>
      <c r="C1052" s="3306">
        <v>1</v>
      </c>
      <c r="D1052" s="3307">
        <v>903</v>
      </c>
      <c r="E1052" s="3308">
        <v>3</v>
      </c>
      <c r="F1052" s="3308">
        <v>1</v>
      </c>
      <c r="G1052" s="3308">
        <v>1</v>
      </c>
      <c r="H1052" s="3309" t="s">
        <v>3346</v>
      </c>
      <c r="I1052" s="3307" t="s">
        <v>3347</v>
      </c>
      <c r="J1052" s="3306"/>
      <c r="K1052" s="3306">
        <v>71.760000000000005</v>
      </c>
      <c r="L1052" s="3308">
        <v>3.96</v>
      </c>
      <c r="M1052" s="3308"/>
      <c r="N1052" s="3490"/>
      <c r="O1052" s="3493"/>
      <c r="P1052" s="3493"/>
      <c r="Q1052" s="3308"/>
      <c r="R1052" s="3308"/>
    </row>
    <row r="1053" spans="1:18">
      <c r="A1053" s="3306">
        <v>1050</v>
      </c>
      <c r="B1053" s="3306">
        <v>6</v>
      </c>
      <c r="C1053" s="3306">
        <v>1</v>
      </c>
      <c r="D1053" s="3307">
        <v>904</v>
      </c>
      <c r="E1053" s="3308">
        <v>3</v>
      </c>
      <c r="F1053" s="3308">
        <v>1</v>
      </c>
      <c r="G1053" s="3308">
        <v>1</v>
      </c>
      <c r="H1053" s="3309" t="s">
        <v>3348</v>
      </c>
      <c r="I1053" s="3307" t="s">
        <v>3349</v>
      </c>
      <c r="J1053" s="3306"/>
      <c r="K1053" s="3306">
        <v>68.569999999999993</v>
      </c>
      <c r="L1053" s="3308">
        <v>3.53</v>
      </c>
      <c r="M1053" s="3308"/>
      <c r="N1053" s="3490"/>
      <c r="O1053" s="3493"/>
      <c r="P1053" s="3493"/>
      <c r="Q1053" s="3308"/>
      <c r="R1053" s="3308"/>
    </row>
    <row r="1054" spans="1:18">
      <c r="A1054" s="3306">
        <v>1051</v>
      </c>
      <c r="B1054" s="3306">
        <v>6</v>
      </c>
      <c r="C1054" s="3306">
        <v>2</v>
      </c>
      <c r="D1054" s="3307">
        <v>901</v>
      </c>
      <c r="E1054" s="3308">
        <v>3</v>
      </c>
      <c r="F1054" s="3308">
        <v>1</v>
      </c>
      <c r="G1054" s="3308">
        <v>1</v>
      </c>
      <c r="H1054" s="3309" t="s">
        <v>3344</v>
      </c>
      <c r="I1054" s="3307" t="s">
        <v>3349</v>
      </c>
      <c r="J1054" s="3306"/>
      <c r="K1054" s="3306">
        <v>68.569999999999993</v>
      </c>
      <c r="L1054" s="3308">
        <v>3.53</v>
      </c>
      <c r="M1054" s="3308"/>
      <c r="N1054" s="3490"/>
      <c r="O1054" s="3493"/>
      <c r="P1054" s="3493"/>
      <c r="Q1054" s="3308"/>
      <c r="R1054" s="3308"/>
    </row>
    <row r="1055" spans="1:18">
      <c r="A1055" s="3306">
        <v>1052</v>
      </c>
      <c r="B1055" s="3306">
        <v>6</v>
      </c>
      <c r="C1055" s="3306">
        <v>2</v>
      </c>
      <c r="D1055" s="3307">
        <v>902</v>
      </c>
      <c r="E1055" s="3308">
        <v>3</v>
      </c>
      <c r="F1055" s="3308">
        <v>1</v>
      </c>
      <c r="G1055" s="3308">
        <v>1</v>
      </c>
      <c r="H1055" s="3309" t="s">
        <v>3346</v>
      </c>
      <c r="I1055" s="3307" t="s">
        <v>3347</v>
      </c>
      <c r="J1055" s="3306"/>
      <c r="K1055" s="3306">
        <v>71.760000000000005</v>
      </c>
      <c r="L1055" s="3308">
        <v>3.96</v>
      </c>
      <c r="M1055" s="3308"/>
      <c r="N1055" s="3490"/>
      <c r="O1055" s="3493"/>
      <c r="P1055" s="3493"/>
      <c r="Q1055" s="3308"/>
      <c r="R1055" s="3308"/>
    </row>
    <row r="1056" spans="1:18">
      <c r="A1056" s="3306">
        <v>1053</v>
      </c>
      <c r="B1056" s="3306">
        <v>6</v>
      </c>
      <c r="C1056" s="3306">
        <v>2</v>
      </c>
      <c r="D1056" s="3307">
        <v>903</v>
      </c>
      <c r="E1056" s="3308">
        <v>3</v>
      </c>
      <c r="F1056" s="3308">
        <v>1</v>
      </c>
      <c r="G1056" s="3308">
        <v>1</v>
      </c>
      <c r="H1056" s="3309" t="s">
        <v>3346</v>
      </c>
      <c r="I1056" s="3307" t="s">
        <v>3347</v>
      </c>
      <c r="J1056" s="3306"/>
      <c r="K1056" s="3306">
        <v>71.760000000000005</v>
      </c>
      <c r="L1056" s="3308">
        <v>3.96</v>
      </c>
      <c r="M1056" s="3308"/>
      <c r="N1056" s="3490"/>
      <c r="O1056" s="3493"/>
      <c r="P1056" s="3493"/>
      <c r="Q1056" s="3308"/>
      <c r="R1056" s="3308"/>
    </row>
    <row r="1057" spans="1:18" ht="14.25" thickBot="1">
      <c r="A1057" s="3306">
        <v>1054</v>
      </c>
      <c r="B1057" s="3306">
        <v>6</v>
      </c>
      <c r="C1057" s="3306">
        <v>2</v>
      </c>
      <c r="D1057" s="3312">
        <v>904</v>
      </c>
      <c r="E1057" s="3313">
        <v>4</v>
      </c>
      <c r="F1057" s="3313">
        <v>1</v>
      </c>
      <c r="G1057" s="3313">
        <v>1</v>
      </c>
      <c r="H1057" s="3314" t="s">
        <v>3348</v>
      </c>
      <c r="I1057" s="3312" t="s">
        <v>3345</v>
      </c>
      <c r="J1057" s="3316"/>
      <c r="K1057" s="3316">
        <v>89.43</v>
      </c>
      <c r="L1057" s="3313">
        <v>3.53</v>
      </c>
      <c r="M1057" s="3313"/>
      <c r="N1057" s="3491"/>
      <c r="O1057" s="3494"/>
      <c r="P1057" s="3494"/>
      <c r="Q1057" s="3313"/>
      <c r="R1057" s="3313"/>
    </row>
    <row r="1058" spans="1:18" ht="14.25" thickTop="1">
      <c r="A1058" s="3306">
        <v>1055</v>
      </c>
      <c r="B1058" s="3302">
        <v>6</v>
      </c>
      <c r="C1058" s="3302">
        <v>1</v>
      </c>
      <c r="D1058" s="3303">
        <v>1001</v>
      </c>
      <c r="E1058" s="3304">
        <v>4</v>
      </c>
      <c r="F1058" s="3304">
        <v>1</v>
      </c>
      <c r="G1058" s="3304">
        <v>1</v>
      </c>
      <c r="H1058" s="3305" t="s">
        <v>3344</v>
      </c>
      <c r="I1058" s="3303" t="s">
        <v>3345</v>
      </c>
      <c r="J1058" s="3302"/>
      <c r="K1058" s="3302">
        <v>89.43</v>
      </c>
      <c r="L1058" s="3304">
        <v>3.53</v>
      </c>
      <c r="M1058" s="3304"/>
      <c r="N1058" s="3489">
        <v>2.9</v>
      </c>
      <c r="O1058" s="3492" t="s">
        <v>3297</v>
      </c>
      <c r="P1058" s="3492" t="s">
        <v>3298</v>
      </c>
      <c r="Q1058" s="3304"/>
      <c r="R1058" s="3304"/>
    </row>
    <row r="1059" spans="1:18">
      <c r="A1059" s="3306">
        <v>1056</v>
      </c>
      <c r="B1059" s="3306">
        <v>6</v>
      </c>
      <c r="C1059" s="3306">
        <v>1</v>
      </c>
      <c r="D1059" s="3307">
        <v>1002</v>
      </c>
      <c r="E1059" s="3308">
        <v>3</v>
      </c>
      <c r="F1059" s="3308">
        <v>1</v>
      </c>
      <c r="G1059" s="3308">
        <v>1</v>
      </c>
      <c r="H1059" s="3309" t="s">
        <v>3346</v>
      </c>
      <c r="I1059" s="3307" t="s">
        <v>3347</v>
      </c>
      <c r="J1059" s="3306"/>
      <c r="K1059" s="3306">
        <v>71.760000000000005</v>
      </c>
      <c r="L1059" s="3308">
        <v>3.96</v>
      </c>
      <c r="M1059" s="3308"/>
      <c r="N1059" s="3490"/>
      <c r="O1059" s="3493"/>
      <c r="P1059" s="3493"/>
      <c r="Q1059" s="3308"/>
      <c r="R1059" s="3308"/>
    </row>
    <row r="1060" spans="1:18">
      <c r="A1060" s="3306">
        <v>1057</v>
      </c>
      <c r="B1060" s="3306">
        <v>6</v>
      </c>
      <c r="C1060" s="3306">
        <v>1</v>
      </c>
      <c r="D1060" s="3307">
        <v>1003</v>
      </c>
      <c r="E1060" s="3308">
        <v>3</v>
      </c>
      <c r="F1060" s="3308">
        <v>1</v>
      </c>
      <c r="G1060" s="3308">
        <v>1</v>
      </c>
      <c r="H1060" s="3309" t="s">
        <v>3346</v>
      </c>
      <c r="I1060" s="3307" t="s">
        <v>3347</v>
      </c>
      <c r="J1060" s="3306"/>
      <c r="K1060" s="3306">
        <v>71.760000000000005</v>
      </c>
      <c r="L1060" s="3308">
        <v>3.96</v>
      </c>
      <c r="M1060" s="3308"/>
      <c r="N1060" s="3490"/>
      <c r="O1060" s="3493"/>
      <c r="P1060" s="3493"/>
      <c r="Q1060" s="3308"/>
      <c r="R1060" s="3308"/>
    </row>
    <row r="1061" spans="1:18">
      <c r="A1061" s="3306">
        <v>1058</v>
      </c>
      <c r="B1061" s="3306">
        <v>6</v>
      </c>
      <c r="C1061" s="3306">
        <v>1</v>
      </c>
      <c r="D1061" s="3307">
        <v>1004</v>
      </c>
      <c r="E1061" s="3308">
        <v>3</v>
      </c>
      <c r="F1061" s="3308">
        <v>1</v>
      </c>
      <c r="G1061" s="3308">
        <v>1</v>
      </c>
      <c r="H1061" s="3309" t="s">
        <v>3348</v>
      </c>
      <c r="I1061" s="3307" t="s">
        <v>3349</v>
      </c>
      <c r="J1061" s="3306"/>
      <c r="K1061" s="3306">
        <v>68.569999999999993</v>
      </c>
      <c r="L1061" s="3308">
        <v>3.53</v>
      </c>
      <c r="M1061" s="3308"/>
      <c r="N1061" s="3490"/>
      <c r="O1061" s="3493"/>
      <c r="P1061" s="3493"/>
      <c r="Q1061" s="3308"/>
      <c r="R1061" s="3308"/>
    </row>
    <row r="1062" spans="1:18">
      <c r="A1062" s="3306">
        <v>1059</v>
      </c>
      <c r="B1062" s="3306">
        <v>6</v>
      </c>
      <c r="C1062" s="3306">
        <v>2</v>
      </c>
      <c r="D1062" s="3307">
        <v>1001</v>
      </c>
      <c r="E1062" s="3308">
        <v>3</v>
      </c>
      <c r="F1062" s="3308">
        <v>1</v>
      </c>
      <c r="G1062" s="3308">
        <v>1</v>
      </c>
      <c r="H1062" s="3309" t="s">
        <v>3344</v>
      </c>
      <c r="I1062" s="3307" t="s">
        <v>3349</v>
      </c>
      <c r="J1062" s="3306"/>
      <c r="K1062" s="3306">
        <v>68.569999999999993</v>
      </c>
      <c r="L1062" s="3308">
        <v>3.53</v>
      </c>
      <c r="M1062" s="3308"/>
      <c r="N1062" s="3490"/>
      <c r="O1062" s="3493"/>
      <c r="P1062" s="3493"/>
      <c r="Q1062" s="3308"/>
      <c r="R1062" s="3308"/>
    </row>
    <row r="1063" spans="1:18">
      <c r="A1063" s="3306">
        <v>1060</v>
      </c>
      <c r="B1063" s="3306">
        <v>6</v>
      </c>
      <c r="C1063" s="3306">
        <v>2</v>
      </c>
      <c r="D1063" s="3307">
        <v>1002</v>
      </c>
      <c r="E1063" s="3308">
        <v>3</v>
      </c>
      <c r="F1063" s="3308">
        <v>1</v>
      </c>
      <c r="G1063" s="3308">
        <v>1</v>
      </c>
      <c r="H1063" s="3309" t="s">
        <v>3346</v>
      </c>
      <c r="I1063" s="3307" t="s">
        <v>3347</v>
      </c>
      <c r="J1063" s="3306"/>
      <c r="K1063" s="3306">
        <v>71.760000000000005</v>
      </c>
      <c r="L1063" s="3308">
        <v>3.96</v>
      </c>
      <c r="M1063" s="3308"/>
      <c r="N1063" s="3490"/>
      <c r="O1063" s="3493"/>
      <c r="P1063" s="3493"/>
      <c r="Q1063" s="3308"/>
      <c r="R1063" s="3308"/>
    </row>
    <row r="1064" spans="1:18">
      <c r="A1064" s="3306">
        <v>1061</v>
      </c>
      <c r="B1064" s="3306">
        <v>6</v>
      </c>
      <c r="C1064" s="3306">
        <v>2</v>
      </c>
      <c r="D1064" s="3307">
        <v>1003</v>
      </c>
      <c r="E1064" s="3308">
        <v>3</v>
      </c>
      <c r="F1064" s="3308">
        <v>1</v>
      </c>
      <c r="G1064" s="3308">
        <v>1</v>
      </c>
      <c r="H1064" s="3309" t="s">
        <v>3346</v>
      </c>
      <c r="I1064" s="3307" t="s">
        <v>3347</v>
      </c>
      <c r="J1064" s="3306"/>
      <c r="K1064" s="3306">
        <v>71.760000000000005</v>
      </c>
      <c r="L1064" s="3308">
        <v>3.96</v>
      </c>
      <c r="M1064" s="3308"/>
      <c r="N1064" s="3490"/>
      <c r="O1064" s="3493"/>
      <c r="P1064" s="3493"/>
      <c r="Q1064" s="3308"/>
      <c r="R1064" s="3308"/>
    </row>
    <row r="1065" spans="1:18" ht="14.25" thickBot="1">
      <c r="A1065" s="3306">
        <v>1062</v>
      </c>
      <c r="B1065" s="3306">
        <v>6</v>
      </c>
      <c r="C1065" s="3306">
        <v>2</v>
      </c>
      <c r="D1065" s="3312">
        <v>1004</v>
      </c>
      <c r="E1065" s="3313">
        <v>4</v>
      </c>
      <c r="F1065" s="3313">
        <v>1</v>
      </c>
      <c r="G1065" s="3313">
        <v>1</v>
      </c>
      <c r="H1065" s="3314" t="s">
        <v>3348</v>
      </c>
      <c r="I1065" s="3312" t="s">
        <v>3345</v>
      </c>
      <c r="J1065" s="3316"/>
      <c r="K1065" s="3316">
        <v>89.43</v>
      </c>
      <c r="L1065" s="3313">
        <v>3.53</v>
      </c>
      <c r="M1065" s="3313"/>
      <c r="N1065" s="3491"/>
      <c r="O1065" s="3494"/>
      <c r="P1065" s="3494"/>
      <c r="Q1065" s="3313"/>
      <c r="R1065" s="3313"/>
    </row>
    <row r="1066" spans="1:18" ht="14.25" thickTop="1">
      <c r="A1066" s="3306">
        <v>1063</v>
      </c>
      <c r="B1066" s="3302">
        <v>6</v>
      </c>
      <c r="C1066" s="3302">
        <v>1</v>
      </c>
      <c r="D1066" s="3303">
        <v>1101</v>
      </c>
      <c r="E1066" s="3304">
        <v>4</v>
      </c>
      <c r="F1066" s="3304">
        <v>1</v>
      </c>
      <c r="G1066" s="3304">
        <v>1</v>
      </c>
      <c r="H1066" s="3305" t="s">
        <v>3344</v>
      </c>
      <c r="I1066" s="3303" t="s">
        <v>3345</v>
      </c>
      <c r="J1066" s="3302"/>
      <c r="K1066" s="3302">
        <v>89.43</v>
      </c>
      <c r="L1066" s="3304">
        <v>3.53</v>
      </c>
      <c r="M1066" s="3304"/>
      <c r="N1066" s="3489">
        <v>2.9</v>
      </c>
      <c r="O1066" s="3492" t="s">
        <v>3297</v>
      </c>
      <c r="P1066" s="3492" t="s">
        <v>3298</v>
      </c>
      <c r="Q1066" s="3304"/>
      <c r="R1066" s="3304"/>
    </row>
    <row r="1067" spans="1:18">
      <c r="A1067" s="3306">
        <v>1064</v>
      </c>
      <c r="B1067" s="3306">
        <v>6</v>
      </c>
      <c r="C1067" s="3306">
        <v>1</v>
      </c>
      <c r="D1067" s="3307">
        <v>1102</v>
      </c>
      <c r="E1067" s="3308">
        <v>3</v>
      </c>
      <c r="F1067" s="3308">
        <v>1</v>
      </c>
      <c r="G1067" s="3308">
        <v>1</v>
      </c>
      <c r="H1067" s="3309" t="s">
        <v>3346</v>
      </c>
      <c r="I1067" s="3307" t="s">
        <v>3347</v>
      </c>
      <c r="J1067" s="3306"/>
      <c r="K1067" s="3306">
        <v>71.760000000000005</v>
      </c>
      <c r="L1067" s="3308">
        <v>3.96</v>
      </c>
      <c r="M1067" s="3308"/>
      <c r="N1067" s="3490"/>
      <c r="O1067" s="3493"/>
      <c r="P1067" s="3493"/>
      <c r="Q1067" s="3308"/>
      <c r="R1067" s="3308"/>
    </row>
    <row r="1068" spans="1:18">
      <c r="A1068" s="3306">
        <v>1065</v>
      </c>
      <c r="B1068" s="3306">
        <v>6</v>
      </c>
      <c r="C1068" s="3306">
        <v>1</v>
      </c>
      <c r="D1068" s="3307">
        <v>1103</v>
      </c>
      <c r="E1068" s="3308">
        <v>3</v>
      </c>
      <c r="F1068" s="3308">
        <v>1</v>
      </c>
      <c r="G1068" s="3308">
        <v>1</v>
      </c>
      <c r="H1068" s="3309" t="s">
        <v>3346</v>
      </c>
      <c r="I1068" s="3307" t="s">
        <v>3347</v>
      </c>
      <c r="J1068" s="3306"/>
      <c r="K1068" s="3306">
        <v>71.760000000000005</v>
      </c>
      <c r="L1068" s="3308">
        <v>3.96</v>
      </c>
      <c r="M1068" s="3308"/>
      <c r="N1068" s="3490"/>
      <c r="O1068" s="3493"/>
      <c r="P1068" s="3493"/>
      <c r="Q1068" s="3308"/>
      <c r="R1068" s="3308"/>
    </row>
    <row r="1069" spans="1:18">
      <c r="A1069" s="3306">
        <v>1066</v>
      </c>
      <c r="B1069" s="3306">
        <v>6</v>
      </c>
      <c r="C1069" s="3306">
        <v>1</v>
      </c>
      <c r="D1069" s="3307">
        <v>1104</v>
      </c>
      <c r="E1069" s="3308">
        <v>3</v>
      </c>
      <c r="F1069" s="3308">
        <v>1</v>
      </c>
      <c r="G1069" s="3308">
        <v>1</v>
      </c>
      <c r="H1069" s="3309" t="s">
        <v>3348</v>
      </c>
      <c r="I1069" s="3307" t="s">
        <v>3349</v>
      </c>
      <c r="J1069" s="3306"/>
      <c r="K1069" s="3306">
        <v>68.569999999999993</v>
      </c>
      <c r="L1069" s="3308">
        <v>3.53</v>
      </c>
      <c r="M1069" s="3308"/>
      <c r="N1069" s="3490"/>
      <c r="O1069" s="3493"/>
      <c r="P1069" s="3493"/>
      <c r="Q1069" s="3308"/>
      <c r="R1069" s="3308"/>
    </row>
    <row r="1070" spans="1:18">
      <c r="A1070" s="3306">
        <v>1067</v>
      </c>
      <c r="B1070" s="3306">
        <v>6</v>
      </c>
      <c r="C1070" s="3306">
        <v>2</v>
      </c>
      <c r="D1070" s="3307">
        <v>1101</v>
      </c>
      <c r="E1070" s="3308">
        <v>3</v>
      </c>
      <c r="F1070" s="3308">
        <v>1</v>
      </c>
      <c r="G1070" s="3308">
        <v>1</v>
      </c>
      <c r="H1070" s="3309" t="s">
        <v>3344</v>
      </c>
      <c r="I1070" s="3307" t="s">
        <v>3349</v>
      </c>
      <c r="J1070" s="3306"/>
      <c r="K1070" s="3306">
        <v>68.569999999999993</v>
      </c>
      <c r="L1070" s="3308">
        <v>3.53</v>
      </c>
      <c r="M1070" s="3308"/>
      <c r="N1070" s="3490"/>
      <c r="O1070" s="3493"/>
      <c r="P1070" s="3493"/>
      <c r="Q1070" s="3308"/>
      <c r="R1070" s="3308"/>
    </row>
    <row r="1071" spans="1:18">
      <c r="A1071" s="3306">
        <v>1068</v>
      </c>
      <c r="B1071" s="3306">
        <v>6</v>
      </c>
      <c r="C1071" s="3306">
        <v>2</v>
      </c>
      <c r="D1071" s="3307">
        <v>1102</v>
      </c>
      <c r="E1071" s="3308">
        <v>3</v>
      </c>
      <c r="F1071" s="3308">
        <v>1</v>
      </c>
      <c r="G1071" s="3308">
        <v>1</v>
      </c>
      <c r="H1071" s="3309" t="s">
        <v>3346</v>
      </c>
      <c r="I1071" s="3307" t="s">
        <v>3347</v>
      </c>
      <c r="J1071" s="3306"/>
      <c r="K1071" s="3306">
        <v>71.760000000000005</v>
      </c>
      <c r="L1071" s="3308">
        <v>3.96</v>
      </c>
      <c r="M1071" s="3308"/>
      <c r="N1071" s="3490"/>
      <c r="O1071" s="3493"/>
      <c r="P1071" s="3493"/>
      <c r="Q1071" s="3308"/>
      <c r="R1071" s="3308"/>
    </row>
    <row r="1072" spans="1:18">
      <c r="A1072" s="3306">
        <v>1069</v>
      </c>
      <c r="B1072" s="3306">
        <v>6</v>
      </c>
      <c r="C1072" s="3306">
        <v>2</v>
      </c>
      <c r="D1072" s="3307">
        <v>1103</v>
      </c>
      <c r="E1072" s="3308">
        <v>3</v>
      </c>
      <c r="F1072" s="3308">
        <v>1</v>
      </c>
      <c r="G1072" s="3308">
        <v>1</v>
      </c>
      <c r="H1072" s="3309" t="s">
        <v>3346</v>
      </c>
      <c r="I1072" s="3307" t="s">
        <v>3347</v>
      </c>
      <c r="J1072" s="3306"/>
      <c r="K1072" s="3306">
        <v>71.760000000000005</v>
      </c>
      <c r="L1072" s="3308">
        <v>3.96</v>
      </c>
      <c r="M1072" s="3308"/>
      <c r="N1072" s="3490"/>
      <c r="O1072" s="3493"/>
      <c r="P1072" s="3493"/>
      <c r="Q1072" s="3308"/>
      <c r="R1072" s="3308"/>
    </row>
    <row r="1073" spans="1:18" ht="14.25" thickBot="1">
      <c r="A1073" s="3316">
        <v>1070</v>
      </c>
      <c r="B1073" s="3316">
        <v>6</v>
      </c>
      <c r="C1073" s="3316">
        <v>2</v>
      </c>
      <c r="D1073" s="3312">
        <v>1104</v>
      </c>
      <c r="E1073" s="3313">
        <v>4</v>
      </c>
      <c r="F1073" s="3313">
        <v>1</v>
      </c>
      <c r="G1073" s="3313">
        <v>1</v>
      </c>
      <c r="H1073" s="3314" t="s">
        <v>3348</v>
      </c>
      <c r="I1073" s="3312" t="s">
        <v>3345</v>
      </c>
      <c r="J1073" s="3316"/>
      <c r="K1073" s="3316">
        <v>89.43</v>
      </c>
      <c r="L1073" s="3313">
        <v>3.53</v>
      </c>
      <c r="M1073" s="3313"/>
      <c r="N1073" s="3491"/>
      <c r="O1073" s="3494"/>
      <c r="P1073" s="3494"/>
      <c r="Q1073" s="3313"/>
      <c r="R1073" s="3313"/>
    </row>
    <row r="1074" spans="1:18" ht="14.25" thickTop="1">
      <c r="A1074" s="3319"/>
      <c r="B1074" s="3319"/>
      <c r="C1074" s="3319"/>
      <c r="D1074" s="3320"/>
      <c r="K1074">
        <f>SUM(K4:K1073)</f>
        <v>45973.980000000091</v>
      </c>
    </row>
    <row r="1075" spans="1:18">
      <c r="A1075" s="3319"/>
      <c r="B1075" s="3319"/>
      <c r="C1075" s="3319"/>
      <c r="D1075" s="3320"/>
    </row>
    <row r="1076" spans="1:18">
      <c r="A1076" s="3319"/>
      <c r="B1076" s="3319"/>
      <c r="C1076" s="3319"/>
      <c r="D1076" s="3320"/>
    </row>
    <row r="1077" spans="1:18">
      <c r="A1077" s="3319"/>
      <c r="B1077" s="3319"/>
      <c r="C1077" s="3319"/>
      <c r="D1077" s="3320"/>
    </row>
    <row r="1078" spans="1:18">
      <c r="A1078" s="3319"/>
      <c r="B1078" s="3319"/>
      <c r="C1078" s="3319"/>
      <c r="D1078" s="3320"/>
    </row>
    <row r="1079" spans="1:18">
      <c r="A1079" s="3319"/>
      <c r="B1079" s="3319"/>
      <c r="C1079" s="3319"/>
      <c r="D1079" s="3320"/>
    </row>
    <row r="1080" spans="1:18">
      <c r="A1080" s="3319"/>
      <c r="B1080" s="3319"/>
      <c r="C1080" s="3319"/>
      <c r="D1080" s="3320"/>
    </row>
    <row r="1081" spans="1:18">
      <c r="A1081" s="3319"/>
      <c r="B1081" s="3319"/>
      <c r="C1081" s="3319"/>
      <c r="D1081" s="3320"/>
    </row>
    <row r="1082" spans="1:18">
      <c r="A1082" s="3319"/>
      <c r="B1082" s="3319"/>
      <c r="C1082" s="3319"/>
      <c r="D1082" s="3320"/>
    </row>
    <row r="1083" spans="1:18">
      <c r="A1083" s="3319"/>
      <c r="B1083" s="3319"/>
      <c r="C1083" s="3319"/>
      <c r="D1083" s="3320"/>
    </row>
    <row r="1084" spans="1:18">
      <c r="A1084" s="3319"/>
      <c r="B1084" s="3319"/>
      <c r="C1084" s="3319"/>
      <c r="D1084" s="3320"/>
    </row>
    <row r="1085" spans="1:18">
      <c r="A1085" s="3319"/>
      <c r="B1085" s="3319"/>
      <c r="C1085" s="3319"/>
      <c r="D1085" s="3320"/>
    </row>
    <row r="1086" spans="1:18">
      <c r="A1086" s="3319"/>
      <c r="B1086" s="3319"/>
      <c r="C1086" s="3319"/>
      <c r="D1086" s="3320"/>
    </row>
    <row r="1087" spans="1:18">
      <c r="A1087" s="3319"/>
      <c r="B1087" s="3319"/>
      <c r="C1087" s="3319"/>
      <c r="D1087" s="3320"/>
    </row>
    <row r="1088" spans="1:18">
      <c r="A1088" s="3319"/>
      <c r="B1088" s="3319"/>
      <c r="C1088" s="3319"/>
      <c r="D1088" s="3320"/>
    </row>
    <row r="1089" spans="1:4">
      <c r="A1089" s="3319"/>
      <c r="B1089" s="3319"/>
      <c r="C1089" s="3319"/>
      <c r="D1089" s="3320"/>
    </row>
    <row r="1090" spans="1:4">
      <c r="A1090" s="3319"/>
      <c r="B1090" s="3319"/>
      <c r="C1090" s="3319"/>
      <c r="D1090" s="3320"/>
    </row>
    <row r="1091" spans="1:4">
      <c r="A1091" s="3319"/>
      <c r="B1091" s="3319"/>
      <c r="C1091" s="3319"/>
      <c r="D1091" s="3320"/>
    </row>
    <row r="1092" spans="1:4">
      <c r="A1092" s="3319"/>
      <c r="B1092" s="3319"/>
      <c r="C1092" s="3319"/>
      <c r="D1092" s="3320"/>
    </row>
    <row r="1093" spans="1:4">
      <c r="A1093" s="3319"/>
      <c r="B1093" s="3319"/>
      <c r="C1093" s="3319"/>
      <c r="D1093" s="3320"/>
    </row>
    <row r="1094" spans="1:4">
      <c r="A1094" s="3319"/>
      <c r="B1094" s="3319"/>
      <c r="C1094" s="3319"/>
      <c r="D1094" s="3320"/>
    </row>
    <row r="1095" spans="1:4">
      <c r="D1095"/>
    </row>
    <row r="1096" spans="1:4">
      <c r="D1096"/>
    </row>
    <row r="1097" spans="1:4">
      <c r="D1097"/>
    </row>
    <row r="1098" spans="1:4">
      <c r="D1098"/>
    </row>
    <row r="1099" spans="1:4">
      <c r="D1099"/>
    </row>
    <row r="1100" spans="1:4">
      <c r="D1100"/>
    </row>
    <row r="1101" spans="1:4">
      <c r="D1101"/>
    </row>
    <row r="1102" spans="1:4">
      <c r="D1102"/>
    </row>
    <row r="1103" spans="1:4">
      <c r="D1103"/>
    </row>
    <row r="1104" spans="1: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row r="1116" spans="4:4">
      <c r="D1116"/>
    </row>
    <row r="1117" spans="4:4">
      <c r="D1117"/>
    </row>
    <row r="1118" spans="4:4">
      <c r="D1118"/>
    </row>
    <row r="1119" spans="4:4">
      <c r="D1119"/>
    </row>
    <row r="1120" spans="4:4">
      <c r="D1120"/>
    </row>
    <row r="1121" spans="4:4">
      <c r="D1121"/>
    </row>
    <row r="1122" spans="4:4">
      <c r="D1122"/>
    </row>
    <row r="1123" spans="4:4">
      <c r="D1123"/>
    </row>
    <row r="1124" spans="4:4">
      <c r="D1124"/>
    </row>
    <row r="1125" spans="4:4">
      <c r="D1125"/>
    </row>
    <row r="1126" spans="4:4">
      <c r="D1126"/>
    </row>
    <row r="1127" spans="4:4">
      <c r="D1127"/>
    </row>
    <row r="1128" spans="4:4">
      <c r="D1128"/>
    </row>
    <row r="1129" spans="4:4">
      <c r="D1129"/>
    </row>
    <row r="1130" spans="4:4">
      <c r="D1130"/>
    </row>
    <row r="1131" spans="4:4">
      <c r="D1131"/>
    </row>
    <row r="1132" spans="4:4">
      <c r="D1132"/>
    </row>
    <row r="1133" spans="4:4">
      <c r="D1133"/>
    </row>
    <row r="1134" spans="4:4">
      <c r="D1134"/>
    </row>
  </sheetData>
  <autoFilter ref="A3:R3" xr:uid="{3B488738-5C35-4496-9E48-ACE2A8F8F1C9}"/>
  <mergeCells count="141">
    <mergeCell ref="A1:R1"/>
    <mergeCell ref="A2:A3"/>
    <mergeCell ref="B2:B3"/>
    <mergeCell ref="C2:C3"/>
    <mergeCell ref="D2:D3"/>
    <mergeCell ref="E2:E3"/>
    <mergeCell ref="F2:F3"/>
    <mergeCell ref="G2:G3"/>
    <mergeCell ref="H2:H3"/>
    <mergeCell ref="I2:I3"/>
    <mergeCell ref="P2:P3"/>
    <mergeCell ref="R2:R3"/>
    <mergeCell ref="N4:N9"/>
    <mergeCell ref="O4:O9"/>
    <mergeCell ref="P4:P9"/>
    <mergeCell ref="N10:N48"/>
    <mergeCell ref="O10:O48"/>
    <mergeCell ref="P10:P48"/>
    <mergeCell ref="J2:J3"/>
    <mergeCell ref="K2:K3"/>
    <mergeCell ref="L2:L3"/>
    <mergeCell ref="M2:M3"/>
    <mergeCell ref="N2:N3"/>
    <mergeCell ref="O2:O3"/>
    <mergeCell ref="N127:N165"/>
    <mergeCell ref="O127:O165"/>
    <mergeCell ref="P127:P165"/>
    <mergeCell ref="N166:N204"/>
    <mergeCell ref="O166:O204"/>
    <mergeCell ref="P166:P204"/>
    <mergeCell ref="N49:N87"/>
    <mergeCell ref="O49:O87"/>
    <mergeCell ref="P49:P87"/>
    <mergeCell ref="N88:N126"/>
    <mergeCell ref="O88:O126"/>
    <mergeCell ref="P88:P126"/>
    <mergeCell ref="N283:N321"/>
    <mergeCell ref="O283:O321"/>
    <mergeCell ref="P283:P321"/>
    <mergeCell ref="N322:N360"/>
    <mergeCell ref="O322:O360"/>
    <mergeCell ref="P322:P360"/>
    <mergeCell ref="N205:N243"/>
    <mergeCell ref="O205:O243"/>
    <mergeCell ref="P205:P243"/>
    <mergeCell ref="N244:N282"/>
    <mergeCell ref="O244:O282"/>
    <mergeCell ref="P244:P282"/>
    <mergeCell ref="N433:N471"/>
    <mergeCell ref="O433:O471"/>
    <mergeCell ref="P433:P471"/>
    <mergeCell ref="N472:N510"/>
    <mergeCell ref="O472:O510"/>
    <mergeCell ref="P472:P510"/>
    <mergeCell ref="N361:N393"/>
    <mergeCell ref="O361:O393"/>
    <mergeCell ref="P361:P393"/>
    <mergeCell ref="N394:N432"/>
    <mergeCell ref="O394:O432"/>
    <mergeCell ref="P394:P432"/>
    <mergeCell ref="N589:N627"/>
    <mergeCell ref="O589:O627"/>
    <mergeCell ref="P589:P627"/>
    <mergeCell ref="N628:N666"/>
    <mergeCell ref="O628:O666"/>
    <mergeCell ref="P628:P666"/>
    <mergeCell ref="N511:N549"/>
    <mergeCell ref="O511:O549"/>
    <mergeCell ref="P511:P549"/>
    <mergeCell ref="N550:N588"/>
    <mergeCell ref="O550:O588"/>
    <mergeCell ref="P550:P588"/>
    <mergeCell ref="N745:N783"/>
    <mergeCell ref="O745:O783"/>
    <mergeCell ref="P745:P783"/>
    <mergeCell ref="N784:N804"/>
    <mergeCell ref="O784:O804"/>
    <mergeCell ref="P784:P804"/>
    <mergeCell ref="N667:N705"/>
    <mergeCell ref="O667:O705"/>
    <mergeCell ref="P667:P705"/>
    <mergeCell ref="N706:N744"/>
    <mergeCell ref="O706:O744"/>
    <mergeCell ref="P706:P744"/>
    <mergeCell ref="N847:N867"/>
    <mergeCell ref="O847:O867"/>
    <mergeCell ref="P847:P867"/>
    <mergeCell ref="N868:N888"/>
    <mergeCell ref="O868:O888"/>
    <mergeCell ref="P868:P888"/>
    <mergeCell ref="N805:N825"/>
    <mergeCell ref="O805:O825"/>
    <mergeCell ref="P805:P825"/>
    <mergeCell ref="N826:N846"/>
    <mergeCell ref="O826:O846"/>
    <mergeCell ref="P826:P846"/>
    <mergeCell ref="N931:N951"/>
    <mergeCell ref="O931:O951"/>
    <mergeCell ref="P931:P951"/>
    <mergeCell ref="N952:N972"/>
    <mergeCell ref="O952:O972"/>
    <mergeCell ref="P952:P972"/>
    <mergeCell ref="N889:N909"/>
    <mergeCell ref="O889:O909"/>
    <mergeCell ref="P889:P909"/>
    <mergeCell ref="N910:N930"/>
    <mergeCell ref="O910:O930"/>
    <mergeCell ref="P910:P930"/>
    <mergeCell ref="N1002:N1009"/>
    <mergeCell ref="O1002:O1009"/>
    <mergeCell ref="P1002:P1009"/>
    <mergeCell ref="N1010:N1017"/>
    <mergeCell ref="O1010:O1017"/>
    <mergeCell ref="P1010:P1017"/>
    <mergeCell ref="N973:N993"/>
    <mergeCell ref="O973:O993"/>
    <mergeCell ref="P973:P993"/>
    <mergeCell ref="N994:N1001"/>
    <mergeCell ref="O994:O1001"/>
    <mergeCell ref="P994:P1001"/>
    <mergeCell ref="N1034:N1041"/>
    <mergeCell ref="O1034:O1041"/>
    <mergeCell ref="P1034:P1041"/>
    <mergeCell ref="N1042:N1049"/>
    <mergeCell ref="O1042:O1049"/>
    <mergeCell ref="P1042:P1049"/>
    <mergeCell ref="N1018:N1025"/>
    <mergeCell ref="O1018:O1025"/>
    <mergeCell ref="P1018:P1025"/>
    <mergeCell ref="N1026:N1033"/>
    <mergeCell ref="O1026:O1033"/>
    <mergeCell ref="P1026:P1033"/>
    <mergeCell ref="N1066:N1073"/>
    <mergeCell ref="O1066:O1073"/>
    <mergeCell ref="P1066:P1073"/>
    <mergeCell ref="N1050:N1057"/>
    <mergeCell ref="O1050:O1057"/>
    <mergeCell ref="P1050:P1057"/>
    <mergeCell ref="N1058:N1065"/>
    <mergeCell ref="O1058:O1065"/>
    <mergeCell ref="P1058:P1065"/>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40"/>
  <sheetViews>
    <sheetView topLeftCell="F105" workbookViewId="0">
      <selection activeCell="I127" sqref="I127"/>
    </sheetView>
  </sheetViews>
  <sheetFormatPr defaultRowHeight="12"/>
  <cols>
    <col min="1" max="1" width="11.875" style="3210" customWidth="1"/>
    <col min="2" max="2" width="21" style="3210" customWidth="1"/>
    <col min="3" max="3" width="14.25" style="3210" customWidth="1"/>
    <col min="4" max="4" width="16.125" style="3210" customWidth="1"/>
    <col min="5" max="5" width="18.125" style="3210" customWidth="1"/>
    <col min="6" max="9" width="9.75" style="3210" customWidth="1"/>
    <col min="10" max="10" width="9.375" style="3210" customWidth="1"/>
    <col min="11" max="11" width="9.25" style="3210" customWidth="1"/>
    <col min="12" max="12" width="8.75" style="3210" customWidth="1"/>
    <col min="13" max="13" width="25" style="3210" customWidth="1"/>
    <col min="14" max="14" width="9" style="3210"/>
    <col min="15" max="15" width="3.875" style="3210" customWidth="1"/>
    <col min="16" max="16384" width="9" style="3210"/>
  </cols>
  <sheetData>
    <row r="1" spans="1:4">
      <c r="A1" s="3224"/>
    </row>
    <row r="2" spans="1:4">
      <c r="A2" s="3535"/>
      <c r="B2" s="3535"/>
    </row>
    <row r="3" spans="1:4" ht="12" customHeight="1">
      <c r="A3" s="3210" t="s">
        <v>3235</v>
      </c>
      <c r="B3" s="3537" t="s">
        <v>3234</v>
      </c>
      <c r="C3" s="3537"/>
      <c r="D3" s="3537"/>
    </row>
    <row r="4" spans="1:4" ht="12" customHeight="1">
      <c r="B4" s="3537" t="s">
        <v>3233</v>
      </c>
      <c r="C4" s="3537"/>
      <c r="D4" s="3537"/>
    </row>
    <row r="5" spans="1:4" ht="12" customHeight="1">
      <c r="B5" s="3537" t="s">
        <v>3232</v>
      </c>
      <c r="C5" s="3537"/>
      <c r="D5" s="3537"/>
    </row>
    <row r="6" spans="1:4">
      <c r="B6" s="3210" t="s">
        <v>3231</v>
      </c>
      <c r="C6" s="3210">
        <v>65441.898999999998</v>
      </c>
    </row>
    <row r="7" spans="1:4">
      <c r="A7" s="3224"/>
      <c r="B7" s="3210" t="s">
        <v>3230</v>
      </c>
      <c r="C7" s="3210" t="s">
        <v>3229</v>
      </c>
    </row>
    <row r="8" spans="1:4">
      <c r="B8" s="3210" t="s">
        <v>3228</v>
      </c>
      <c r="C8" s="3210">
        <v>157060</v>
      </c>
      <c r="D8" s="3210" t="s">
        <v>3227</v>
      </c>
    </row>
    <row r="9" spans="1:4">
      <c r="B9" s="3229" t="s">
        <v>3226</v>
      </c>
      <c r="C9" s="3229" t="s">
        <v>3225</v>
      </c>
      <c r="D9" s="3229" t="s">
        <v>3224</v>
      </c>
    </row>
    <row r="10" spans="1:4">
      <c r="A10" s="3224"/>
      <c r="B10" s="3229">
        <v>6001</v>
      </c>
      <c r="C10" s="3229">
        <v>33989.769</v>
      </c>
      <c r="D10" s="3229">
        <v>81575</v>
      </c>
    </row>
    <row r="11" spans="1:4">
      <c r="B11" s="3229">
        <v>6002</v>
      </c>
      <c r="C11" s="3229">
        <v>31452.13</v>
      </c>
      <c r="D11" s="3229">
        <v>75485</v>
      </c>
    </row>
    <row r="12" spans="1:4">
      <c r="A12" s="3210" t="s">
        <v>3223</v>
      </c>
    </row>
    <row r="13" spans="1:4">
      <c r="A13" s="3224"/>
      <c r="B13" s="3223" t="s">
        <v>3222</v>
      </c>
      <c r="C13" s="3228">
        <v>1115200000</v>
      </c>
      <c r="D13" s="3210">
        <f>C13/C8</f>
        <v>7100.4711575194196</v>
      </c>
    </row>
    <row r="14" spans="1:4">
      <c r="B14" s="3225" t="s">
        <v>3205</v>
      </c>
      <c r="C14" s="3225">
        <v>884631300</v>
      </c>
    </row>
    <row r="15" spans="1:4">
      <c r="B15" s="3225" t="s">
        <v>3208</v>
      </c>
      <c r="C15" s="3225">
        <v>230568700</v>
      </c>
    </row>
    <row r="16" spans="1:4" ht="24" customHeight="1">
      <c r="B16" s="3538" t="s">
        <v>3221</v>
      </c>
      <c r="C16" s="3538"/>
      <c r="D16" s="3538"/>
    </row>
    <row r="17" spans="1:4">
      <c r="A17" s="3210" t="s">
        <v>3220</v>
      </c>
    </row>
    <row r="18" spans="1:4">
      <c r="B18" s="3210" t="s">
        <v>3219</v>
      </c>
      <c r="C18" s="3210">
        <v>222551.33</v>
      </c>
    </row>
    <row r="19" spans="1:4">
      <c r="B19" s="3539" t="s">
        <v>3218</v>
      </c>
      <c r="C19" s="3217" t="s">
        <v>3154</v>
      </c>
      <c r="D19" s="3217">
        <v>17855.919999999998</v>
      </c>
    </row>
    <row r="20" spans="1:4" ht="18.75" customHeight="1">
      <c r="B20" s="3539"/>
      <c r="C20" s="3217" t="s">
        <v>3217</v>
      </c>
      <c r="D20" s="3217">
        <v>52705.120000000003</v>
      </c>
    </row>
    <row r="21" spans="1:4" ht="24">
      <c r="B21" s="3539"/>
      <c r="C21" s="3217" t="s">
        <v>3216</v>
      </c>
      <c r="D21" s="3217">
        <v>85704.26</v>
      </c>
    </row>
    <row r="22" spans="1:4">
      <c r="A22" s="3227"/>
      <c r="B22" s="3539"/>
      <c r="C22" s="3217" t="s">
        <v>3215</v>
      </c>
      <c r="D22" s="3217">
        <v>485.74</v>
      </c>
    </row>
    <row r="23" spans="1:4">
      <c r="B23" s="3539"/>
      <c r="C23" s="3217" t="s">
        <v>3214</v>
      </c>
      <c r="D23" s="3217">
        <v>308.95999999999998</v>
      </c>
    </row>
    <row r="24" spans="1:4">
      <c r="B24" s="3539" t="s">
        <v>3213</v>
      </c>
      <c r="C24" s="3217" t="s">
        <v>3143</v>
      </c>
      <c r="D24" s="3217">
        <v>23560.84</v>
      </c>
    </row>
    <row r="25" spans="1:4">
      <c r="B25" s="3539"/>
      <c r="C25" s="3217" t="s">
        <v>3212</v>
      </c>
      <c r="D25" s="3217">
        <v>14120.46</v>
      </c>
    </row>
    <row r="26" spans="1:4">
      <c r="B26" s="3539"/>
      <c r="C26" s="3217" t="s">
        <v>3211</v>
      </c>
      <c r="D26" s="3217">
        <v>27810.03</v>
      </c>
    </row>
    <row r="27" spans="1:4" ht="40.5" customHeight="1">
      <c r="B27" s="3210" t="s">
        <v>3210</v>
      </c>
      <c r="C27" s="3535" t="s">
        <v>3209</v>
      </c>
      <c r="D27" s="3535"/>
    </row>
    <row r="28" spans="1:4">
      <c r="B28" s="3217" t="s">
        <v>3205</v>
      </c>
      <c r="C28" s="3217">
        <v>899263414</v>
      </c>
      <c r="D28" s="3540">
        <f>C28+C29</f>
        <v>1129832114</v>
      </c>
    </row>
    <row r="29" spans="1:4">
      <c r="B29" s="3225" t="s">
        <v>3208</v>
      </c>
      <c r="C29" s="3225">
        <v>230568700</v>
      </c>
      <c r="D29" s="3540"/>
    </row>
    <row r="30" spans="1:4">
      <c r="B30" s="3225"/>
      <c r="C30" s="3225"/>
      <c r="D30" s="3226"/>
    </row>
    <row r="31" spans="1:4">
      <c r="A31" s="3210" t="s">
        <v>3207</v>
      </c>
      <c r="B31" s="3225" t="s">
        <v>3206</v>
      </c>
      <c r="C31" s="3225">
        <v>230568700</v>
      </c>
      <c r="D31" s="3225">
        <v>20160630</v>
      </c>
    </row>
    <row r="32" spans="1:4">
      <c r="B32" s="3225" t="s">
        <v>3205</v>
      </c>
      <c r="C32" s="3225">
        <v>554631300</v>
      </c>
      <c r="D32" s="3225">
        <v>20160721</v>
      </c>
    </row>
    <row r="33" spans="1:4">
      <c r="B33" s="3225" t="s">
        <v>3204</v>
      </c>
      <c r="C33" s="3225">
        <v>330000000</v>
      </c>
      <c r="D33" s="3225">
        <v>20160726</v>
      </c>
    </row>
    <row r="34" spans="1:4">
      <c r="B34" s="3225" t="s">
        <v>3203</v>
      </c>
      <c r="C34" s="3225">
        <v>33456000</v>
      </c>
      <c r="D34" s="3217">
        <v>20160811</v>
      </c>
    </row>
    <row r="35" spans="1:4">
      <c r="B35" s="3217" t="s">
        <v>3202</v>
      </c>
      <c r="C35" s="3217">
        <v>14632114</v>
      </c>
      <c r="D35" s="3217">
        <v>20200804</v>
      </c>
    </row>
    <row r="37" spans="1:4" ht="24" customHeight="1">
      <c r="A37" s="3210" t="s">
        <v>3201</v>
      </c>
      <c r="B37" s="3535" t="s">
        <v>3200</v>
      </c>
      <c r="C37" s="3535"/>
      <c r="D37" s="3535"/>
    </row>
    <row r="38" spans="1:4" ht="24" customHeight="1">
      <c r="B38" s="3210" t="s">
        <v>3197</v>
      </c>
      <c r="C38" s="3535" t="s">
        <v>3196</v>
      </c>
      <c r="D38" s="3535"/>
    </row>
    <row r="39" spans="1:4">
      <c r="B39" s="3210" t="s">
        <v>3195</v>
      </c>
      <c r="C39" s="3535" t="s">
        <v>3194</v>
      </c>
      <c r="D39" s="3535"/>
    </row>
    <row r="40" spans="1:4">
      <c r="B40" s="3210" t="s">
        <v>3193</v>
      </c>
      <c r="C40" s="3535" t="s">
        <v>3192</v>
      </c>
      <c r="D40" s="3535"/>
    </row>
    <row r="41" spans="1:4">
      <c r="B41" s="3210" t="s">
        <v>3191</v>
      </c>
      <c r="C41" s="3535" t="s">
        <v>3199</v>
      </c>
      <c r="D41" s="3535"/>
    </row>
    <row r="42" spans="1:4">
      <c r="B42" s="3210" t="s">
        <v>3189</v>
      </c>
      <c r="C42" s="3535" t="s">
        <v>3188</v>
      </c>
      <c r="D42" s="3535"/>
    </row>
    <row r="43" spans="1:4">
      <c r="B43" s="3210" t="s">
        <v>3187</v>
      </c>
      <c r="C43" s="3535">
        <v>33989.769999999997</v>
      </c>
      <c r="D43" s="3535"/>
    </row>
    <row r="44" spans="1:4">
      <c r="A44" s="3224"/>
      <c r="B44" s="3210" t="s">
        <v>3186</v>
      </c>
      <c r="C44" s="3536">
        <v>60816</v>
      </c>
      <c r="D44" s="3536"/>
    </row>
    <row r="45" spans="1:4" ht="24" customHeight="1">
      <c r="A45" s="3224"/>
      <c r="B45" s="3535" t="s">
        <v>3198</v>
      </c>
      <c r="C45" s="3535"/>
      <c r="D45" s="3535"/>
    </row>
    <row r="46" spans="1:4">
      <c r="A46" s="3224"/>
      <c r="B46" s="3210" t="s">
        <v>3197</v>
      </c>
      <c r="C46" s="3535" t="s">
        <v>3196</v>
      </c>
      <c r="D46" s="3535"/>
    </row>
    <row r="47" spans="1:4">
      <c r="A47" s="3224"/>
      <c r="B47" s="3210" t="s">
        <v>3195</v>
      </c>
      <c r="C47" s="3535" t="s">
        <v>3194</v>
      </c>
      <c r="D47" s="3535"/>
    </row>
    <row r="48" spans="1:4">
      <c r="A48" s="3224"/>
      <c r="B48" s="3210" t="s">
        <v>3193</v>
      </c>
      <c r="C48" s="3535" t="s">
        <v>3192</v>
      </c>
      <c r="D48" s="3535"/>
    </row>
    <row r="49" spans="1:9">
      <c r="A49" s="3224"/>
      <c r="B49" s="3210" t="s">
        <v>3191</v>
      </c>
      <c r="C49" s="3535" t="s">
        <v>3190</v>
      </c>
      <c r="D49" s="3535"/>
    </row>
    <row r="50" spans="1:9">
      <c r="A50" s="3224"/>
      <c r="B50" s="3210" t="s">
        <v>3189</v>
      </c>
      <c r="C50" s="3535" t="s">
        <v>3188</v>
      </c>
      <c r="D50" s="3535"/>
    </row>
    <row r="51" spans="1:9">
      <c r="A51" s="3224"/>
      <c r="B51" s="3210" t="s">
        <v>3187</v>
      </c>
      <c r="C51" s="3535">
        <v>31452.13</v>
      </c>
      <c r="D51" s="3535"/>
    </row>
    <row r="52" spans="1:9">
      <c r="A52" s="3224"/>
      <c r="B52" s="3210" t="s">
        <v>3186</v>
      </c>
      <c r="C52" s="3536">
        <v>60816</v>
      </c>
      <c r="D52" s="3536"/>
    </row>
    <row r="53" spans="1:9">
      <c r="A53" s="3224"/>
    </row>
    <row r="54" spans="1:9">
      <c r="A54" s="3224"/>
    </row>
    <row r="55" spans="1:9">
      <c r="A55" s="3224" t="s">
        <v>3185</v>
      </c>
      <c r="B55" s="3535" t="s">
        <v>3184</v>
      </c>
      <c r="C55" s="3535"/>
      <c r="D55" s="3535"/>
    </row>
    <row r="56" spans="1:9">
      <c r="A56" s="3224"/>
      <c r="B56" s="3223" t="s">
        <v>3183</v>
      </c>
      <c r="C56" s="3223">
        <f>SUM(C57:C61)</f>
        <v>20196.45</v>
      </c>
      <c r="D56" s="3223">
        <f>SUM(D57:D61)</f>
        <v>2303.9</v>
      </c>
      <c r="E56" s="3223">
        <f>C56+D56</f>
        <v>22500.350000000002</v>
      </c>
      <c r="G56" s="3220">
        <f>SUM(G57:G63)</f>
        <v>62164.85</v>
      </c>
      <c r="H56" s="3220">
        <f>SUM(H57:H63)</f>
        <v>30062.35</v>
      </c>
      <c r="I56" s="3210">
        <f>G56+H56</f>
        <v>92227.199999999997</v>
      </c>
    </row>
    <row r="57" spans="1:9">
      <c r="A57" s="3224"/>
      <c r="B57" s="3217" t="s">
        <v>3173</v>
      </c>
      <c r="C57" s="3217">
        <v>18189.400000000001</v>
      </c>
      <c r="D57" s="3217"/>
      <c r="F57" s="3210" t="s">
        <v>3182</v>
      </c>
      <c r="G57" s="3210">
        <f>C57+C63+C69+C74+C78</f>
        <v>52657.65</v>
      </c>
    </row>
    <row r="58" spans="1:9">
      <c r="A58" s="3224"/>
      <c r="B58" s="3217" t="s">
        <v>3169</v>
      </c>
      <c r="C58" s="3217">
        <v>2007.05</v>
      </c>
      <c r="D58" s="3217"/>
      <c r="F58" s="3210" t="s">
        <v>3181</v>
      </c>
      <c r="G58" s="3210">
        <f>C58+C64+C70+C82+C85</f>
        <v>9343.77</v>
      </c>
    </row>
    <row r="59" spans="1:9">
      <c r="A59" s="3224"/>
      <c r="B59" s="3217" t="s">
        <v>3149</v>
      </c>
      <c r="C59" s="3217"/>
      <c r="D59" s="3217">
        <v>1163.29</v>
      </c>
      <c r="F59" s="3210" t="s">
        <v>3177</v>
      </c>
      <c r="G59" s="3210">
        <f>C65+C87+C88</f>
        <v>163.43</v>
      </c>
    </row>
    <row r="60" spans="1:9">
      <c r="A60" s="3224"/>
      <c r="B60" s="3217" t="s">
        <v>3136</v>
      </c>
      <c r="C60" s="3217"/>
      <c r="D60" s="3217">
        <v>871.8</v>
      </c>
      <c r="F60" s="3210" t="s">
        <v>3180</v>
      </c>
      <c r="H60" s="3210">
        <f>D60+D66+D71+D75</f>
        <v>5127.0199999999995</v>
      </c>
    </row>
    <row r="61" spans="1:9">
      <c r="A61" s="3224"/>
      <c r="B61" s="3217" t="s">
        <v>3171</v>
      </c>
      <c r="C61" s="3217"/>
      <c r="D61" s="3217">
        <v>268.81</v>
      </c>
      <c r="F61" s="3210" t="s">
        <v>3179</v>
      </c>
      <c r="H61" s="3210">
        <f>D89</f>
        <v>13561.55</v>
      </c>
    </row>
    <row r="62" spans="1:9">
      <c r="B62" s="3223" t="s">
        <v>3178</v>
      </c>
      <c r="C62" s="3223">
        <f>SUM(C63:C67)</f>
        <v>15457.329999999998</v>
      </c>
      <c r="D62" s="3223">
        <f>SUM(D63:D67)</f>
        <v>2295.06</v>
      </c>
      <c r="E62" s="3223">
        <f>C62+D62</f>
        <v>17752.39</v>
      </c>
      <c r="F62" s="3210" t="s">
        <v>3177</v>
      </c>
      <c r="H62" s="3210">
        <f>D59+D61+D67+D72+D76+D79+D80+D83+D90</f>
        <v>4573.7800000000007</v>
      </c>
    </row>
    <row r="63" spans="1:9">
      <c r="B63" s="3217" t="s">
        <v>3173</v>
      </c>
      <c r="C63" s="3217">
        <v>13287.82</v>
      </c>
      <c r="D63" s="3217"/>
      <c r="F63" s="3210" t="s">
        <v>3166</v>
      </c>
      <c r="H63" s="3210">
        <f>D91</f>
        <v>6800</v>
      </c>
    </row>
    <row r="64" spans="1:9">
      <c r="B64" s="3217" t="s">
        <v>3169</v>
      </c>
      <c r="C64" s="3217">
        <v>2150.5500000000002</v>
      </c>
      <c r="D64" s="3217"/>
    </row>
    <row r="65" spans="1:5">
      <c r="A65" s="3224"/>
      <c r="B65" s="3217" t="s">
        <v>3134</v>
      </c>
      <c r="C65" s="3217">
        <v>18.96</v>
      </c>
      <c r="D65" s="3217"/>
    </row>
    <row r="66" spans="1:5">
      <c r="B66" s="3217" t="s">
        <v>3136</v>
      </c>
      <c r="C66" s="3217"/>
      <c r="D66" s="3217">
        <v>2131.25</v>
      </c>
    </row>
    <row r="67" spans="1:5">
      <c r="A67" s="3224"/>
      <c r="B67" s="3217" t="s">
        <v>3171</v>
      </c>
      <c r="C67" s="3217"/>
      <c r="D67" s="3217">
        <v>163.81</v>
      </c>
    </row>
    <row r="68" spans="1:5">
      <c r="B68" s="3223" t="s">
        <v>3176</v>
      </c>
      <c r="C68" s="3223">
        <f>SUM(C69:C72)</f>
        <v>9832.0399999999991</v>
      </c>
      <c r="D68" s="3223">
        <f>SUM(D69:D72)</f>
        <v>1165.5</v>
      </c>
      <c r="E68" s="3223">
        <f>C68+D68</f>
        <v>10997.539999999999</v>
      </c>
    </row>
    <row r="69" spans="1:5">
      <c r="B69" s="3217" t="s">
        <v>3173</v>
      </c>
      <c r="C69" s="3217">
        <v>8876.99</v>
      </c>
      <c r="D69" s="3217"/>
    </row>
    <row r="70" spans="1:5">
      <c r="B70" s="3217" t="s">
        <v>3169</v>
      </c>
      <c r="C70" s="3217">
        <v>955.05</v>
      </c>
      <c r="D70" s="3217"/>
    </row>
    <row r="71" spans="1:5">
      <c r="B71" s="3217" t="s">
        <v>3136</v>
      </c>
      <c r="C71" s="3217"/>
      <c r="D71" s="3217">
        <v>1053.1099999999999</v>
      </c>
    </row>
    <row r="72" spans="1:5">
      <c r="B72" s="3217" t="s">
        <v>3171</v>
      </c>
      <c r="C72" s="3217"/>
      <c r="D72" s="3217">
        <v>112.39</v>
      </c>
    </row>
    <row r="73" spans="1:5">
      <c r="A73" s="3224"/>
      <c r="B73" s="3223" t="s">
        <v>3175</v>
      </c>
      <c r="C73" s="3223">
        <f>SUM(C74:C76)</f>
        <v>5521.26</v>
      </c>
      <c r="D73" s="3223">
        <f>SUM(D74:D76)</f>
        <v>1210.6199999999999</v>
      </c>
      <c r="E73" s="3223">
        <f>C73+D73</f>
        <v>6731.88</v>
      </c>
    </row>
    <row r="74" spans="1:5">
      <c r="A74" s="3224"/>
      <c r="B74" s="3217" t="s">
        <v>3173</v>
      </c>
      <c r="C74" s="3217">
        <v>5521.26</v>
      </c>
      <c r="D74" s="3217"/>
    </row>
    <row r="75" spans="1:5">
      <c r="B75" s="3217" t="s">
        <v>3136</v>
      </c>
      <c r="C75" s="3217"/>
      <c r="D75" s="3217">
        <v>1070.8599999999999</v>
      </c>
    </row>
    <row r="76" spans="1:5">
      <c r="A76" s="3224"/>
      <c r="B76" s="3217" t="s">
        <v>3171</v>
      </c>
      <c r="C76" s="3217"/>
      <c r="D76" s="3217">
        <v>139.76</v>
      </c>
    </row>
    <row r="77" spans="1:5">
      <c r="B77" s="3223" t="s">
        <v>3174</v>
      </c>
      <c r="C77" s="3223">
        <f>SUM(C78:C80)</f>
        <v>6782.18</v>
      </c>
      <c r="D77" s="3223">
        <f>SUM(D78:D80)</f>
        <v>919.4</v>
      </c>
      <c r="E77" s="3223">
        <f>C77+D77</f>
        <v>7701.58</v>
      </c>
    </row>
    <row r="78" spans="1:5">
      <c r="B78" s="3217" t="s">
        <v>3173</v>
      </c>
      <c r="C78" s="3217">
        <v>6782.18</v>
      </c>
      <c r="D78" s="3217"/>
    </row>
    <row r="79" spans="1:5">
      <c r="B79" s="3217" t="s">
        <v>3149</v>
      </c>
      <c r="C79" s="3217"/>
      <c r="D79" s="3217">
        <v>857.6</v>
      </c>
    </row>
    <row r="80" spans="1:5">
      <c r="B80" s="3217" t="s">
        <v>3171</v>
      </c>
      <c r="C80" s="3217"/>
      <c r="D80" s="3217">
        <v>61.8</v>
      </c>
    </row>
    <row r="81" spans="1:12">
      <c r="B81" s="3223" t="s">
        <v>3172</v>
      </c>
      <c r="C81" s="3223">
        <f>SUM(C82:C83)</f>
        <v>2905.94</v>
      </c>
      <c r="D81" s="3223">
        <f>SUM(D82:D83)</f>
        <v>122.11</v>
      </c>
      <c r="E81" s="3223">
        <f>C81+D81</f>
        <v>3028.05</v>
      </c>
    </row>
    <row r="82" spans="1:12">
      <c r="B82" s="3217" t="s">
        <v>3169</v>
      </c>
      <c r="C82" s="3217">
        <v>2905.94</v>
      </c>
      <c r="D82" s="3217"/>
    </row>
    <row r="83" spans="1:12">
      <c r="B83" s="3217" t="s">
        <v>3171</v>
      </c>
      <c r="C83" s="3217"/>
      <c r="D83" s="3217">
        <v>122.11</v>
      </c>
    </row>
    <row r="84" spans="1:12">
      <c r="B84" s="3223" t="s">
        <v>3170</v>
      </c>
      <c r="C84" s="3223">
        <f>SUM(C85:C85)</f>
        <v>1325.18</v>
      </c>
      <c r="D84" s="3223">
        <f>SUM(D85:D85)</f>
        <v>0</v>
      </c>
      <c r="E84" s="3223">
        <f>C84+D84</f>
        <v>1325.18</v>
      </c>
    </row>
    <row r="85" spans="1:12">
      <c r="B85" s="3217" t="s">
        <v>3169</v>
      </c>
      <c r="C85" s="3217">
        <v>1325.18</v>
      </c>
      <c r="D85" s="3217"/>
    </row>
    <row r="86" spans="1:12">
      <c r="B86" s="3223" t="s">
        <v>3168</v>
      </c>
      <c r="C86" s="3223">
        <f>SUM(C87:C90)</f>
        <v>144.47</v>
      </c>
      <c r="D86" s="3223">
        <f>SUM(D87:D91)</f>
        <v>22045.759999999998</v>
      </c>
      <c r="E86" s="3223">
        <f>C86+D86</f>
        <v>22190.23</v>
      </c>
    </row>
    <row r="87" spans="1:12">
      <c r="B87" s="3217" t="s">
        <v>3142</v>
      </c>
      <c r="C87" s="3210">
        <v>97</v>
      </c>
    </row>
    <row r="88" spans="1:12">
      <c r="B88" s="3217" t="s">
        <v>3167</v>
      </c>
      <c r="C88" s="3210">
        <v>47.47</v>
      </c>
    </row>
    <row r="89" spans="1:12">
      <c r="B89" s="3217" t="s">
        <v>3143</v>
      </c>
      <c r="C89" s="3220"/>
      <c r="D89" s="3210">
        <f>20361.55-D91</f>
        <v>13561.55</v>
      </c>
      <c r="L89" s="3220"/>
    </row>
    <row r="90" spans="1:12">
      <c r="B90" s="3217" t="s">
        <v>3135</v>
      </c>
      <c r="C90" s="3220"/>
      <c r="D90" s="3210">
        <v>1684.21</v>
      </c>
    </row>
    <row r="91" spans="1:12">
      <c r="B91" s="3217" t="s">
        <v>3166</v>
      </c>
      <c r="C91" s="3220"/>
      <c r="D91" s="3210">
        <v>6800</v>
      </c>
    </row>
    <row r="92" spans="1:12">
      <c r="B92" s="3220"/>
      <c r="C92" s="3222">
        <f>C86+C84+C81+C77+C73+C68+C62+C56</f>
        <v>62164.849999999991</v>
      </c>
      <c r="D92" s="3222">
        <f>D86+D84+D81+D77+D73+D68+D62+D56</f>
        <v>30062.350000000002</v>
      </c>
      <c r="E92" s="3222">
        <f>E86+E84+E81+E77+E73+E68+E62+E56</f>
        <v>92227.200000000012</v>
      </c>
    </row>
    <row r="93" spans="1:12">
      <c r="A93" s="3211"/>
      <c r="B93" s="3534" t="s">
        <v>3165</v>
      </c>
      <c r="C93" s="3534"/>
      <c r="D93" s="3534"/>
      <c r="E93" s="3211"/>
      <c r="F93" s="3211"/>
      <c r="G93" s="3211"/>
    </row>
    <row r="94" spans="1:12">
      <c r="A94" s="3211"/>
      <c r="B94" s="3214" t="s">
        <v>3164</v>
      </c>
      <c r="C94" s="3214">
        <f>SUM(C95:C100)</f>
        <v>23593.730000000003</v>
      </c>
      <c r="D94" s="3214">
        <f>SUM(D95:D100)</f>
        <v>2203.9900000000002</v>
      </c>
      <c r="E94" s="3214">
        <f>C94+D94</f>
        <v>25797.720000000005</v>
      </c>
      <c r="F94" s="3211">
        <v>390</v>
      </c>
      <c r="G94" s="3211"/>
      <c r="H94" s="3210">
        <v>6002</v>
      </c>
    </row>
    <row r="95" spans="1:12">
      <c r="A95" s="3221"/>
      <c r="B95" s="3213" t="s">
        <v>3145</v>
      </c>
      <c r="C95" s="3213">
        <v>21589.66</v>
      </c>
      <c r="D95" s="3213"/>
      <c r="E95" s="3211" t="s">
        <v>3141</v>
      </c>
      <c r="F95" s="3211"/>
      <c r="G95" s="3211"/>
      <c r="H95" s="3210" t="s">
        <v>3163</v>
      </c>
      <c r="I95" s="3210">
        <f>C51</f>
        <v>31452.13</v>
      </c>
      <c r="K95" s="3210">
        <f>I97/I95</f>
        <v>3.0171295235012701</v>
      </c>
    </row>
    <row r="96" spans="1:12">
      <c r="A96" s="3211"/>
      <c r="B96" s="3213" t="s">
        <v>3144</v>
      </c>
      <c r="C96" s="3213">
        <v>1548.63</v>
      </c>
      <c r="D96" s="3213"/>
      <c r="E96" s="3211" t="s">
        <v>3139</v>
      </c>
      <c r="F96" s="3211"/>
      <c r="G96" s="3211"/>
      <c r="H96" s="3210" t="s">
        <v>3162</v>
      </c>
      <c r="I96" s="3210">
        <f>E133</f>
        <v>130324.13000000002</v>
      </c>
      <c r="K96" s="3210">
        <f>K97/I95</f>
        <v>4.1435708805731126</v>
      </c>
    </row>
    <row r="97" spans="1:13">
      <c r="A97" s="3211"/>
      <c r="B97" s="3213" t="s">
        <v>3161</v>
      </c>
      <c r="C97" s="3213">
        <v>292.86</v>
      </c>
      <c r="D97" s="3213"/>
      <c r="E97" s="3211"/>
      <c r="F97" s="3211"/>
      <c r="G97" s="3211"/>
      <c r="I97" s="3219">
        <f>SUM(I98:I105)</f>
        <v>94895.150000000009</v>
      </c>
      <c r="J97" s="3219">
        <f>SUM(J98:J105)</f>
        <v>35428.979999999996</v>
      </c>
      <c r="K97" s="3210">
        <f>I97+J97</f>
        <v>130324.13</v>
      </c>
      <c r="L97" s="3210" t="s">
        <v>3160</v>
      </c>
    </row>
    <row r="98" spans="1:13" ht="24">
      <c r="A98" s="3211"/>
      <c r="B98" s="3213" t="s">
        <v>3159</v>
      </c>
      <c r="C98" s="3213">
        <v>162.58000000000001</v>
      </c>
      <c r="D98" s="3213"/>
      <c r="E98" s="3211"/>
      <c r="F98" s="3211"/>
      <c r="G98" s="3211"/>
      <c r="H98" s="3217" t="s">
        <v>3156</v>
      </c>
      <c r="I98" s="3217">
        <f>C95+C102+C107+C112+C117+C122</f>
        <v>85704.260000000009</v>
      </c>
      <c r="J98" s="3217"/>
      <c r="K98" s="3210">
        <f>I98+I99+J102+J103+I100+I101+J104</f>
        <v>119908.13000000002</v>
      </c>
      <c r="L98" s="3210">
        <f>ROUND(K98/K97*I95,2)</f>
        <v>28938.36</v>
      </c>
      <c r="M98" s="3210" t="s">
        <v>3376</v>
      </c>
    </row>
    <row r="99" spans="1:13">
      <c r="A99" s="3211"/>
      <c r="B99" s="3213" t="s">
        <v>3149</v>
      </c>
      <c r="C99" s="3213"/>
      <c r="D99" s="3213">
        <v>1980.47</v>
      </c>
      <c r="E99" s="3211"/>
      <c r="F99" s="3211"/>
      <c r="G99" s="3211"/>
      <c r="H99" s="3217" t="s">
        <v>3154</v>
      </c>
      <c r="I99" s="3217">
        <f>C96+C103+C108+C113+C118+C123</f>
        <v>8512.15</v>
      </c>
      <c r="J99" s="3217"/>
      <c r="K99" s="3210">
        <f>I98+I99+J102+J103</f>
        <v>113209.14000000001</v>
      </c>
      <c r="L99" s="3220">
        <f>ROUND(K99/K97*I95,2)</f>
        <v>27321.64</v>
      </c>
      <c r="M99" s="3210" t="s">
        <v>3373</v>
      </c>
    </row>
    <row r="100" spans="1:13">
      <c r="A100" s="3211"/>
      <c r="B100" s="3213" t="s">
        <v>3135</v>
      </c>
      <c r="C100" s="3213"/>
      <c r="D100" s="3213">
        <v>223.52</v>
      </c>
      <c r="E100" s="3211"/>
      <c r="F100" s="3211"/>
      <c r="G100" s="3211"/>
      <c r="H100" s="3217" t="s">
        <v>3153</v>
      </c>
      <c r="I100" s="3217">
        <f>C98</f>
        <v>162.58000000000001</v>
      </c>
      <c r="J100" s="3217"/>
    </row>
    <row r="101" spans="1:13">
      <c r="A101" s="3211"/>
      <c r="B101" s="3214" t="s">
        <v>3158</v>
      </c>
      <c r="C101" s="3214">
        <f>SUM(C102:C105)</f>
        <v>24717</v>
      </c>
      <c r="D101" s="3214">
        <f>SUM(D102:D105)</f>
        <v>2913.29</v>
      </c>
      <c r="E101" s="3214">
        <f>C101+D101</f>
        <v>27630.29</v>
      </c>
      <c r="F101" s="3211">
        <v>390</v>
      </c>
      <c r="G101" s="3211"/>
      <c r="H101" s="3217" t="s">
        <v>3151</v>
      </c>
      <c r="I101" s="3217">
        <f>C97+C128</f>
        <v>323.16000000000003</v>
      </c>
      <c r="J101" s="3217"/>
    </row>
    <row r="102" spans="1:13">
      <c r="A102" s="3221"/>
      <c r="B102" s="3213" t="s">
        <v>3145</v>
      </c>
      <c r="C102" s="3213">
        <v>21584.39</v>
      </c>
      <c r="D102" s="3213"/>
      <c r="E102" s="3211" t="s">
        <v>3141</v>
      </c>
      <c r="F102" s="3211"/>
      <c r="G102" s="3211"/>
      <c r="H102" s="3217" t="s">
        <v>3150</v>
      </c>
      <c r="I102" s="3217"/>
      <c r="J102" s="3217">
        <f>D104+D109+D119+D124+D130</f>
        <v>8993.4399999999987</v>
      </c>
    </row>
    <row r="103" spans="1:13">
      <c r="A103" s="3211"/>
      <c r="B103" s="3213" t="s">
        <v>3144</v>
      </c>
      <c r="C103" s="3213">
        <v>3132.61</v>
      </c>
      <c r="D103" s="3213"/>
      <c r="E103" s="3211" t="s">
        <v>3152</v>
      </c>
      <c r="F103" s="3211"/>
      <c r="G103" s="3211"/>
      <c r="H103" s="3217" t="s">
        <v>3143</v>
      </c>
      <c r="I103" s="3217"/>
      <c r="J103" s="3217">
        <f>D129</f>
        <v>9999.2900000000009</v>
      </c>
    </row>
    <row r="104" spans="1:13">
      <c r="A104" s="3211"/>
      <c r="B104" s="3213" t="s">
        <v>3136</v>
      </c>
      <c r="C104" s="3213"/>
      <c r="D104" s="3213">
        <v>2500.9699999999998</v>
      </c>
      <c r="E104" s="3211"/>
      <c r="F104" s="3211"/>
      <c r="G104" s="3211"/>
      <c r="H104" s="3217" t="s">
        <v>3147</v>
      </c>
      <c r="I104" s="3217"/>
      <c r="J104" s="3217">
        <f>D99+D100+D105+D110+D114+D115+D120+D125+D131</f>
        <v>6213.25</v>
      </c>
    </row>
    <row r="105" spans="1:13">
      <c r="A105" s="3211"/>
      <c r="B105" s="3213" t="s">
        <v>3135</v>
      </c>
      <c r="C105" s="3213"/>
      <c r="D105" s="3213">
        <v>412.32</v>
      </c>
      <c r="E105" s="3211"/>
      <c r="F105" s="3211"/>
      <c r="G105" s="3211"/>
      <c r="H105" s="3217" t="s">
        <v>3134</v>
      </c>
      <c r="I105" s="3217">
        <f>C127</f>
        <v>193</v>
      </c>
      <c r="J105" s="3217">
        <f>D132</f>
        <v>10223</v>
      </c>
    </row>
    <row r="106" spans="1:13">
      <c r="A106" s="3211"/>
      <c r="B106" s="3214" t="s">
        <v>3157</v>
      </c>
      <c r="C106" s="3214">
        <f>SUM(C107:C110)</f>
        <v>12696.41</v>
      </c>
      <c r="D106" s="3214">
        <f>SUM(D107:D110)</f>
        <v>1322.22</v>
      </c>
      <c r="E106" s="3214">
        <f>C106+D106</f>
        <v>14018.63</v>
      </c>
      <c r="F106" s="3211">
        <v>210</v>
      </c>
      <c r="G106" s="3211"/>
    </row>
    <row r="107" spans="1:13">
      <c r="A107" s="3211"/>
      <c r="B107" s="3213" t="s">
        <v>3145</v>
      </c>
      <c r="C107" s="3213">
        <v>11544.17</v>
      </c>
      <c r="D107" s="3213"/>
      <c r="E107" s="3211" t="s">
        <v>3141</v>
      </c>
      <c r="F107" s="3211"/>
      <c r="G107" s="3211"/>
    </row>
    <row r="108" spans="1:13">
      <c r="A108" s="3211"/>
      <c r="B108" s="3213" t="s">
        <v>3144</v>
      </c>
      <c r="C108" s="3213">
        <v>1152.24</v>
      </c>
      <c r="D108" s="3213"/>
      <c r="E108" s="3211" t="s">
        <v>3152</v>
      </c>
      <c r="F108" s="3211"/>
      <c r="G108" s="3211"/>
      <c r="L108" s="3220"/>
    </row>
    <row r="109" spans="1:13">
      <c r="A109" s="3211"/>
      <c r="B109" s="3213" t="s">
        <v>3136</v>
      </c>
      <c r="C109" s="3213"/>
      <c r="D109" s="3213">
        <v>1140.1600000000001</v>
      </c>
      <c r="E109" s="3211"/>
      <c r="F109" s="3211"/>
      <c r="G109" s="3211"/>
      <c r="I109" s="3219">
        <f>SUM(I110:I117)</f>
        <v>69874.240000000005</v>
      </c>
      <c r="J109" s="3219">
        <f>SUM(J110:J116)</f>
        <v>7226.7299999999987</v>
      </c>
      <c r="K109" s="3210">
        <f>I109+J109</f>
        <v>77100.97</v>
      </c>
      <c r="L109" s="3210">
        <f>ROUND(K109/K97*I95,2)</f>
        <v>18607.37</v>
      </c>
      <c r="M109" s="3210" t="s">
        <v>3374</v>
      </c>
    </row>
    <row r="110" spans="1:13">
      <c r="A110" s="3211"/>
      <c r="B110" s="3213" t="s">
        <v>3135</v>
      </c>
      <c r="C110" s="3213"/>
      <c r="D110" s="3213">
        <v>182.06</v>
      </c>
      <c r="E110" s="3211"/>
      <c r="F110" s="3211"/>
      <c r="G110" s="3211"/>
      <c r="H110" s="3217" t="s">
        <v>3156</v>
      </c>
      <c r="I110" s="3210">
        <f>I98-C112-C117</f>
        <v>62956.800000000003</v>
      </c>
      <c r="K110" s="3336">
        <f>I110</f>
        <v>62956.800000000003</v>
      </c>
      <c r="L110" s="3336">
        <f>ROUND(K110/K97*I95,2)</f>
        <v>15193.85</v>
      </c>
      <c r="M110" s="3210" t="s">
        <v>3375</v>
      </c>
    </row>
    <row r="111" spans="1:13">
      <c r="A111" s="3211"/>
      <c r="B111" s="3218" t="s">
        <v>3155</v>
      </c>
      <c r="C111" s="3218">
        <f>SUM(C112:C115)</f>
        <v>13103.84</v>
      </c>
      <c r="D111" s="3218">
        <f>SUM(D112:D115)</f>
        <v>1177.22</v>
      </c>
      <c r="E111" s="3218">
        <f>C111+D111</f>
        <v>14281.06</v>
      </c>
      <c r="F111" s="3215">
        <v>120</v>
      </c>
      <c r="G111" s="3211"/>
      <c r="H111" s="3217" t="s">
        <v>3154</v>
      </c>
      <c r="I111" s="3210">
        <f>I99-C113-C118</f>
        <v>6461.9999999999991</v>
      </c>
      <c r="K111" s="3210">
        <f>I110+I112+I113+J116+J117</f>
        <v>71254.539999999994</v>
      </c>
      <c r="L111" s="3210">
        <f>ROUND(K111/K97*I95,2)</f>
        <v>17196.41</v>
      </c>
      <c r="M111" s="3210" t="s">
        <v>3377</v>
      </c>
    </row>
    <row r="112" spans="1:13">
      <c r="A112" s="3211"/>
      <c r="B112" s="3216" t="s">
        <v>3145</v>
      </c>
      <c r="C112" s="3216">
        <v>11867.49</v>
      </c>
      <c r="D112" s="3216"/>
      <c r="E112" s="3215" t="s">
        <v>3141</v>
      </c>
      <c r="F112" s="3215"/>
      <c r="G112" s="3211"/>
      <c r="H112" s="3217" t="s">
        <v>3153</v>
      </c>
      <c r="I112" s="3210">
        <f>I100</f>
        <v>162.58000000000001</v>
      </c>
      <c r="L112" s="3210">
        <f>ROUND(I110/(I98+I99+J102+J103)*I95,2)</f>
        <v>17490.86</v>
      </c>
    </row>
    <row r="113" spans="1:13">
      <c r="A113" s="3211"/>
      <c r="B113" s="3216" t="s">
        <v>3144</v>
      </c>
      <c r="C113" s="3216">
        <v>1236.3499999999999</v>
      </c>
      <c r="D113" s="3216"/>
      <c r="E113" s="3215" t="s">
        <v>3152</v>
      </c>
      <c r="F113" s="3215"/>
      <c r="G113" s="3211"/>
      <c r="H113" s="3217" t="s">
        <v>3151</v>
      </c>
      <c r="I113" s="3210">
        <f>I101-C128</f>
        <v>292.86</v>
      </c>
    </row>
    <row r="114" spans="1:13">
      <c r="A114" s="3211"/>
      <c r="B114" s="3216" t="s">
        <v>3135</v>
      </c>
      <c r="C114" s="3216"/>
      <c r="D114" s="3216">
        <v>174.54</v>
      </c>
      <c r="E114" s="3215"/>
      <c r="F114" s="3215"/>
      <c r="G114" s="3211"/>
      <c r="H114" s="3217" t="s">
        <v>3150</v>
      </c>
      <c r="J114" s="3210">
        <f>J102-D119-D130</f>
        <v>4322.9399999999987</v>
      </c>
      <c r="M114" s="3210">
        <f>C95</f>
        <v>21589.66</v>
      </c>
    </row>
    <row r="115" spans="1:13">
      <c r="A115" s="3211"/>
      <c r="B115" s="3216" t="s">
        <v>3149</v>
      </c>
      <c r="C115" s="3216"/>
      <c r="D115" s="3216">
        <v>1002.68</v>
      </c>
      <c r="E115" s="3215"/>
      <c r="F115" s="3215"/>
      <c r="G115" s="3211"/>
      <c r="H115" s="3219"/>
      <c r="I115" s="3220"/>
      <c r="J115" s="3220"/>
      <c r="M115" s="3210">
        <f>C102</f>
        <v>21584.39</v>
      </c>
    </row>
    <row r="116" spans="1:13">
      <c r="A116" s="3211"/>
      <c r="B116" s="3218" t="s">
        <v>3148</v>
      </c>
      <c r="C116" s="3218">
        <f>SUM(C117:C120)</f>
        <v>11693.769999999999</v>
      </c>
      <c r="D116" s="3218">
        <f>SUM(D117:D120)</f>
        <v>1038.53</v>
      </c>
      <c r="E116" s="3218">
        <f>C116+D116</f>
        <v>12732.3</v>
      </c>
      <c r="F116" s="3215">
        <v>120</v>
      </c>
      <c r="G116" s="3211"/>
      <c r="H116" s="3217" t="s">
        <v>3147</v>
      </c>
      <c r="J116" s="3210">
        <f>J104-D114-D115-D120-D131</f>
        <v>2903.79</v>
      </c>
      <c r="M116" s="3210">
        <f>C107</f>
        <v>11544.17</v>
      </c>
    </row>
    <row r="117" spans="1:13">
      <c r="A117" s="3211"/>
      <c r="B117" s="3216" t="s">
        <v>3145</v>
      </c>
      <c r="C117" s="3216">
        <v>10879.97</v>
      </c>
      <c r="D117" s="3216"/>
      <c r="E117" s="3215" t="s">
        <v>3141</v>
      </c>
      <c r="F117" s="3215"/>
      <c r="G117" s="3211"/>
      <c r="H117" s="3219" t="s">
        <v>3367</v>
      </c>
      <c r="I117" s="3220"/>
      <c r="J117" s="3220">
        <f>ROUND(I110/K97*J105,2)</f>
        <v>4938.51</v>
      </c>
      <c r="M117" s="3210">
        <f>C122</f>
        <v>8238.58</v>
      </c>
    </row>
    <row r="118" spans="1:13">
      <c r="A118" s="3211"/>
      <c r="B118" s="3216" t="s">
        <v>3144</v>
      </c>
      <c r="C118" s="3216">
        <v>813.8</v>
      </c>
      <c r="D118" s="3216"/>
      <c r="E118" s="3215" t="s">
        <v>3139</v>
      </c>
      <c r="F118" s="3215"/>
      <c r="G118" s="3211"/>
    </row>
    <row r="119" spans="1:13">
      <c r="A119" s="3211"/>
      <c r="B119" s="3216" t="s">
        <v>3136</v>
      </c>
      <c r="C119" s="3216"/>
      <c r="D119" s="3216">
        <v>927.21</v>
      </c>
      <c r="E119" s="3215"/>
      <c r="F119" s="3215"/>
      <c r="G119" s="3211"/>
      <c r="H119" s="3210" t="s">
        <v>3369</v>
      </c>
    </row>
    <row r="120" spans="1:13">
      <c r="A120" s="3211"/>
      <c r="B120" s="3216" t="s">
        <v>3135</v>
      </c>
      <c r="C120" s="3216"/>
      <c r="D120" s="3216">
        <v>111.32</v>
      </c>
      <c r="E120" s="3215"/>
      <c r="F120" s="3215"/>
      <c r="G120" s="3211"/>
      <c r="H120" s="3210" t="s">
        <v>3370</v>
      </c>
      <c r="K120" s="3210">
        <f>K97-K109</f>
        <v>53223.16</v>
      </c>
      <c r="L120" s="3210">
        <f>E111+E116+E126</f>
        <v>53223.16</v>
      </c>
    </row>
    <row r="121" spans="1:13">
      <c r="A121" s="3211"/>
      <c r="B121" s="3214" t="s">
        <v>3146</v>
      </c>
      <c r="C121" s="3214">
        <f>SUM(C122:C125)</f>
        <v>8867.1</v>
      </c>
      <c r="D121" s="3214">
        <f>SUM(D122:D125)</f>
        <v>787.2299999999999</v>
      </c>
      <c r="E121" s="3214">
        <f>C121+D121</f>
        <v>9654.33</v>
      </c>
      <c r="F121" s="3211">
        <v>80</v>
      </c>
      <c r="G121" s="3211"/>
      <c r="K121" s="3210">
        <f>K98-K110</f>
        <v>56951.330000000016</v>
      </c>
      <c r="L121" s="3210">
        <f>C112+C113+C117+C118+D119</f>
        <v>25724.819999999996</v>
      </c>
    </row>
    <row r="122" spans="1:13">
      <c r="A122" s="3211"/>
      <c r="B122" s="3213" t="s">
        <v>3145</v>
      </c>
      <c r="C122" s="3213">
        <v>8238.58</v>
      </c>
      <c r="D122" s="3213"/>
      <c r="E122" s="3211" t="s">
        <v>3141</v>
      </c>
      <c r="F122" s="3211"/>
      <c r="G122" s="3211"/>
    </row>
    <row r="123" spans="1:13">
      <c r="A123" s="3211"/>
      <c r="B123" s="3213" t="s">
        <v>3144</v>
      </c>
      <c r="C123" s="3213">
        <v>628.52</v>
      </c>
      <c r="D123" s="3213"/>
      <c r="E123" s="3211" t="s">
        <v>3139</v>
      </c>
      <c r="F123" s="3211"/>
      <c r="G123" s="3211"/>
    </row>
    <row r="124" spans="1:13">
      <c r="A124" s="3211"/>
      <c r="B124" s="3213" t="s">
        <v>3136</v>
      </c>
      <c r="C124" s="3213"/>
      <c r="D124" s="3213">
        <v>681.81</v>
      </c>
      <c r="E124" s="3211"/>
      <c r="F124" s="3211"/>
      <c r="G124" s="3211"/>
    </row>
    <row r="125" spans="1:13">
      <c r="A125" s="3211"/>
      <c r="B125" s="3213" t="s">
        <v>3135</v>
      </c>
      <c r="C125" s="3213"/>
      <c r="D125" s="3213">
        <v>105.42</v>
      </c>
      <c r="E125" s="3211"/>
      <c r="F125" s="3211"/>
      <c r="G125" s="3211"/>
      <c r="I125" s="3210" t="s">
        <v>3494</v>
      </c>
      <c r="J125" s="3210" t="s">
        <v>3495</v>
      </c>
      <c r="K125" s="3210" t="s">
        <v>3496</v>
      </c>
    </row>
    <row r="126" spans="1:13">
      <c r="A126" s="3211"/>
      <c r="B126" s="3218" t="s">
        <v>3143</v>
      </c>
      <c r="C126" s="3218">
        <f>SUM(C127:C131)</f>
        <v>223.3</v>
      </c>
      <c r="D126" s="3218">
        <f>SUM(D127:D132)</f>
        <v>25986.5</v>
      </c>
      <c r="E126" s="3218">
        <f>C126+D126</f>
        <v>26209.8</v>
      </c>
      <c r="F126" s="3215"/>
      <c r="G126" s="3211"/>
      <c r="H126" s="3210" t="s">
        <v>3483</v>
      </c>
      <c r="I126" s="3210">
        <f>测绘!U3</f>
        <v>22426.060000000016</v>
      </c>
      <c r="J126" s="3210">
        <f>测绘!X6</f>
        <v>6097.4400000000105</v>
      </c>
      <c r="K126" s="3210">
        <f>测绘!X7</f>
        <v>16328.620000000044</v>
      </c>
    </row>
    <row r="127" spans="1:13">
      <c r="A127" s="3211"/>
      <c r="B127" s="3216" t="s">
        <v>3142</v>
      </c>
      <c r="C127" s="3216">
        <v>193</v>
      </c>
      <c r="D127" s="3216"/>
      <c r="E127" s="3215" t="s">
        <v>3371</v>
      </c>
      <c r="F127" s="3215"/>
      <c r="G127" s="3211"/>
      <c r="H127" s="3379" t="s">
        <v>3484</v>
      </c>
      <c r="I127" s="3210">
        <f>J127+K127</f>
        <v>21377.599999999948</v>
      </c>
      <c r="J127" s="3210">
        <f>测绘!Y6</f>
        <v>5729.1999999999962</v>
      </c>
      <c r="K127" s="3379">
        <f>测绘!Y7</f>
        <v>15648.399999999952</v>
      </c>
    </row>
    <row r="128" spans="1:13">
      <c r="A128" s="3211"/>
      <c r="B128" s="3216" t="s">
        <v>3140</v>
      </c>
      <c r="C128" s="3216">
        <v>30.3</v>
      </c>
      <c r="D128" s="3216"/>
      <c r="E128" s="3215" t="s">
        <v>3372</v>
      </c>
      <c r="F128" s="3215"/>
      <c r="G128" s="3211"/>
      <c r="H128" s="3379" t="s">
        <v>3485</v>
      </c>
      <c r="I128" s="3210">
        <f>J128+K128</f>
        <v>11692.999999999993</v>
      </c>
      <c r="J128" s="3210">
        <f>测绘!Z6</f>
        <v>2563.3999999999992</v>
      </c>
      <c r="K128" s="3379">
        <f>测绘!Z7</f>
        <v>9129.5999999999931</v>
      </c>
    </row>
    <row r="129" spans="1:11">
      <c r="A129" s="3211"/>
      <c r="B129" s="3216" t="s">
        <v>3138</v>
      </c>
      <c r="C129" s="3216"/>
      <c r="D129" s="3216">
        <f>20222.29-D132</f>
        <v>9999.2900000000009</v>
      </c>
      <c r="E129" s="3215" t="s">
        <v>3137</v>
      </c>
      <c r="F129" s="3215"/>
      <c r="G129" s="3211"/>
      <c r="H129" s="3379" t="s">
        <v>3486</v>
      </c>
      <c r="I129" s="3210">
        <f>测绘!U993</f>
        <v>8327.0000000000018</v>
      </c>
      <c r="J129" s="3210">
        <v>0</v>
      </c>
      <c r="K129" s="3379">
        <f t="shared" ref="K129" si="0">I129-J129</f>
        <v>8327.0000000000018</v>
      </c>
    </row>
    <row r="130" spans="1:11">
      <c r="A130" s="3211"/>
      <c r="B130" s="3216" t="s">
        <v>3136</v>
      </c>
      <c r="C130" s="3216"/>
      <c r="D130" s="3216">
        <v>3743.29</v>
      </c>
      <c r="E130" s="3215"/>
      <c r="F130" s="3215"/>
      <c r="G130" s="3211"/>
      <c r="I130" s="3222">
        <f>SUM(I126:I129)</f>
        <v>63823.659999999953</v>
      </c>
      <c r="J130" s="3222">
        <f t="shared" ref="J130:K130" si="1">SUM(J126:J129)</f>
        <v>14390.040000000006</v>
      </c>
      <c r="K130" s="3222">
        <f t="shared" si="1"/>
        <v>49433.619999999988</v>
      </c>
    </row>
    <row r="131" spans="1:11" ht="24">
      <c r="A131" s="3211"/>
      <c r="B131" s="3216" t="s">
        <v>3135</v>
      </c>
      <c r="C131" s="3215"/>
      <c r="D131" s="3216">
        <v>2020.92</v>
      </c>
      <c r="E131" s="3215"/>
      <c r="F131" s="3215"/>
      <c r="G131" s="3211"/>
      <c r="H131" s="3210" t="s">
        <v>3498</v>
      </c>
      <c r="I131" s="3210">
        <f>ROUND(I130/K97*I95,2)</f>
        <v>15403.06</v>
      </c>
    </row>
    <row r="132" spans="1:11">
      <c r="A132" s="3211"/>
      <c r="B132" s="3216" t="s">
        <v>3134</v>
      </c>
      <c r="C132" s="3215"/>
      <c r="D132" s="3216">
        <v>10223</v>
      </c>
      <c r="E132" s="3215"/>
      <c r="F132" s="3215"/>
      <c r="G132" s="3211"/>
    </row>
    <row r="133" spans="1:11">
      <c r="A133" s="3211"/>
      <c r="B133" s="3211"/>
      <c r="C133" s="3212">
        <f>C94+C101+C106+C111+C116+C121+C126</f>
        <v>94895.150000000009</v>
      </c>
      <c r="D133" s="3212">
        <f>D94+D101+D106+D111+D116+D121+D126</f>
        <v>35428.980000000003</v>
      </c>
      <c r="E133" s="3212">
        <f>E94+E101+E106+E111+E116+E121+E126</f>
        <v>130324.13000000002</v>
      </c>
      <c r="F133" s="3211"/>
      <c r="G133" s="3211"/>
    </row>
    <row r="135" spans="1:11">
      <c r="A135" s="3210" t="s">
        <v>3473</v>
      </c>
      <c r="B135" s="3379" t="s">
        <v>3474</v>
      </c>
      <c r="E135" s="3210" t="s">
        <v>3475</v>
      </c>
    </row>
    <row r="136" spans="1:11">
      <c r="B136" s="3379"/>
    </row>
    <row r="137" spans="1:11">
      <c r="B137" s="3379"/>
    </row>
    <row r="138" spans="1:11">
      <c r="B138" s="3379"/>
    </row>
    <row r="139" spans="1:11">
      <c r="B139" s="3379"/>
    </row>
    <row r="140" spans="1:11">
      <c r="B140" s="3379"/>
    </row>
  </sheetData>
  <mergeCells count="27">
    <mergeCell ref="B37:D37"/>
    <mergeCell ref="A2:B2"/>
    <mergeCell ref="B3:D3"/>
    <mergeCell ref="B4:D4"/>
    <mergeCell ref="B5:D5"/>
    <mergeCell ref="B16:D16"/>
    <mergeCell ref="B19:B23"/>
    <mergeCell ref="B24:B26"/>
    <mergeCell ref="C27:D27"/>
    <mergeCell ref="D28:D29"/>
    <mergeCell ref="C38:D38"/>
    <mergeCell ref="C41:D41"/>
    <mergeCell ref="B45:D45"/>
    <mergeCell ref="C46:D46"/>
    <mergeCell ref="C49:D49"/>
    <mergeCell ref="C39:D39"/>
    <mergeCell ref="C40:D40"/>
    <mergeCell ref="C42:D42"/>
    <mergeCell ref="C43:D43"/>
    <mergeCell ref="C44:D44"/>
    <mergeCell ref="B93:D93"/>
    <mergeCell ref="C47:D47"/>
    <mergeCell ref="C48:D48"/>
    <mergeCell ref="C50:D50"/>
    <mergeCell ref="C51:D51"/>
    <mergeCell ref="C52:D52"/>
    <mergeCell ref="B55:D55"/>
  </mergeCells>
  <phoneticPr fontId="140"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E27F4-E3C9-438B-AF23-51E429E6E1B6}">
  <sheetPr filterMode="1"/>
  <dimension ref="A1:AB1733"/>
  <sheetViews>
    <sheetView workbookViewId="0">
      <pane xSplit="5" ySplit="2" topLeftCell="J924" activePane="bottomRight" state="frozen"/>
      <selection pane="topRight" activeCell="F1" sqref="F1"/>
      <selection pane="bottomLeft" activeCell="A3" sqref="A3"/>
      <selection pane="bottomRight" activeCell="A9" sqref="A9:T1072"/>
    </sheetView>
  </sheetViews>
  <sheetFormatPr defaultColWidth="9" defaultRowHeight="13.5" zeroHeight="1"/>
  <cols>
    <col min="2" max="3" width="7.375" customWidth="1"/>
    <col min="4" max="4" width="9" style="3406"/>
    <col min="5" max="5" width="9" hidden="1" customWidth="1"/>
    <col min="6" max="8" width="4.875" hidden="1" customWidth="1"/>
    <col min="9" max="9" width="8.625" hidden="1" customWidth="1"/>
    <col min="10" max="10" width="11.75" style="3321" customWidth="1"/>
    <col min="11" max="11" width="11.5" style="3405" customWidth="1"/>
    <col min="12" max="19" width="9" hidden="1" customWidth="1"/>
  </cols>
  <sheetData>
    <row r="1" spans="1:28">
      <c r="A1" s="3541" t="s">
        <v>3476</v>
      </c>
      <c r="B1" s="3541" t="s">
        <v>3277</v>
      </c>
      <c r="C1" s="3541" t="s">
        <v>3278</v>
      </c>
      <c r="D1" s="3542" t="s">
        <v>3477</v>
      </c>
      <c r="E1" s="3541" t="s">
        <v>3478</v>
      </c>
      <c r="F1" s="3541" t="s">
        <v>3280</v>
      </c>
      <c r="G1" s="3541" t="s">
        <v>3281</v>
      </c>
      <c r="H1" s="3541" t="s">
        <v>3282</v>
      </c>
      <c r="I1" s="3541" t="s">
        <v>3283</v>
      </c>
      <c r="J1" s="3543" t="s">
        <v>3284</v>
      </c>
      <c r="K1" s="3542" t="s">
        <v>3479</v>
      </c>
      <c r="L1" s="3541" t="s">
        <v>3480</v>
      </c>
      <c r="M1" s="3541" t="s">
        <v>3287</v>
      </c>
      <c r="N1" s="3541" t="s">
        <v>3288</v>
      </c>
      <c r="O1" s="3541" t="s">
        <v>3289</v>
      </c>
      <c r="P1" s="3541" t="s">
        <v>3290</v>
      </c>
      <c r="Q1" s="3541" t="s">
        <v>3291</v>
      </c>
      <c r="R1" s="3541" t="s">
        <v>3481</v>
      </c>
      <c r="S1" s="3541" t="s">
        <v>3293</v>
      </c>
      <c r="T1" s="3541" t="s">
        <v>3497</v>
      </c>
    </row>
    <row r="2" spans="1:28" ht="14.25" thickBot="1">
      <c r="A2" s="3541"/>
      <c r="B2" s="3541"/>
      <c r="C2" s="3541"/>
      <c r="D2" s="3542"/>
      <c r="E2" s="3541"/>
      <c r="F2" s="3541"/>
      <c r="G2" s="3541"/>
      <c r="H2" s="3541"/>
      <c r="I2" s="3541"/>
      <c r="J2" s="3543"/>
      <c r="K2" s="3542"/>
      <c r="L2" s="3541"/>
      <c r="M2" s="3541"/>
      <c r="N2" s="3541"/>
      <c r="O2" s="3541"/>
      <c r="P2" s="3541"/>
      <c r="Q2" s="3541"/>
      <c r="R2" s="3541"/>
      <c r="S2" s="3541"/>
      <c r="T2" s="3541"/>
    </row>
    <row r="3" spans="1:28" ht="14.25" hidden="1" thickBot="1">
      <c r="A3" s="3394">
        <v>1</v>
      </c>
      <c r="B3" s="3394">
        <v>1</v>
      </c>
      <c r="C3" s="3394">
        <v>1</v>
      </c>
      <c r="D3" s="3400">
        <v>107</v>
      </c>
      <c r="E3" s="3237">
        <v>104</v>
      </c>
      <c r="F3" s="3239">
        <v>1</v>
      </c>
      <c r="G3" s="3239">
        <v>0</v>
      </c>
      <c r="H3" s="3239">
        <v>1</v>
      </c>
      <c r="I3" s="3237" t="s">
        <v>3300</v>
      </c>
      <c r="J3" s="3237" t="s">
        <v>3296</v>
      </c>
      <c r="K3" s="3401">
        <v>44.04</v>
      </c>
      <c r="L3" s="3402">
        <v>40.21</v>
      </c>
      <c r="M3" s="3239"/>
      <c r="N3" s="3239"/>
      <c r="O3" s="3394"/>
      <c r="P3" s="3394"/>
      <c r="Q3" s="3394"/>
      <c r="R3" s="3239"/>
      <c r="S3" s="3239"/>
      <c r="T3" s="3239" t="str">
        <f>IF(OR(J3="无障碍宿舍",J3="无障碍宿舍-01",J3="无障碍宿舍-02",J3="40平",J3="40平-01",J3="40平-02",J3="40平-03",J3="40平-04",J3="40平-06",J3="40平-07",J3="D2"),"无","有")</f>
        <v>无</v>
      </c>
      <c r="U3">
        <f>SUM(K3:K392)</f>
        <v>22426.060000000016</v>
      </c>
      <c r="V3" s="3396" t="s">
        <v>3506</v>
      </c>
      <c r="W3">
        <f>SUMIF(T3:T1072,V3,K3:K1072)</f>
        <v>14390.039999999995</v>
      </c>
      <c r="X3" s="3415">
        <f>W3+W4</f>
        <v>63823.659999999996</v>
      </c>
    </row>
    <row r="4" spans="1:28" ht="14.25" hidden="1" thickBot="1">
      <c r="A4" s="3394">
        <v>2</v>
      </c>
      <c r="B4" s="3394">
        <v>1</v>
      </c>
      <c r="C4" s="3394">
        <v>1</v>
      </c>
      <c r="D4" s="3400">
        <v>108</v>
      </c>
      <c r="E4" s="3237">
        <v>106</v>
      </c>
      <c r="F4" s="3239">
        <v>1</v>
      </c>
      <c r="G4" s="3239">
        <v>0</v>
      </c>
      <c r="H4" s="3239">
        <v>1</v>
      </c>
      <c r="I4" s="3237" t="s">
        <v>3300</v>
      </c>
      <c r="J4" s="3237" t="s">
        <v>3301</v>
      </c>
      <c r="K4" s="3401">
        <v>43.55</v>
      </c>
      <c r="L4" s="3402">
        <v>39.76</v>
      </c>
      <c r="M4" s="3239"/>
      <c r="N4" s="3239"/>
      <c r="O4" s="3394"/>
      <c r="P4" s="3394"/>
      <c r="Q4" s="3394"/>
      <c r="R4" s="3239"/>
      <c r="S4" s="3239"/>
      <c r="T4" s="3239" t="str">
        <f t="shared" ref="T4:T67" si="0">IF(OR(J4="无障碍宿舍",J4="无障碍宿舍-01",J4="无障碍宿舍-02",J4="40平",J4="40平-01",J4="40平-02",J4="40平-03",J4="40平-04",J4="40平-06",J4="40平-07",J4="D2"),"无","有")</f>
        <v>无</v>
      </c>
      <c r="V4" s="3396" t="s">
        <v>3508</v>
      </c>
      <c r="W4">
        <f>SUMIF(T3:T1073,V4,K3:K1073)</f>
        <v>49433.62</v>
      </c>
    </row>
    <row r="5" spans="1:28" ht="14.25" hidden="1" thickBot="1">
      <c r="A5" s="3394">
        <v>3</v>
      </c>
      <c r="B5" s="3394">
        <v>1</v>
      </c>
      <c r="C5" s="3394">
        <v>1</v>
      </c>
      <c r="D5" s="3400">
        <v>109</v>
      </c>
      <c r="E5" s="3237">
        <v>105</v>
      </c>
      <c r="F5" s="3239">
        <v>1</v>
      </c>
      <c r="G5" s="3239">
        <v>0</v>
      </c>
      <c r="H5" s="3239">
        <v>1</v>
      </c>
      <c r="I5" s="3237" t="s">
        <v>3300</v>
      </c>
      <c r="J5" s="3237" t="s">
        <v>3296</v>
      </c>
      <c r="K5" s="3401">
        <v>44.04</v>
      </c>
      <c r="L5" s="3402">
        <v>40.21</v>
      </c>
      <c r="M5" s="3239"/>
      <c r="N5" s="3239"/>
      <c r="O5" s="3394">
        <v>4.2</v>
      </c>
      <c r="P5" s="3394" t="s">
        <v>3363</v>
      </c>
      <c r="Q5" s="3394" t="s">
        <v>3482</v>
      </c>
      <c r="R5" s="3239"/>
      <c r="S5" s="3239"/>
      <c r="T5" s="3239" t="str">
        <f t="shared" si="0"/>
        <v>无</v>
      </c>
      <c r="X5" s="3396" t="s">
        <v>3509</v>
      </c>
      <c r="Y5" s="3396" t="s">
        <v>3510</v>
      </c>
      <c r="Z5" s="3396" t="s">
        <v>3511</v>
      </c>
      <c r="AA5" s="3396" t="s">
        <v>3512</v>
      </c>
    </row>
    <row r="6" spans="1:28" ht="14.25" hidden="1" thickBot="1">
      <c r="A6" s="3394">
        <v>4</v>
      </c>
      <c r="B6" s="3394">
        <v>1</v>
      </c>
      <c r="C6" s="3394">
        <v>1</v>
      </c>
      <c r="D6" s="3400">
        <v>112</v>
      </c>
      <c r="E6" s="3237">
        <v>103</v>
      </c>
      <c r="F6" s="3239">
        <v>1</v>
      </c>
      <c r="G6" s="3239">
        <v>0</v>
      </c>
      <c r="H6" s="3239">
        <v>1</v>
      </c>
      <c r="I6" s="3237" t="s">
        <v>3295</v>
      </c>
      <c r="J6" s="3237" t="s">
        <v>3299</v>
      </c>
      <c r="K6" s="3401">
        <v>46.48</v>
      </c>
      <c r="L6" s="3402">
        <v>42.44</v>
      </c>
      <c r="M6" s="3239"/>
      <c r="N6" s="3239"/>
      <c r="O6" s="3394"/>
      <c r="P6" s="3394"/>
      <c r="Q6" s="3394"/>
      <c r="R6" s="3239"/>
      <c r="S6" s="3239"/>
      <c r="T6" s="3239" t="str">
        <f t="shared" si="0"/>
        <v>无</v>
      </c>
      <c r="W6" t="s">
        <v>3505</v>
      </c>
      <c r="X6">
        <f>SUMIF(T3:T392,W6,K3:K392)</f>
        <v>6097.4400000000105</v>
      </c>
      <c r="Y6">
        <f>SUMIF(T393:T782,W6,K393:K782)</f>
        <v>5729.1999999999962</v>
      </c>
      <c r="Z6">
        <f>SUMIF(T783:T992,W6,K783:K992)</f>
        <v>2563.3999999999992</v>
      </c>
      <c r="AA6">
        <f>SUMIF(T993:T1072,W6,K993:K1072)</f>
        <v>0</v>
      </c>
    </row>
    <row r="7" spans="1:28" ht="14.25" hidden="1" thickBot="1">
      <c r="A7" s="3394">
        <v>5</v>
      </c>
      <c r="B7" s="3394">
        <v>1</v>
      </c>
      <c r="C7" s="3394">
        <v>1</v>
      </c>
      <c r="D7" s="3400">
        <v>114</v>
      </c>
      <c r="E7" s="3237">
        <v>102</v>
      </c>
      <c r="F7" s="3239">
        <v>1</v>
      </c>
      <c r="G7" s="3239">
        <v>0</v>
      </c>
      <c r="H7" s="3239">
        <v>1</v>
      </c>
      <c r="I7" s="3237" t="s">
        <v>3295</v>
      </c>
      <c r="J7" s="3237" t="s">
        <v>3296</v>
      </c>
      <c r="K7" s="3401">
        <v>44.04</v>
      </c>
      <c r="L7" s="3402">
        <v>40.21</v>
      </c>
      <c r="M7" s="3239"/>
      <c r="N7" s="3239"/>
      <c r="O7" s="3394"/>
      <c r="P7" s="3394"/>
      <c r="Q7" s="3394"/>
      <c r="R7" s="3239"/>
      <c r="S7" s="3239"/>
      <c r="T7" s="3239" t="str">
        <f t="shared" si="0"/>
        <v>无</v>
      </c>
      <c r="W7" t="s">
        <v>3507</v>
      </c>
      <c r="X7">
        <f>SUMIF(T3:T393,W7,K3:K393)</f>
        <v>16328.620000000044</v>
      </c>
      <c r="Y7">
        <f>SUMIF(T393:T782,W7,K393:K782)</f>
        <v>15648.399999999952</v>
      </c>
      <c r="Z7">
        <f>SUMIF(T783:T992,W7,K783:K992)</f>
        <v>9129.5999999999931</v>
      </c>
      <c r="AA7">
        <f>SUMIF(T993:T1072,W7,K993:K1072)</f>
        <v>8327.0000000000018</v>
      </c>
    </row>
    <row r="8" spans="1:28" ht="14.25" hidden="1" thickBot="1">
      <c r="A8" s="3394">
        <v>6</v>
      </c>
      <c r="B8" s="3394">
        <v>1</v>
      </c>
      <c r="C8" s="3394">
        <v>1</v>
      </c>
      <c r="D8" s="3400">
        <v>116</v>
      </c>
      <c r="E8" s="3237">
        <v>101</v>
      </c>
      <c r="F8" s="3239">
        <v>1</v>
      </c>
      <c r="G8" s="3239">
        <v>0</v>
      </c>
      <c r="H8" s="3239">
        <v>1</v>
      </c>
      <c r="I8" s="3237" t="s">
        <v>3295</v>
      </c>
      <c r="J8" s="3237" t="s">
        <v>3296</v>
      </c>
      <c r="K8" s="3401">
        <v>44.04</v>
      </c>
      <c r="L8" s="3402">
        <v>40.21</v>
      </c>
      <c r="M8" s="3239"/>
      <c r="N8" s="3239"/>
      <c r="O8" s="3394"/>
      <c r="P8" s="3395"/>
      <c r="Q8" s="3395"/>
      <c r="R8" s="3239"/>
      <c r="S8" s="3239"/>
      <c r="T8" s="3239" t="str">
        <f t="shared" si="0"/>
        <v>无</v>
      </c>
      <c r="X8" s="3415">
        <f>X6+X7</f>
        <v>22426.060000000056</v>
      </c>
      <c r="Y8" s="3415">
        <f t="shared" ref="Y8:AA8" si="1">Y6+Y7</f>
        <v>21377.599999999948</v>
      </c>
      <c r="Z8" s="3415">
        <f t="shared" si="1"/>
        <v>11692.999999999993</v>
      </c>
      <c r="AA8" s="3415">
        <f t="shared" si="1"/>
        <v>8327.0000000000018</v>
      </c>
      <c r="AB8" s="3415">
        <f>SUM(X8:AA8)</f>
        <v>63823.659999999996</v>
      </c>
    </row>
    <row r="9" spans="1:28" s="3255" customFormat="1" ht="14.25" thickTop="1">
      <c r="A9" s="3394">
        <v>7</v>
      </c>
      <c r="B9" s="3394">
        <v>1</v>
      </c>
      <c r="C9" s="3394">
        <v>1</v>
      </c>
      <c r="D9" s="3400">
        <v>201</v>
      </c>
      <c r="E9" s="3237">
        <v>216</v>
      </c>
      <c r="F9" s="3239">
        <v>1</v>
      </c>
      <c r="G9" s="3239">
        <v>1</v>
      </c>
      <c r="H9" s="3239">
        <v>1</v>
      </c>
      <c r="I9" s="3257" t="s">
        <v>3312</v>
      </c>
      <c r="J9" s="3237" t="s">
        <v>3314</v>
      </c>
      <c r="K9" s="3401">
        <v>57.37</v>
      </c>
      <c r="L9" s="3402">
        <v>39.97</v>
      </c>
      <c r="M9" s="3239"/>
      <c r="N9" s="3239"/>
      <c r="O9" s="3394"/>
      <c r="P9" s="3394"/>
      <c r="Q9" s="3394"/>
      <c r="R9" s="3239"/>
      <c r="S9" s="3239"/>
      <c r="T9" s="3239" t="str">
        <f t="shared" si="0"/>
        <v>有</v>
      </c>
      <c r="V9" s="3403"/>
    </row>
    <row r="10" spans="1:28">
      <c r="A10" s="3394">
        <v>8</v>
      </c>
      <c r="B10" s="3394">
        <v>1</v>
      </c>
      <c r="C10" s="3394">
        <v>1</v>
      </c>
      <c r="D10" s="3400">
        <v>202</v>
      </c>
      <c r="E10" s="3237">
        <v>217</v>
      </c>
      <c r="F10" s="3239">
        <v>1</v>
      </c>
      <c r="G10" s="3239">
        <v>1</v>
      </c>
      <c r="H10" s="3239">
        <v>1</v>
      </c>
      <c r="I10" s="3257" t="s">
        <v>3312</v>
      </c>
      <c r="J10" s="3237">
        <v>50</v>
      </c>
      <c r="K10" s="3401">
        <v>57.87</v>
      </c>
      <c r="L10" s="3402">
        <v>40.32</v>
      </c>
      <c r="M10" s="3239"/>
      <c r="N10" s="3239"/>
      <c r="O10" s="3394"/>
      <c r="P10" s="3394"/>
      <c r="Q10" s="3394"/>
      <c r="R10" s="3239"/>
      <c r="S10" s="3239"/>
      <c r="T10" s="3239" t="str">
        <f t="shared" si="0"/>
        <v>有</v>
      </c>
      <c r="V10" s="3403"/>
    </row>
    <row r="11" spans="1:28">
      <c r="A11" s="3394">
        <v>9</v>
      </c>
      <c r="B11" s="3394">
        <v>1</v>
      </c>
      <c r="C11" s="3394">
        <v>1</v>
      </c>
      <c r="D11" s="3400">
        <v>203</v>
      </c>
      <c r="E11" s="3237">
        <v>218</v>
      </c>
      <c r="F11" s="3239">
        <v>1</v>
      </c>
      <c r="G11" s="3239">
        <v>1</v>
      </c>
      <c r="H11" s="3239">
        <v>1</v>
      </c>
      <c r="I11" s="3257" t="s">
        <v>3312</v>
      </c>
      <c r="J11" s="3237">
        <v>50</v>
      </c>
      <c r="K11" s="3401">
        <v>57.87</v>
      </c>
      <c r="L11" s="3402">
        <v>40.32</v>
      </c>
      <c r="M11" s="3239"/>
      <c r="N11" s="3239"/>
      <c r="O11" s="3394"/>
      <c r="P11" s="3394"/>
      <c r="Q11" s="3394"/>
      <c r="R11" s="3239"/>
      <c r="S11" s="3239"/>
      <c r="T11" s="3239" t="str">
        <f t="shared" si="0"/>
        <v>有</v>
      </c>
      <c r="V11" s="3403"/>
    </row>
    <row r="12" spans="1:28">
      <c r="A12" s="3394">
        <v>10</v>
      </c>
      <c r="B12" s="3394">
        <v>1</v>
      </c>
      <c r="C12" s="3394">
        <v>1</v>
      </c>
      <c r="D12" s="3400">
        <v>204</v>
      </c>
      <c r="E12" s="3237">
        <v>219</v>
      </c>
      <c r="F12" s="3239">
        <v>1</v>
      </c>
      <c r="G12" s="3239">
        <v>1</v>
      </c>
      <c r="H12" s="3239">
        <v>1</v>
      </c>
      <c r="I12" s="3257" t="s">
        <v>3312</v>
      </c>
      <c r="J12" s="3237" t="s">
        <v>3308</v>
      </c>
      <c r="K12" s="3401">
        <v>57.23</v>
      </c>
      <c r="L12" s="3402">
        <v>39.869999999999997</v>
      </c>
      <c r="M12" s="3239"/>
      <c r="N12" s="3239"/>
      <c r="O12" s="3394"/>
      <c r="P12" s="3394"/>
      <c r="Q12" s="3394"/>
      <c r="R12" s="3239"/>
      <c r="S12" s="3239"/>
      <c r="T12" s="3239" t="str">
        <f t="shared" si="0"/>
        <v>有</v>
      </c>
      <c r="V12" s="3403"/>
    </row>
    <row r="13" spans="1:28">
      <c r="A13" s="3394">
        <v>11</v>
      </c>
      <c r="B13" s="3394">
        <v>1</v>
      </c>
      <c r="C13" s="3394">
        <v>1</v>
      </c>
      <c r="D13" s="3400">
        <v>205</v>
      </c>
      <c r="E13" s="3237">
        <v>220</v>
      </c>
      <c r="F13" s="3239">
        <v>1</v>
      </c>
      <c r="G13" s="3239">
        <v>1</v>
      </c>
      <c r="H13" s="3239">
        <v>1</v>
      </c>
      <c r="I13" s="3257" t="s">
        <v>3312</v>
      </c>
      <c r="J13" s="3257" t="s">
        <v>3315</v>
      </c>
      <c r="K13" s="3401">
        <v>59.16</v>
      </c>
      <c r="L13" s="3402">
        <v>41.22</v>
      </c>
      <c r="M13" s="3239"/>
      <c r="N13" s="3239"/>
      <c r="O13" s="3394"/>
      <c r="P13" s="3394"/>
      <c r="Q13" s="3394"/>
      <c r="R13" s="3239"/>
      <c r="S13" s="3239"/>
      <c r="T13" s="3239" t="str">
        <f t="shared" si="0"/>
        <v>有</v>
      </c>
      <c r="V13" s="3403"/>
    </row>
    <row r="14" spans="1:28">
      <c r="A14" s="3394">
        <v>12</v>
      </c>
      <c r="B14" s="3394">
        <v>1</v>
      </c>
      <c r="C14" s="3394">
        <v>1</v>
      </c>
      <c r="D14" s="3400">
        <v>206</v>
      </c>
      <c r="E14" s="3237">
        <v>221</v>
      </c>
      <c r="F14" s="3239">
        <v>4</v>
      </c>
      <c r="G14" s="3239">
        <v>1</v>
      </c>
      <c r="H14" s="3239">
        <v>1</v>
      </c>
      <c r="I14" s="3237" t="s">
        <v>3316</v>
      </c>
      <c r="J14" s="3237" t="s">
        <v>3317</v>
      </c>
      <c r="K14" s="3401">
        <v>108.7</v>
      </c>
      <c r="L14" s="3402">
        <v>75.73</v>
      </c>
      <c r="M14" s="3239"/>
      <c r="N14" s="3239"/>
      <c r="O14" s="3394"/>
      <c r="P14" s="3394"/>
      <c r="Q14" s="3394"/>
      <c r="R14" s="3239"/>
      <c r="S14" s="3239"/>
      <c r="T14" s="3239" t="str">
        <f t="shared" si="0"/>
        <v>有</v>
      </c>
      <c r="V14" s="3403"/>
    </row>
    <row r="15" spans="1:28">
      <c r="A15" s="3394">
        <v>13</v>
      </c>
      <c r="B15" s="3394">
        <v>1</v>
      </c>
      <c r="C15" s="3394">
        <v>1</v>
      </c>
      <c r="D15" s="3400">
        <v>207</v>
      </c>
      <c r="E15" s="3237">
        <v>214</v>
      </c>
      <c r="F15" s="3239">
        <v>1</v>
      </c>
      <c r="G15" s="3239">
        <v>1</v>
      </c>
      <c r="H15" s="3239">
        <v>1</v>
      </c>
      <c r="I15" s="3237" t="s">
        <v>3310</v>
      </c>
      <c r="J15" s="3237" t="s">
        <v>3311</v>
      </c>
      <c r="K15" s="3401">
        <v>55.32</v>
      </c>
      <c r="L15" s="3402">
        <v>38.54</v>
      </c>
      <c r="M15" s="3239"/>
      <c r="N15" s="3239"/>
      <c r="O15" s="3394"/>
      <c r="P15" s="3394"/>
      <c r="Q15" s="3394"/>
      <c r="R15" s="3239"/>
      <c r="S15" s="3239"/>
      <c r="T15" s="3239" t="str">
        <f t="shared" si="0"/>
        <v>有</v>
      </c>
      <c r="V15" s="3403"/>
    </row>
    <row r="16" spans="1:28">
      <c r="A16" s="3394">
        <v>14</v>
      </c>
      <c r="B16" s="3394">
        <v>1</v>
      </c>
      <c r="C16" s="3394">
        <v>1</v>
      </c>
      <c r="D16" s="3400">
        <v>208</v>
      </c>
      <c r="E16" s="3237">
        <v>215</v>
      </c>
      <c r="F16" s="3239">
        <v>2</v>
      </c>
      <c r="G16" s="3239">
        <v>1</v>
      </c>
      <c r="H16" s="3239">
        <v>1</v>
      </c>
      <c r="I16" s="3257" t="s">
        <v>3312</v>
      </c>
      <c r="J16" s="3237" t="s">
        <v>3313</v>
      </c>
      <c r="K16" s="3401">
        <v>96.55</v>
      </c>
      <c r="L16" s="3402">
        <v>67.27</v>
      </c>
      <c r="M16" s="3239"/>
      <c r="N16" s="3239"/>
      <c r="O16" s="3394"/>
      <c r="P16" s="3394"/>
      <c r="Q16" s="3394"/>
      <c r="R16" s="3239"/>
      <c r="S16" s="3239"/>
      <c r="T16" s="3239" t="str">
        <f t="shared" si="0"/>
        <v>有</v>
      </c>
      <c r="V16" s="3403"/>
    </row>
    <row r="17" spans="1:22">
      <c r="A17" s="3394">
        <v>15</v>
      </c>
      <c r="B17" s="3394">
        <v>1</v>
      </c>
      <c r="C17" s="3394">
        <v>1</v>
      </c>
      <c r="D17" s="3400">
        <v>209</v>
      </c>
      <c r="E17" s="3237">
        <v>213</v>
      </c>
      <c r="F17" s="3239">
        <v>1</v>
      </c>
      <c r="G17" s="3239">
        <v>1</v>
      </c>
      <c r="H17" s="3239">
        <v>1</v>
      </c>
      <c r="I17" s="3257" t="s">
        <v>3304</v>
      </c>
      <c r="J17" s="3257" t="s">
        <v>3309</v>
      </c>
      <c r="K17" s="3401">
        <v>57.35</v>
      </c>
      <c r="L17" s="3402">
        <v>39.96</v>
      </c>
      <c r="M17" s="3239"/>
      <c r="N17" s="3239"/>
      <c r="O17" s="3394"/>
      <c r="P17" s="3394"/>
      <c r="Q17" s="3394"/>
      <c r="R17" s="3239"/>
      <c r="S17" s="3239"/>
      <c r="T17" s="3239" t="str">
        <f t="shared" si="0"/>
        <v>有</v>
      </c>
      <c r="V17" s="3403"/>
    </row>
    <row r="18" spans="1:22">
      <c r="A18" s="3394">
        <v>16</v>
      </c>
      <c r="B18" s="3394">
        <v>1</v>
      </c>
      <c r="C18" s="3394">
        <v>1</v>
      </c>
      <c r="D18" s="3400">
        <v>210</v>
      </c>
      <c r="E18" s="3237">
        <v>222</v>
      </c>
      <c r="F18" s="3239">
        <v>4</v>
      </c>
      <c r="G18" s="3239">
        <v>1</v>
      </c>
      <c r="H18" s="3239">
        <v>1</v>
      </c>
      <c r="I18" s="3237" t="s">
        <v>3318</v>
      </c>
      <c r="J18" s="3237" t="s">
        <v>3319</v>
      </c>
      <c r="K18" s="3401">
        <v>108.7</v>
      </c>
      <c r="L18" s="3402">
        <v>75.73</v>
      </c>
      <c r="M18" s="3239"/>
      <c r="N18" s="3239"/>
      <c r="O18" s="3394"/>
      <c r="P18" s="3394"/>
      <c r="Q18" s="3394"/>
      <c r="R18" s="3239"/>
      <c r="S18" s="3239"/>
      <c r="T18" s="3239" t="str">
        <f t="shared" si="0"/>
        <v>有</v>
      </c>
      <c r="V18" s="3403"/>
    </row>
    <row r="19" spans="1:22">
      <c r="A19" s="3394">
        <v>17</v>
      </c>
      <c r="B19" s="3394">
        <v>1</v>
      </c>
      <c r="C19" s="3394">
        <v>1</v>
      </c>
      <c r="D19" s="3400">
        <v>211</v>
      </c>
      <c r="E19" s="3237">
        <v>224</v>
      </c>
      <c r="F19" s="3239">
        <v>1</v>
      </c>
      <c r="G19" s="3239">
        <v>1</v>
      </c>
      <c r="H19" s="3239">
        <v>1</v>
      </c>
      <c r="I19" s="3237" t="s">
        <v>3300</v>
      </c>
      <c r="J19" s="3237">
        <v>50</v>
      </c>
      <c r="K19" s="3401">
        <v>57.87</v>
      </c>
      <c r="L19" s="3402">
        <v>40.32</v>
      </c>
      <c r="M19" s="3239"/>
      <c r="N19" s="3239"/>
      <c r="O19" s="3394"/>
      <c r="P19" s="3394"/>
      <c r="Q19" s="3394"/>
      <c r="R19" s="3239"/>
      <c r="S19" s="3239"/>
      <c r="T19" s="3239" t="str">
        <f t="shared" si="0"/>
        <v>有</v>
      </c>
      <c r="V19" s="3403"/>
    </row>
    <row r="20" spans="1:22">
      <c r="A20" s="3394">
        <v>18</v>
      </c>
      <c r="B20" s="3394">
        <v>1</v>
      </c>
      <c r="C20" s="3394">
        <v>1</v>
      </c>
      <c r="D20" s="3400">
        <v>212</v>
      </c>
      <c r="E20" s="3237">
        <v>223</v>
      </c>
      <c r="F20" s="3239">
        <v>1</v>
      </c>
      <c r="G20" s="3239">
        <v>1</v>
      </c>
      <c r="H20" s="3239">
        <v>1</v>
      </c>
      <c r="I20" s="3237" t="s">
        <v>3300</v>
      </c>
      <c r="J20" s="3237" t="s">
        <v>3308</v>
      </c>
      <c r="K20" s="3401">
        <v>57.23</v>
      </c>
      <c r="L20" s="3402">
        <v>39.869999999999997</v>
      </c>
      <c r="M20" s="3239"/>
      <c r="N20" s="3239"/>
      <c r="O20" s="3394"/>
      <c r="P20" s="3394"/>
      <c r="Q20" s="3394"/>
      <c r="R20" s="3239"/>
      <c r="S20" s="3239"/>
      <c r="T20" s="3239" t="str">
        <f t="shared" si="0"/>
        <v>有</v>
      </c>
      <c r="V20" s="3403"/>
    </row>
    <row r="21" spans="1:22">
      <c r="A21" s="3394">
        <v>19</v>
      </c>
      <c r="B21" s="3394">
        <v>1</v>
      </c>
      <c r="C21" s="3394">
        <v>1</v>
      </c>
      <c r="D21" s="3400">
        <v>213</v>
      </c>
      <c r="E21" s="3237">
        <v>225</v>
      </c>
      <c r="F21" s="3239">
        <v>1</v>
      </c>
      <c r="G21" s="3239">
        <v>1</v>
      </c>
      <c r="H21" s="3239">
        <v>1</v>
      </c>
      <c r="I21" s="3237" t="s">
        <v>3300</v>
      </c>
      <c r="J21" s="3237" t="s">
        <v>3320</v>
      </c>
      <c r="K21" s="3401">
        <v>58.02</v>
      </c>
      <c r="L21" s="3402">
        <v>40.42</v>
      </c>
      <c r="M21" s="3239"/>
      <c r="N21" s="3239"/>
      <c r="O21" s="3394"/>
      <c r="P21" s="3394"/>
      <c r="Q21" s="3394"/>
      <c r="R21" s="3239"/>
      <c r="S21" s="3239"/>
      <c r="T21" s="3239" t="str">
        <f t="shared" si="0"/>
        <v>有</v>
      </c>
      <c r="V21" s="3403"/>
    </row>
    <row r="22" spans="1:22">
      <c r="A22" s="3394">
        <v>20</v>
      </c>
      <c r="B22" s="3394">
        <v>1</v>
      </c>
      <c r="C22" s="3394">
        <v>1</v>
      </c>
      <c r="D22" s="3400">
        <v>214</v>
      </c>
      <c r="E22" s="3237">
        <v>212</v>
      </c>
      <c r="F22" s="3239">
        <v>1</v>
      </c>
      <c r="G22" s="3239">
        <v>1</v>
      </c>
      <c r="H22" s="3239">
        <v>1</v>
      </c>
      <c r="I22" s="3257" t="s">
        <v>3304</v>
      </c>
      <c r="J22" s="3237" t="s">
        <v>3308</v>
      </c>
      <c r="K22" s="3401">
        <v>57.23</v>
      </c>
      <c r="L22" s="3402">
        <v>39.869999999999997</v>
      </c>
      <c r="M22" s="3239"/>
      <c r="N22" s="3239"/>
      <c r="O22" s="3394"/>
      <c r="P22" s="3394"/>
      <c r="Q22" s="3394"/>
      <c r="R22" s="3239"/>
      <c r="S22" s="3239"/>
      <c r="T22" s="3239" t="str">
        <f t="shared" si="0"/>
        <v>有</v>
      </c>
      <c r="V22" s="3403"/>
    </row>
    <row r="23" spans="1:22" hidden="1">
      <c r="A23" s="3394">
        <v>21</v>
      </c>
      <c r="B23" s="3394">
        <v>1</v>
      </c>
      <c r="C23" s="3394">
        <v>1</v>
      </c>
      <c r="D23" s="3400">
        <v>215</v>
      </c>
      <c r="E23" s="3237">
        <v>211</v>
      </c>
      <c r="F23" s="3239">
        <v>1</v>
      </c>
      <c r="G23" s="3239">
        <v>0</v>
      </c>
      <c r="H23" s="3239">
        <v>1</v>
      </c>
      <c r="I23" s="3257" t="s">
        <v>3304</v>
      </c>
      <c r="J23" s="3237" t="s">
        <v>3307</v>
      </c>
      <c r="K23" s="3401">
        <v>45.9</v>
      </c>
      <c r="L23" s="3402">
        <v>31.98</v>
      </c>
      <c r="M23" s="3239"/>
      <c r="N23" s="3239"/>
      <c r="O23" s="3394">
        <v>2.9</v>
      </c>
      <c r="P23" s="3394">
        <v>2.9</v>
      </c>
      <c r="Q23" s="3394">
        <v>2.9</v>
      </c>
      <c r="R23" s="3239"/>
      <c r="S23" s="3239"/>
      <c r="T23" s="3239" t="str">
        <f t="shared" si="0"/>
        <v>无</v>
      </c>
      <c r="V23" s="3403"/>
    </row>
    <row r="24" spans="1:22">
      <c r="A24" s="3394">
        <v>22</v>
      </c>
      <c r="B24" s="3394">
        <v>1</v>
      </c>
      <c r="C24" s="3394">
        <v>1</v>
      </c>
      <c r="D24" s="3400">
        <v>216</v>
      </c>
      <c r="E24" s="3237">
        <v>226</v>
      </c>
      <c r="F24" s="3239">
        <v>1</v>
      </c>
      <c r="G24" s="3239">
        <v>1</v>
      </c>
      <c r="H24" s="3239">
        <v>1</v>
      </c>
      <c r="I24" s="3237" t="s">
        <v>3295</v>
      </c>
      <c r="J24" s="3237" t="s">
        <v>3321</v>
      </c>
      <c r="K24" s="3401">
        <v>61.09</v>
      </c>
      <c r="L24" s="3402">
        <v>42.56</v>
      </c>
      <c r="M24" s="3239"/>
      <c r="N24" s="3239"/>
      <c r="O24" s="3394"/>
      <c r="P24" s="3394"/>
      <c r="Q24" s="3394"/>
      <c r="R24" s="3239"/>
      <c r="S24" s="3239"/>
      <c r="T24" s="3239" t="str">
        <f t="shared" si="0"/>
        <v>有</v>
      </c>
      <c r="V24" s="3403"/>
    </row>
    <row r="25" spans="1:22" hidden="1">
      <c r="A25" s="3394">
        <v>23</v>
      </c>
      <c r="B25" s="3394">
        <v>1</v>
      </c>
      <c r="C25" s="3394">
        <v>1</v>
      </c>
      <c r="D25" s="3400">
        <v>217</v>
      </c>
      <c r="E25" s="3237">
        <v>210</v>
      </c>
      <c r="F25" s="3239">
        <v>1</v>
      </c>
      <c r="G25" s="3239">
        <v>0</v>
      </c>
      <c r="H25" s="3239">
        <v>1</v>
      </c>
      <c r="I25" s="3257" t="s">
        <v>3304</v>
      </c>
      <c r="J25" s="3237" t="s">
        <v>3305</v>
      </c>
      <c r="K25" s="3401">
        <v>45.27</v>
      </c>
      <c r="L25" s="3402">
        <v>31.54</v>
      </c>
      <c r="M25" s="3239"/>
      <c r="N25" s="3239"/>
      <c r="O25" s="3394"/>
      <c r="P25" s="3394"/>
      <c r="Q25" s="3394"/>
      <c r="R25" s="3239"/>
      <c r="S25" s="3239"/>
      <c r="T25" s="3239" t="str">
        <f t="shared" si="0"/>
        <v>无</v>
      </c>
      <c r="V25" s="3403"/>
    </row>
    <row r="26" spans="1:22">
      <c r="A26" s="3394">
        <v>24</v>
      </c>
      <c r="B26" s="3394">
        <v>1</v>
      </c>
      <c r="C26" s="3394">
        <v>1</v>
      </c>
      <c r="D26" s="3400">
        <v>218</v>
      </c>
      <c r="E26" s="3237">
        <v>227</v>
      </c>
      <c r="F26" s="3239">
        <v>1</v>
      </c>
      <c r="G26" s="3239">
        <v>1</v>
      </c>
      <c r="H26" s="3239">
        <v>1</v>
      </c>
      <c r="I26" s="3237" t="s">
        <v>3295</v>
      </c>
      <c r="J26" s="3237">
        <v>50</v>
      </c>
      <c r="K26" s="3401">
        <v>57.87</v>
      </c>
      <c r="L26" s="3402">
        <v>40.32</v>
      </c>
      <c r="M26" s="3239"/>
      <c r="N26" s="3239"/>
      <c r="O26" s="3394"/>
      <c r="P26" s="3394"/>
      <c r="Q26" s="3394"/>
      <c r="R26" s="3239"/>
      <c r="S26" s="3239"/>
      <c r="T26" s="3239" t="str">
        <f t="shared" si="0"/>
        <v>有</v>
      </c>
      <c r="V26" s="3403"/>
    </row>
    <row r="27" spans="1:22" hidden="1">
      <c r="A27" s="3394">
        <v>25</v>
      </c>
      <c r="B27" s="3394">
        <v>1</v>
      </c>
      <c r="C27" s="3394">
        <v>1</v>
      </c>
      <c r="D27" s="3400">
        <v>219</v>
      </c>
      <c r="E27" s="3237">
        <v>209</v>
      </c>
      <c r="F27" s="3239">
        <v>1</v>
      </c>
      <c r="G27" s="3239">
        <v>0</v>
      </c>
      <c r="H27" s="3239">
        <v>1</v>
      </c>
      <c r="I27" s="3257" t="s">
        <v>3304</v>
      </c>
      <c r="J27" s="3237" t="s">
        <v>3305</v>
      </c>
      <c r="K27" s="3401">
        <v>45.27</v>
      </c>
      <c r="L27" s="3402">
        <v>31.54</v>
      </c>
      <c r="M27" s="3239"/>
      <c r="N27" s="3239"/>
      <c r="O27" s="3394"/>
      <c r="P27" s="3394"/>
      <c r="Q27" s="3394"/>
      <c r="R27" s="3239"/>
      <c r="S27" s="3239"/>
      <c r="T27" s="3239" t="str">
        <f t="shared" si="0"/>
        <v>无</v>
      </c>
      <c r="V27" s="3403"/>
    </row>
    <row r="28" spans="1:22">
      <c r="A28" s="3394">
        <v>26</v>
      </c>
      <c r="B28" s="3394">
        <v>1</v>
      </c>
      <c r="C28" s="3394">
        <v>1</v>
      </c>
      <c r="D28" s="3400">
        <v>220</v>
      </c>
      <c r="E28" s="3237">
        <v>228</v>
      </c>
      <c r="F28" s="3239">
        <v>1</v>
      </c>
      <c r="G28" s="3239">
        <v>1</v>
      </c>
      <c r="H28" s="3239">
        <v>1</v>
      </c>
      <c r="I28" s="3237" t="s">
        <v>3295</v>
      </c>
      <c r="J28" s="3237">
        <v>50</v>
      </c>
      <c r="K28" s="3401">
        <v>57.87</v>
      </c>
      <c r="L28" s="3402">
        <v>40.32</v>
      </c>
      <c r="M28" s="3239"/>
      <c r="N28" s="3239"/>
      <c r="O28" s="3394"/>
      <c r="P28" s="3394"/>
      <c r="Q28" s="3394"/>
      <c r="R28" s="3239"/>
      <c r="S28" s="3239"/>
      <c r="T28" s="3239" t="str">
        <f t="shared" si="0"/>
        <v>有</v>
      </c>
      <c r="V28" s="3403"/>
    </row>
    <row r="29" spans="1:22" hidden="1">
      <c r="A29" s="3394">
        <v>27</v>
      </c>
      <c r="B29" s="3394">
        <v>1</v>
      </c>
      <c r="C29" s="3394">
        <v>1</v>
      </c>
      <c r="D29" s="3400">
        <v>221</v>
      </c>
      <c r="E29" s="3237">
        <v>208</v>
      </c>
      <c r="F29" s="3239">
        <v>1</v>
      </c>
      <c r="G29" s="3239">
        <v>0</v>
      </c>
      <c r="H29" s="3239">
        <v>1</v>
      </c>
      <c r="I29" s="3257" t="s">
        <v>3304</v>
      </c>
      <c r="J29" s="3237" t="s">
        <v>3305</v>
      </c>
      <c r="K29" s="3401">
        <v>45.27</v>
      </c>
      <c r="L29" s="3402">
        <v>31.54</v>
      </c>
      <c r="M29" s="3239"/>
      <c r="N29" s="3239"/>
      <c r="O29" s="3394"/>
      <c r="P29" s="3394"/>
      <c r="Q29" s="3394"/>
      <c r="R29" s="3239"/>
      <c r="S29" s="3239"/>
      <c r="T29" s="3239" t="str">
        <f t="shared" si="0"/>
        <v>无</v>
      </c>
      <c r="V29" s="3403"/>
    </row>
    <row r="30" spans="1:22">
      <c r="A30" s="3394">
        <v>28</v>
      </c>
      <c r="B30" s="3394">
        <v>1</v>
      </c>
      <c r="C30" s="3394">
        <v>1</v>
      </c>
      <c r="D30" s="3400">
        <v>222</v>
      </c>
      <c r="E30" s="3237">
        <v>229</v>
      </c>
      <c r="F30" s="3239">
        <v>1</v>
      </c>
      <c r="G30" s="3239">
        <v>1</v>
      </c>
      <c r="H30" s="3239">
        <v>1</v>
      </c>
      <c r="I30" s="3237" t="s">
        <v>3295</v>
      </c>
      <c r="J30" s="3237">
        <v>50</v>
      </c>
      <c r="K30" s="3401">
        <v>57.87</v>
      </c>
      <c r="L30" s="3402">
        <v>40.32</v>
      </c>
      <c r="M30" s="3239"/>
      <c r="N30" s="3239"/>
      <c r="O30" s="3394"/>
      <c r="P30" s="3394"/>
      <c r="Q30" s="3394"/>
      <c r="R30" s="3239"/>
      <c r="S30" s="3239"/>
      <c r="T30" s="3239" t="str">
        <f t="shared" si="0"/>
        <v>有</v>
      </c>
      <c r="V30" s="3403"/>
    </row>
    <row r="31" spans="1:22" hidden="1">
      <c r="A31" s="3394">
        <v>29</v>
      </c>
      <c r="B31" s="3394">
        <v>1</v>
      </c>
      <c r="C31" s="3394">
        <v>1</v>
      </c>
      <c r="D31" s="3400">
        <v>223</v>
      </c>
      <c r="E31" s="3237">
        <v>207</v>
      </c>
      <c r="F31" s="3239">
        <v>1</v>
      </c>
      <c r="G31" s="3239">
        <v>0</v>
      </c>
      <c r="H31" s="3239">
        <v>1</v>
      </c>
      <c r="I31" s="3257" t="s">
        <v>3304</v>
      </c>
      <c r="J31" s="3237" t="s">
        <v>3305</v>
      </c>
      <c r="K31" s="3401">
        <v>45.27</v>
      </c>
      <c r="L31" s="3402">
        <v>31.54</v>
      </c>
      <c r="M31" s="3239"/>
      <c r="N31" s="3239"/>
      <c r="O31" s="3394"/>
      <c r="P31" s="3394"/>
      <c r="Q31" s="3394"/>
      <c r="R31" s="3239"/>
      <c r="S31" s="3239"/>
      <c r="T31" s="3239" t="str">
        <f t="shared" si="0"/>
        <v>无</v>
      </c>
      <c r="V31" s="3403"/>
    </row>
    <row r="32" spans="1:22" hidden="1">
      <c r="A32" s="3394">
        <v>30</v>
      </c>
      <c r="B32" s="3394">
        <v>1</v>
      </c>
      <c r="C32" s="3394">
        <v>1</v>
      </c>
      <c r="D32" s="3400">
        <v>224</v>
      </c>
      <c r="E32" s="3237">
        <v>206</v>
      </c>
      <c r="F32" s="3239">
        <v>1</v>
      </c>
      <c r="G32" s="3239">
        <v>0</v>
      </c>
      <c r="H32" s="3239">
        <v>1</v>
      </c>
      <c r="I32" s="3257" t="s">
        <v>3304</v>
      </c>
      <c r="J32" s="3237" t="s">
        <v>3305</v>
      </c>
      <c r="K32" s="3401">
        <v>45.27</v>
      </c>
      <c r="L32" s="3402">
        <v>31.54</v>
      </c>
      <c r="M32" s="3239"/>
      <c r="N32" s="3239"/>
      <c r="O32" s="3394"/>
      <c r="P32" s="3394"/>
      <c r="Q32" s="3394"/>
      <c r="R32" s="3239"/>
      <c r="S32" s="3239"/>
      <c r="T32" s="3239" t="str">
        <f t="shared" si="0"/>
        <v>无</v>
      </c>
      <c r="V32" s="3403"/>
    </row>
    <row r="33" spans="1:22">
      <c r="A33" s="3394">
        <v>31</v>
      </c>
      <c r="B33" s="3394">
        <v>1</v>
      </c>
      <c r="C33" s="3394">
        <v>1</v>
      </c>
      <c r="D33" s="3400">
        <v>225</v>
      </c>
      <c r="E33" s="3237">
        <v>230</v>
      </c>
      <c r="F33" s="3239">
        <v>1</v>
      </c>
      <c r="G33" s="3239">
        <v>1</v>
      </c>
      <c r="H33" s="3239">
        <v>1</v>
      </c>
      <c r="I33" s="3237" t="s">
        <v>3295</v>
      </c>
      <c r="J33" s="3237">
        <v>50</v>
      </c>
      <c r="K33" s="3401">
        <v>57.87</v>
      </c>
      <c r="L33" s="3402">
        <v>40.32</v>
      </c>
      <c r="M33" s="3239"/>
      <c r="N33" s="3239"/>
      <c r="O33" s="3394"/>
      <c r="P33" s="3394"/>
      <c r="Q33" s="3394"/>
      <c r="R33" s="3239"/>
      <c r="S33" s="3239"/>
      <c r="T33" s="3239" t="str">
        <f t="shared" si="0"/>
        <v>有</v>
      </c>
      <c r="V33" s="3403"/>
    </row>
    <row r="34" spans="1:22" hidden="1">
      <c r="A34" s="3394">
        <v>32</v>
      </c>
      <c r="B34" s="3394">
        <v>1</v>
      </c>
      <c r="C34" s="3394">
        <v>1</v>
      </c>
      <c r="D34" s="3400">
        <v>226</v>
      </c>
      <c r="E34" s="3237">
        <v>205</v>
      </c>
      <c r="F34" s="3239">
        <v>1</v>
      </c>
      <c r="G34" s="3239">
        <v>0</v>
      </c>
      <c r="H34" s="3239">
        <v>1</v>
      </c>
      <c r="I34" s="3257" t="s">
        <v>3304</v>
      </c>
      <c r="J34" s="3237" t="s">
        <v>3306</v>
      </c>
      <c r="K34" s="3401">
        <v>46.3</v>
      </c>
      <c r="L34" s="3402">
        <v>32.26</v>
      </c>
      <c r="M34" s="3239"/>
      <c r="N34" s="3239"/>
      <c r="O34" s="3394"/>
      <c r="P34" s="3394"/>
      <c r="Q34" s="3394"/>
      <c r="R34" s="3239"/>
      <c r="S34" s="3239"/>
      <c r="T34" s="3239" t="str">
        <f t="shared" si="0"/>
        <v>无</v>
      </c>
      <c r="V34" s="3403"/>
    </row>
    <row r="35" spans="1:22">
      <c r="A35" s="3394">
        <v>33</v>
      </c>
      <c r="B35" s="3394">
        <v>1</v>
      </c>
      <c r="C35" s="3394">
        <v>1</v>
      </c>
      <c r="D35" s="3400">
        <v>227</v>
      </c>
      <c r="E35" s="3237">
        <v>231</v>
      </c>
      <c r="F35" s="3239">
        <v>1</v>
      </c>
      <c r="G35" s="3239">
        <v>1</v>
      </c>
      <c r="H35" s="3239">
        <v>1</v>
      </c>
      <c r="I35" s="3237" t="s">
        <v>3295</v>
      </c>
      <c r="J35" s="3237">
        <v>50</v>
      </c>
      <c r="K35" s="3401">
        <v>57.87</v>
      </c>
      <c r="L35" s="3402">
        <v>40.32</v>
      </c>
      <c r="M35" s="3239"/>
      <c r="N35" s="3239"/>
      <c r="O35" s="3394"/>
      <c r="P35" s="3394"/>
      <c r="Q35" s="3394"/>
      <c r="R35" s="3239"/>
      <c r="S35" s="3239"/>
      <c r="T35" s="3239" t="str">
        <f t="shared" si="0"/>
        <v>有</v>
      </c>
      <c r="V35" s="3403"/>
    </row>
    <row r="36" spans="1:22">
      <c r="A36" s="3394">
        <v>34</v>
      </c>
      <c r="B36" s="3394">
        <v>1</v>
      </c>
      <c r="C36" s="3394">
        <v>1</v>
      </c>
      <c r="D36" s="3400">
        <v>228</v>
      </c>
      <c r="E36" s="3237">
        <v>232</v>
      </c>
      <c r="F36" s="3239">
        <v>1</v>
      </c>
      <c r="G36" s="3239">
        <v>1</v>
      </c>
      <c r="H36" s="3239">
        <v>1</v>
      </c>
      <c r="I36" s="3237" t="s">
        <v>3295</v>
      </c>
      <c r="J36" s="3237">
        <v>50</v>
      </c>
      <c r="K36" s="3401">
        <v>57.87</v>
      </c>
      <c r="L36" s="3402">
        <v>40.32</v>
      </c>
      <c r="M36" s="3239"/>
      <c r="N36" s="3239"/>
      <c r="O36" s="3394"/>
      <c r="P36" s="3394"/>
      <c r="Q36" s="3394"/>
      <c r="R36" s="3239"/>
      <c r="S36" s="3239"/>
      <c r="T36" s="3239" t="str">
        <f t="shared" si="0"/>
        <v>有</v>
      </c>
      <c r="V36" s="3403"/>
    </row>
    <row r="37" spans="1:22">
      <c r="A37" s="3394">
        <v>35</v>
      </c>
      <c r="B37" s="3394">
        <v>1</v>
      </c>
      <c r="C37" s="3394">
        <v>1</v>
      </c>
      <c r="D37" s="3400">
        <v>229</v>
      </c>
      <c r="E37" s="3237">
        <v>233</v>
      </c>
      <c r="F37" s="3239">
        <v>1</v>
      </c>
      <c r="G37" s="3239">
        <v>1</v>
      </c>
      <c r="H37" s="3239">
        <v>1</v>
      </c>
      <c r="I37" s="3237" t="s">
        <v>3295</v>
      </c>
      <c r="J37" s="3237">
        <v>50</v>
      </c>
      <c r="K37" s="3401">
        <v>57.87</v>
      </c>
      <c r="L37" s="3402">
        <v>40.32</v>
      </c>
      <c r="M37" s="3239"/>
      <c r="N37" s="3239"/>
      <c r="O37" s="3394"/>
      <c r="P37" s="3394"/>
      <c r="Q37" s="3394"/>
      <c r="R37" s="3239"/>
      <c r="S37" s="3239"/>
      <c r="T37" s="3239" t="str">
        <f t="shared" si="0"/>
        <v>有</v>
      </c>
      <c r="V37" s="3403"/>
    </row>
    <row r="38" spans="1:22">
      <c r="A38" s="3394">
        <v>36</v>
      </c>
      <c r="B38" s="3394">
        <v>1</v>
      </c>
      <c r="C38" s="3394">
        <v>1</v>
      </c>
      <c r="D38" s="3400">
        <v>230</v>
      </c>
      <c r="E38" s="3237">
        <v>234</v>
      </c>
      <c r="F38" s="3239">
        <v>1</v>
      </c>
      <c r="G38" s="3239">
        <v>1</v>
      </c>
      <c r="H38" s="3239">
        <v>1</v>
      </c>
      <c r="I38" s="3237" t="s">
        <v>3295</v>
      </c>
      <c r="J38" s="3237">
        <v>50</v>
      </c>
      <c r="K38" s="3401">
        <v>57.87</v>
      </c>
      <c r="L38" s="3402">
        <v>40.32</v>
      </c>
      <c r="M38" s="3239"/>
      <c r="N38" s="3239"/>
      <c r="O38" s="3394"/>
      <c r="P38" s="3394"/>
      <c r="Q38" s="3394"/>
      <c r="R38" s="3239"/>
      <c r="S38" s="3239"/>
      <c r="T38" s="3239" t="str">
        <f t="shared" si="0"/>
        <v>有</v>
      </c>
      <c r="V38" s="3403"/>
    </row>
    <row r="39" spans="1:22" hidden="1">
      <c r="A39" s="3394">
        <v>37</v>
      </c>
      <c r="B39" s="3394">
        <v>1</v>
      </c>
      <c r="C39" s="3394">
        <v>1</v>
      </c>
      <c r="D39" s="3400">
        <v>231</v>
      </c>
      <c r="E39" s="3237">
        <v>204</v>
      </c>
      <c r="F39" s="3239">
        <v>1</v>
      </c>
      <c r="G39" s="3239">
        <v>0</v>
      </c>
      <c r="H39" s="3239">
        <v>1</v>
      </c>
      <c r="I39" s="3257" t="s">
        <v>3304</v>
      </c>
      <c r="J39" s="3237" t="s">
        <v>3306</v>
      </c>
      <c r="K39" s="3401">
        <v>46.3</v>
      </c>
      <c r="L39" s="3402">
        <v>32.26</v>
      </c>
      <c r="M39" s="3239"/>
      <c r="N39" s="3239"/>
      <c r="O39" s="3394"/>
      <c r="P39" s="3394"/>
      <c r="Q39" s="3394"/>
      <c r="R39" s="3239"/>
      <c r="S39" s="3239"/>
      <c r="T39" s="3239" t="str">
        <f t="shared" si="0"/>
        <v>无</v>
      </c>
      <c r="V39" s="3403"/>
    </row>
    <row r="40" spans="1:22">
      <c r="A40" s="3394">
        <v>38</v>
      </c>
      <c r="B40" s="3394">
        <v>1</v>
      </c>
      <c r="C40" s="3394">
        <v>1</v>
      </c>
      <c r="D40" s="3400">
        <v>232</v>
      </c>
      <c r="E40" s="3237">
        <v>235</v>
      </c>
      <c r="F40" s="3239">
        <v>1</v>
      </c>
      <c r="G40" s="3239">
        <v>1</v>
      </c>
      <c r="H40" s="3239">
        <v>1</v>
      </c>
      <c r="I40" s="3237" t="s">
        <v>3295</v>
      </c>
      <c r="J40" s="3237">
        <v>50</v>
      </c>
      <c r="K40" s="3401">
        <v>57.87</v>
      </c>
      <c r="L40" s="3402">
        <v>40.32</v>
      </c>
      <c r="M40" s="3239"/>
      <c r="N40" s="3239"/>
      <c r="O40" s="3394"/>
      <c r="P40" s="3394"/>
      <c r="Q40" s="3394"/>
      <c r="R40" s="3239"/>
      <c r="S40" s="3239"/>
      <c r="T40" s="3239" t="str">
        <f t="shared" si="0"/>
        <v>有</v>
      </c>
      <c r="V40" s="3403"/>
    </row>
    <row r="41" spans="1:22" hidden="1">
      <c r="A41" s="3394">
        <v>39</v>
      </c>
      <c r="B41" s="3394">
        <v>1</v>
      </c>
      <c r="C41" s="3394">
        <v>1</v>
      </c>
      <c r="D41" s="3400">
        <v>233</v>
      </c>
      <c r="E41" s="3237">
        <v>203</v>
      </c>
      <c r="F41" s="3239">
        <v>1</v>
      </c>
      <c r="G41" s="3239">
        <v>0</v>
      </c>
      <c r="H41" s="3239">
        <v>1</v>
      </c>
      <c r="I41" s="3257" t="s">
        <v>3304</v>
      </c>
      <c r="J41" s="3237" t="s">
        <v>3305</v>
      </c>
      <c r="K41" s="3401">
        <v>45.27</v>
      </c>
      <c r="L41" s="3402">
        <v>31.54</v>
      </c>
      <c r="M41" s="3239"/>
      <c r="N41" s="3239"/>
      <c r="O41" s="3394"/>
      <c r="P41" s="3394"/>
      <c r="Q41" s="3394"/>
      <c r="R41" s="3239"/>
      <c r="S41" s="3239"/>
      <c r="T41" s="3239" t="str">
        <f t="shared" si="0"/>
        <v>无</v>
      </c>
      <c r="V41" s="3403"/>
    </row>
    <row r="42" spans="1:22" hidden="1">
      <c r="A42" s="3394">
        <v>40</v>
      </c>
      <c r="B42" s="3394">
        <v>1</v>
      </c>
      <c r="C42" s="3394">
        <v>1</v>
      </c>
      <c r="D42" s="3400">
        <v>234</v>
      </c>
      <c r="E42" s="3237">
        <v>202</v>
      </c>
      <c r="F42" s="3239">
        <v>1</v>
      </c>
      <c r="G42" s="3239">
        <v>0</v>
      </c>
      <c r="H42" s="3239">
        <v>1</v>
      </c>
      <c r="I42" s="3257" t="s">
        <v>3304</v>
      </c>
      <c r="J42" s="3237" t="s">
        <v>3305</v>
      </c>
      <c r="K42" s="3401">
        <v>45.27</v>
      </c>
      <c r="L42" s="3402">
        <v>31.54</v>
      </c>
      <c r="M42" s="3239"/>
      <c r="N42" s="3239"/>
      <c r="O42" s="3394"/>
      <c r="P42" s="3394"/>
      <c r="Q42" s="3394"/>
      <c r="R42" s="3239"/>
      <c r="S42" s="3239"/>
      <c r="T42" s="3239" t="str">
        <f t="shared" si="0"/>
        <v>无</v>
      </c>
      <c r="V42" s="3403"/>
    </row>
    <row r="43" spans="1:22">
      <c r="A43" s="3394">
        <v>41</v>
      </c>
      <c r="B43" s="3394">
        <v>1</v>
      </c>
      <c r="C43" s="3394">
        <v>1</v>
      </c>
      <c r="D43" s="3400">
        <v>235</v>
      </c>
      <c r="E43" s="3237">
        <v>236</v>
      </c>
      <c r="F43" s="3239">
        <v>1</v>
      </c>
      <c r="G43" s="3239">
        <v>1</v>
      </c>
      <c r="H43" s="3239">
        <v>1</v>
      </c>
      <c r="I43" s="3237" t="s">
        <v>3295</v>
      </c>
      <c r="J43" s="3237">
        <v>50</v>
      </c>
      <c r="K43" s="3401">
        <v>57.87</v>
      </c>
      <c r="L43" s="3402">
        <v>40.32</v>
      </c>
      <c r="M43" s="3239"/>
      <c r="N43" s="3239"/>
      <c r="O43" s="3394"/>
      <c r="P43" s="3394"/>
      <c r="Q43" s="3394"/>
      <c r="R43" s="3239"/>
      <c r="S43" s="3239"/>
      <c r="T43" s="3239" t="str">
        <f t="shared" si="0"/>
        <v>有</v>
      </c>
      <c r="V43" s="3403"/>
    </row>
    <row r="44" spans="1:22" hidden="1">
      <c r="A44" s="3394">
        <v>42</v>
      </c>
      <c r="B44" s="3394">
        <v>1</v>
      </c>
      <c r="C44" s="3394">
        <v>1</v>
      </c>
      <c r="D44" s="3400">
        <v>236</v>
      </c>
      <c r="E44" s="3237">
        <v>237</v>
      </c>
      <c r="F44" s="3239">
        <v>1</v>
      </c>
      <c r="G44" s="3239">
        <v>0</v>
      </c>
      <c r="H44" s="3239">
        <v>1</v>
      </c>
      <c r="I44" s="3237" t="s">
        <v>3295</v>
      </c>
      <c r="J44" s="3257" t="s">
        <v>3322</v>
      </c>
      <c r="K44" s="3401">
        <v>49.52</v>
      </c>
      <c r="L44" s="3402">
        <v>34.5</v>
      </c>
      <c r="M44" s="3239"/>
      <c r="N44" s="3239"/>
      <c r="O44" s="3394"/>
      <c r="P44" s="3394"/>
      <c r="Q44" s="3394"/>
      <c r="R44" s="3239"/>
      <c r="S44" s="3239"/>
      <c r="T44" s="3239" t="str">
        <f t="shared" si="0"/>
        <v>无</v>
      </c>
      <c r="V44" s="3403"/>
    </row>
    <row r="45" spans="1:22">
      <c r="A45" s="3394">
        <v>43</v>
      </c>
      <c r="B45" s="3394">
        <v>1</v>
      </c>
      <c r="C45" s="3394">
        <v>1</v>
      </c>
      <c r="D45" s="3400">
        <v>237</v>
      </c>
      <c r="E45" s="3237">
        <v>201</v>
      </c>
      <c r="F45" s="3239">
        <v>1</v>
      </c>
      <c r="G45" s="3239">
        <v>1</v>
      </c>
      <c r="H45" s="3239">
        <v>1</v>
      </c>
      <c r="I45" s="3237" t="s">
        <v>3302</v>
      </c>
      <c r="J45" s="3237" t="s">
        <v>3303</v>
      </c>
      <c r="K45" s="3401">
        <v>58.16</v>
      </c>
      <c r="L45" s="3402">
        <v>40.520000000000003</v>
      </c>
      <c r="M45" s="3239"/>
      <c r="N45" s="3239"/>
      <c r="O45" s="3394"/>
      <c r="P45" s="3395"/>
      <c r="Q45" s="3395"/>
      <c r="R45" s="3239"/>
      <c r="S45" s="3239"/>
      <c r="T45" s="3239" t="str">
        <f t="shared" si="0"/>
        <v>有</v>
      </c>
      <c r="V45" s="3403"/>
    </row>
    <row r="46" spans="1:22" hidden="1">
      <c r="A46" s="3394">
        <v>44</v>
      </c>
      <c r="B46" s="3394">
        <v>1</v>
      </c>
      <c r="C46" s="3394">
        <v>1</v>
      </c>
      <c r="D46" s="3400">
        <v>238</v>
      </c>
      <c r="E46" s="3237">
        <v>239</v>
      </c>
      <c r="F46" s="3239">
        <v>1</v>
      </c>
      <c r="G46" s="3239">
        <v>0</v>
      </c>
      <c r="H46" s="3239">
        <v>1</v>
      </c>
      <c r="I46" s="3237" t="s">
        <v>3300</v>
      </c>
      <c r="J46" s="3237" t="s">
        <v>3323</v>
      </c>
      <c r="K46" s="3401">
        <v>46.53</v>
      </c>
      <c r="L46" s="3402">
        <v>32.42</v>
      </c>
      <c r="M46" s="3239"/>
      <c r="N46" s="3239"/>
      <c r="O46" s="3394"/>
      <c r="P46" s="3394"/>
      <c r="Q46" s="3394"/>
      <c r="R46" s="3239"/>
      <c r="S46" s="3239"/>
      <c r="T46" s="3239" t="str">
        <f t="shared" si="0"/>
        <v>无</v>
      </c>
      <c r="V46" s="3403"/>
    </row>
    <row r="47" spans="1:22" hidden="1">
      <c r="A47" s="3394">
        <v>45</v>
      </c>
      <c r="B47" s="3394">
        <v>1</v>
      </c>
      <c r="C47" s="3394">
        <v>1</v>
      </c>
      <c r="D47" s="3400">
        <v>239</v>
      </c>
      <c r="E47" s="3237">
        <v>238</v>
      </c>
      <c r="F47" s="3239">
        <v>1</v>
      </c>
      <c r="G47" s="3239">
        <v>0</v>
      </c>
      <c r="H47" s="3239">
        <v>1</v>
      </c>
      <c r="I47" s="3237" t="s">
        <v>3295</v>
      </c>
      <c r="J47" s="3237" t="s">
        <v>3500</v>
      </c>
      <c r="K47" s="3401">
        <v>50.61</v>
      </c>
      <c r="L47" s="3402">
        <v>35.26</v>
      </c>
      <c r="M47" s="3239"/>
      <c r="N47" s="3239"/>
      <c r="O47" s="3394"/>
      <c r="P47" s="3394"/>
      <c r="Q47" s="3394"/>
      <c r="R47" s="3239"/>
      <c r="S47" s="3239"/>
      <c r="T47" s="3239" t="str">
        <f t="shared" si="0"/>
        <v>无</v>
      </c>
      <c r="V47" s="3403"/>
    </row>
    <row r="48" spans="1:22">
      <c r="A48" s="3394">
        <v>46</v>
      </c>
      <c r="B48" s="3394">
        <v>1</v>
      </c>
      <c r="C48" s="3394">
        <v>1</v>
      </c>
      <c r="D48" s="3400">
        <v>301</v>
      </c>
      <c r="E48" s="3237">
        <v>316</v>
      </c>
      <c r="F48" s="3239">
        <v>1</v>
      </c>
      <c r="G48" s="3239">
        <v>1</v>
      </c>
      <c r="H48" s="3239">
        <v>1</v>
      </c>
      <c r="I48" s="3257" t="s">
        <v>3312</v>
      </c>
      <c r="J48" s="3237" t="s">
        <v>3314</v>
      </c>
      <c r="K48" s="3401">
        <v>57.37</v>
      </c>
      <c r="L48" s="3402">
        <v>39.97</v>
      </c>
      <c r="M48" s="3239"/>
      <c r="N48" s="3239"/>
      <c r="O48" s="3394"/>
      <c r="P48" s="3394"/>
      <c r="Q48" s="3394"/>
      <c r="R48" s="3239"/>
      <c r="S48" s="3239"/>
      <c r="T48" s="3239" t="str">
        <f t="shared" si="0"/>
        <v>有</v>
      </c>
    </row>
    <row r="49" spans="1:20">
      <c r="A49" s="3394">
        <v>47</v>
      </c>
      <c r="B49" s="3394">
        <v>1</v>
      </c>
      <c r="C49" s="3394">
        <v>1</v>
      </c>
      <c r="D49" s="3400">
        <v>302</v>
      </c>
      <c r="E49" s="3237">
        <v>317</v>
      </c>
      <c r="F49" s="3239">
        <v>1</v>
      </c>
      <c r="G49" s="3239">
        <v>1</v>
      </c>
      <c r="H49" s="3239">
        <v>1</v>
      </c>
      <c r="I49" s="3257" t="s">
        <v>3312</v>
      </c>
      <c r="J49" s="3237">
        <v>50</v>
      </c>
      <c r="K49" s="3401">
        <v>57.87</v>
      </c>
      <c r="L49" s="3402">
        <v>40.32</v>
      </c>
      <c r="M49" s="3239"/>
      <c r="N49" s="3239"/>
      <c r="O49" s="3394"/>
      <c r="P49" s="3394"/>
      <c r="Q49" s="3394"/>
      <c r="R49" s="3239"/>
      <c r="S49" s="3239"/>
      <c r="T49" s="3239" t="str">
        <f t="shared" si="0"/>
        <v>有</v>
      </c>
    </row>
    <row r="50" spans="1:20">
      <c r="A50" s="3394">
        <v>48</v>
      </c>
      <c r="B50" s="3394">
        <v>1</v>
      </c>
      <c r="C50" s="3394">
        <v>1</v>
      </c>
      <c r="D50" s="3400">
        <v>303</v>
      </c>
      <c r="E50" s="3237">
        <v>318</v>
      </c>
      <c r="F50" s="3239">
        <v>1</v>
      </c>
      <c r="G50" s="3239">
        <v>1</v>
      </c>
      <c r="H50" s="3239">
        <v>1</v>
      </c>
      <c r="I50" s="3257" t="s">
        <v>3312</v>
      </c>
      <c r="J50" s="3237">
        <v>50</v>
      </c>
      <c r="K50" s="3401">
        <v>57.87</v>
      </c>
      <c r="L50" s="3402">
        <v>40.32</v>
      </c>
      <c r="M50" s="3239"/>
      <c r="N50" s="3239"/>
      <c r="O50" s="3394"/>
      <c r="P50" s="3394"/>
      <c r="Q50" s="3394"/>
      <c r="R50" s="3239"/>
      <c r="S50" s="3239"/>
      <c r="T50" s="3239" t="str">
        <f t="shared" si="0"/>
        <v>有</v>
      </c>
    </row>
    <row r="51" spans="1:20">
      <c r="A51" s="3394">
        <v>49</v>
      </c>
      <c r="B51" s="3394">
        <v>1</v>
      </c>
      <c r="C51" s="3394">
        <v>1</v>
      </c>
      <c r="D51" s="3400">
        <v>304</v>
      </c>
      <c r="E51" s="3237">
        <v>319</v>
      </c>
      <c r="F51" s="3239">
        <v>1</v>
      </c>
      <c r="G51" s="3239">
        <v>1</v>
      </c>
      <c r="H51" s="3239">
        <v>1</v>
      </c>
      <c r="I51" s="3257" t="s">
        <v>3312</v>
      </c>
      <c r="J51" s="3237" t="s">
        <v>3308</v>
      </c>
      <c r="K51" s="3401">
        <v>57.23</v>
      </c>
      <c r="L51" s="3402">
        <v>39.869999999999997</v>
      </c>
      <c r="M51" s="3239"/>
      <c r="N51" s="3239"/>
      <c r="O51" s="3394"/>
      <c r="P51" s="3394"/>
      <c r="Q51" s="3394"/>
      <c r="R51" s="3239"/>
      <c r="S51" s="3239"/>
      <c r="T51" s="3239" t="str">
        <f t="shared" si="0"/>
        <v>有</v>
      </c>
    </row>
    <row r="52" spans="1:20">
      <c r="A52" s="3394">
        <v>50</v>
      </c>
      <c r="B52" s="3394">
        <v>1</v>
      </c>
      <c r="C52" s="3394">
        <v>1</v>
      </c>
      <c r="D52" s="3400">
        <v>305</v>
      </c>
      <c r="E52" s="3237">
        <v>320</v>
      </c>
      <c r="F52" s="3239">
        <v>1</v>
      </c>
      <c r="G52" s="3239">
        <v>1</v>
      </c>
      <c r="H52" s="3239">
        <v>1</v>
      </c>
      <c r="I52" s="3257" t="s">
        <v>3312</v>
      </c>
      <c r="J52" s="3257" t="s">
        <v>3315</v>
      </c>
      <c r="K52" s="3401">
        <v>59.16</v>
      </c>
      <c r="L52" s="3402">
        <v>41.22</v>
      </c>
      <c r="M52" s="3239"/>
      <c r="N52" s="3239"/>
      <c r="O52" s="3394"/>
      <c r="P52" s="3394"/>
      <c r="Q52" s="3394"/>
      <c r="R52" s="3239"/>
      <c r="S52" s="3239"/>
      <c r="T52" s="3239" t="str">
        <f t="shared" si="0"/>
        <v>有</v>
      </c>
    </row>
    <row r="53" spans="1:20">
      <c r="A53" s="3394">
        <v>51</v>
      </c>
      <c r="B53" s="3394">
        <v>1</v>
      </c>
      <c r="C53" s="3394">
        <v>1</v>
      </c>
      <c r="D53" s="3400">
        <v>306</v>
      </c>
      <c r="E53" s="3237">
        <v>321</v>
      </c>
      <c r="F53" s="3239">
        <v>4</v>
      </c>
      <c r="G53" s="3239">
        <v>1</v>
      </c>
      <c r="H53" s="3239">
        <v>1</v>
      </c>
      <c r="I53" s="3237" t="s">
        <v>3316</v>
      </c>
      <c r="J53" s="3237" t="s">
        <v>3317</v>
      </c>
      <c r="K53" s="3401">
        <v>108.7</v>
      </c>
      <c r="L53" s="3402">
        <v>75.73</v>
      </c>
      <c r="M53" s="3239"/>
      <c r="N53" s="3239"/>
      <c r="O53" s="3394"/>
      <c r="P53" s="3394"/>
      <c r="Q53" s="3394"/>
      <c r="R53" s="3239"/>
      <c r="S53" s="3239"/>
      <c r="T53" s="3239" t="str">
        <f t="shared" si="0"/>
        <v>有</v>
      </c>
    </row>
    <row r="54" spans="1:20">
      <c r="A54" s="3394">
        <v>52</v>
      </c>
      <c r="B54" s="3394">
        <v>1</v>
      </c>
      <c r="C54" s="3394">
        <v>1</v>
      </c>
      <c r="D54" s="3400">
        <v>307</v>
      </c>
      <c r="E54" s="3237">
        <v>314</v>
      </c>
      <c r="F54" s="3239">
        <v>1</v>
      </c>
      <c r="G54" s="3239">
        <v>1</v>
      </c>
      <c r="H54" s="3239">
        <v>1</v>
      </c>
      <c r="I54" s="3237" t="s">
        <v>3310</v>
      </c>
      <c r="J54" s="3237" t="s">
        <v>3311</v>
      </c>
      <c r="K54" s="3401">
        <v>55.32</v>
      </c>
      <c r="L54" s="3402">
        <v>38.54</v>
      </c>
      <c r="M54" s="3239"/>
      <c r="N54" s="3239"/>
      <c r="O54" s="3394"/>
      <c r="P54" s="3394"/>
      <c r="Q54" s="3394"/>
      <c r="R54" s="3239"/>
      <c r="S54" s="3239"/>
      <c r="T54" s="3239" t="str">
        <f t="shared" si="0"/>
        <v>有</v>
      </c>
    </row>
    <row r="55" spans="1:20">
      <c r="A55" s="3394">
        <v>53</v>
      </c>
      <c r="B55" s="3394">
        <v>1</v>
      </c>
      <c r="C55" s="3394">
        <v>1</v>
      </c>
      <c r="D55" s="3400">
        <v>308</v>
      </c>
      <c r="E55" s="3237">
        <v>315</v>
      </c>
      <c r="F55" s="3239">
        <v>2</v>
      </c>
      <c r="G55" s="3239">
        <v>1</v>
      </c>
      <c r="H55" s="3239">
        <v>1</v>
      </c>
      <c r="I55" s="3257" t="s">
        <v>3312</v>
      </c>
      <c r="J55" s="3237" t="s">
        <v>3313</v>
      </c>
      <c r="K55" s="3401">
        <v>96.55</v>
      </c>
      <c r="L55" s="3402">
        <v>67.27</v>
      </c>
      <c r="M55" s="3239"/>
      <c r="N55" s="3239"/>
      <c r="O55" s="3394"/>
      <c r="P55" s="3394"/>
      <c r="Q55" s="3394"/>
      <c r="R55" s="3239"/>
      <c r="S55" s="3239"/>
      <c r="T55" s="3239" t="str">
        <f t="shared" si="0"/>
        <v>有</v>
      </c>
    </row>
    <row r="56" spans="1:20">
      <c r="A56" s="3394">
        <v>54</v>
      </c>
      <c r="B56" s="3394">
        <v>1</v>
      </c>
      <c r="C56" s="3394">
        <v>1</v>
      </c>
      <c r="D56" s="3400">
        <v>309</v>
      </c>
      <c r="E56" s="3237">
        <v>313</v>
      </c>
      <c r="F56" s="3239">
        <v>1</v>
      </c>
      <c r="G56" s="3239">
        <v>1</v>
      </c>
      <c r="H56" s="3239">
        <v>1</v>
      </c>
      <c r="I56" s="3257" t="s">
        <v>3304</v>
      </c>
      <c r="J56" s="3257" t="s">
        <v>3309</v>
      </c>
      <c r="K56" s="3401">
        <v>57.35</v>
      </c>
      <c r="L56" s="3402">
        <v>39.96</v>
      </c>
      <c r="M56" s="3239"/>
      <c r="N56" s="3239"/>
      <c r="O56" s="3394"/>
      <c r="P56" s="3394"/>
      <c r="Q56" s="3394"/>
      <c r="R56" s="3239"/>
      <c r="S56" s="3239"/>
      <c r="T56" s="3239" t="str">
        <f t="shared" si="0"/>
        <v>有</v>
      </c>
    </row>
    <row r="57" spans="1:20">
      <c r="A57" s="3394">
        <v>55</v>
      </c>
      <c r="B57" s="3394">
        <v>1</v>
      </c>
      <c r="C57" s="3394">
        <v>1</v>
      </c>
      <c r="D57" s="3400">
        <v>310</v>
      </c>
      <c r="E57" s="3237">
        <v>322</v>
      </c>
      <c r="F57" s="3239">
        <v>4</v>
      </c>
      <c r="G57" s="3239">
        <v>1</v>
      </c>
      <c r="H57" s="3239">
        <v>1</v>
      </c>
      <c r="I57" s="3237" t="s">
        <v>3318</v>
      </c>
      <c r="J57" s="3237" t="s">
        <v>3319</v>
      </c>
      <c r="K57" s="3401">
        <v>108.7</v>
      </c>
      <c r="L57" s="3402">
        <v>75.73</v>
      </c>
      <c r="M57" s="3239"/>
      <c r="N57" s="3239"/>
      <c r="O57" s="3394"/>
      <c r="P57" s="3394"/>
      <c r="Q57" s="3394"/>
      <c r="R57" s="3239"/>
      <c r="S57" s="3239"/>
      <c r="T57" s="3239" t="str">
        <f t="shared" si="0"/>
        <v>有</v>
      </c>
    </row>
    <row r="58" spans="1:20">
      <c r="A58" s="3394">
        <v>56</v>
      </c>
      <c r="B58" s="3394">
        <v>1</v>
      </c>
      <c r="C58" s="3394">
        <v>1</v>
      </c>
      <c r="D58" s="3400">
        <v>311</v>
      </c>
      <c r="E58" s="3237">
        <v>324</v>
      </c>
      <c r="F58" s="3239">
        <v>1</v>
      </c>
      <c r="G58" s="3239">
        <v>1</v>
      </c>
      <c r="H58" s="3239">
        <v>1</v>
      </c>
      <c r="I58" s="3237" t="s">
        <v>3300</v>
      </c>
      <c r="J58" s="3237">
        <v>50</v>
      </c>
      <c r="K58" s="3401">
        <v>57.87</v>
      </c>
      <c r="L58" s="3402">
        <v>40.32</v>
      </c>
      <c r="M58" s="3239"/>
      <c r="N58" s="3239"/>
      <c r="O58" s="3394"/>
      <c r="P58" s="3394"/>
      <c r="Q58" s="3394"/>
      <c r="R58" s="3239"/>
      <c r="S58" s="3239"/>
      <c r="T58" s="3239" t="str">
        <f t="shared" si="0"/>
        <v>有</v>
      </c>
    </row>
    <row r="59" spans="1:20">
      <c r="A59" s="3394">
        <v>57</v>
      </c>
      <c r="B59" s="3394">
        <v>1</v>
      </c>
      <c r="C59" s="3394">
        <v>1</v>
      </c>
      <c r="D59" s="3400">
        <v>312</v>
      </c>
      <c r="E59" s="3237">
        <v>323</v>
      </c>
      <c r="F59" s="3239">
        <v>1</v>
      </c>
      <c r="G59" s="3239">
        <v>1</v>
      </c>
      <c r="H59" s="3239">
        <v>1</v>
      </c>
      <c r="I59" s="3237" t="s">
        <v>3300</v>
      </c>
      <c r="J59" s="3237" t="s">
        <v>3308</v>
      </c>
      <c r="K59" s="3401">
        <v>57.23</v>
      </c>
      <c r="L59" s="3402">
        <v>39.869999999999997</v>
      </c>
      <c r="M59" s="3239"/>
      <c r="N59" s="3239"/>
      <c r="O59" s="3394"/>
      <c r="P59" s="3394"/>
      <c r="Q59" s="3394"/>
      <c r="R59" s="3239"/>
      <c r="S59" s="3239"/>
      <c r="T59" s="3239" t="str">
        <f t="shared" si="0"/>
        <v>有</v>
      </c>
    </row>
    <row r="60" spans="1:20">
      <c r="A60" s="3394">
        <v>58</v>
      </c>
      <c r="B60" s="3394">
        <v>1</v>
      </c>
      <c r="C60" s="3394">
        <v>1</v>
      </c>
      <c r="D60" s="3400">
        <v>313</v>
      </c>
      <c r="E60" s="3237">
        <v>325</v>
      </c>
      <c r="F60" s="3239">
        <v>1</v>
      </c>
      <c r="G60" s="3239">
        <v>1</v>
      </c>
      <c r="H60" s="3239">
        <v>1</v>
      </c>
      <c r="I60" s="3237" t="s">
        <v>3300</v>
      </c>
      <c r="J60" s="3237" t="s">
        <v>3320</v>
      </c>
      <c r="K60" s="3401">
        <v>58.02</v>
      </c>
      <c r="L60" s="3402">
        <v>40.42</v>
      </c>
      <c r="M60" s="3239"/>
      <c r="N60" s="3239"/>
      <c r="O60" s="3394"/>
      <c r="P60" s="3394"/>
      <c r="Q60" s="3394"/>
      <c r="R60" s="3239"/>
      <c r="S60" s="3239"/>
      <c r="T60" s="3239" t="str">
        <f t="shared" si="0"/>
        <v>有</v>
      </c>
    </row>
    <row r="61" spans="1:20">
      <c r="A61" s="3394">
        <v>59</v>
      </c>
      <c r="B61" s="3394">
        <v>1</v>
      </c>
      <c r="C61" s="3394">
        <v>1</v>
      </c>
      <c r="D61" s="3400">
        <v>314</v>
      </c>
      <c r="E61" s="3237">
        <v>312</v>
      </c>
      <c r="F61" s="3239">
        <v>1</v>
      </c>
      <c r="G61" s="3239">
        <v>1</v>
      </c>
      <c r="H61" s="3239">
        <v>1</v>
      </c>
      <c r="I61" s="3257" t="s">
        <v>3304</v>
      </c>
      <c r="J61" s="3237" t="s">
        <v>3308</v>
      </c>
      <c r="K61" s="3401">
        <v>57.23</v>
      </c>
      <c r="L61" s="3402">
        <v>39.869999999999997</v>
      </c>
      <c r="M61" s="3239"/>
      <c r="N61" s="3239"/>
      <c r="O61" s="3394"/>
      <c r="P61" s="3394"/>
      <c r="Q61" s="3394"/>
      <c r="R61" s="3239"/>
      <c r="S61" s="3239"/>
      <c r="T61" s="3239" t="str">
        <f t="shared" si="0"/>
        <v>有</v>
      </c>
    </row>
    <row r="62" spans="1:20" hidden="1">
      <c r="A62" s="3394">
        <v>60</v>
      </c>
      <c r="B62" s="3394">
        <v>1</v>
      </c>
      <c r="C62" s="3394">
        <v>1</v>
      </c>
      <c r="D62" s="3400">
        <v>315</v>
      </c>
      <c r="E62" s="3237">
        <v>311</v>
      </c>
      <c r="F62" s="3239">
        <v>1</v>
      </c>
      <c r="G62" s="3239">
        <v>0</v>
      </c>
      <c r="H62" s="3239">
        <v>1</v>
      </c>
      <c r="I62" s="3257" t="s">
        <v>3304</v>
      </c>
      <c r="J62" s="3237" t="s">
        <v>3307</v>
      </c>
      <c r="K62" s="3401">
        <v>45.9</v>
      </c>
      <c r="L62" s="3402">
        <v>31.98</v>
      </c>
      <c r="M62" s="3239"/>
      <c r="N62" s="3239"/>
      <c r="O62" s="3394"/>
      <c r="P62" s="3394"/>
      <c r="Q62" s="3394"/>
      <c r="R62" s="3239"/>
      <c r="S62" s="3239"/>
      <c r="T62" s="3239" t="str">
        <f t="shared" si="0"/>
        <v>无</v>
      </c>
    </row>
    <row r="63" spans="1:20">
      <c r="A63" s="3394">
        <v>61</v>
      </c>
      <c r="B63" s="3394">
        <v>1</v>
      </c>
      <c r="C63" s="3394">
        <v>1</v>
      </c>
      <c r="D63" s="3400">
        <v>316</v>
      </c>
      <c r="E63" s="3237">
        <v>326</v>
      </c>
      <c r="F63" s="3239">
        <v>1</v>
      </c>
      <c r="G63" s="3239">
        <v>1</v>
      </c>
      <c r="H63" s="3239">
        <v>1</v>
      </c>
      <c r="I63" s="3237" t="s">
        <v>3295</v>
      </c>
      <c r="J63" s="3237" t="s">
        <v>3321</v>
      </c>
      <c r="K63" s="3401">
        <v>61.09</v>
      </c>
      <c r="L63" s="3402">
        <v>42.56</v>
      </c>
      <c r="M63" s="3239"/>
      <c r="N63" s="3239"/>
      <c r="O63" s="3394">
        <v>2.9</v>
      </c>
      <c r="P63" s="3394" t="s">
        <v>3363</v>
      </c>
      <c r="Q63" s="3394" t="s">
        <v>3482</v>
      </c>
      <c r="R63" s="3239"/>
      <c r="S63" s="3239"/>
      <c r="T63" s="3239" t="str">
        <f t="shared" si="0"/>
        <v>有</v>
      </c>
    </row>
    <row r="64" spans="1:20" hidden="1">
      <c r="A64" s="3394">
        <v>62</v>
      </c>
      <c r="B64" s="3394">
        <v>1</v>
      </c>
      <c r="C64" s="3394">
        <v>1</v>
      </c>
      <c r="D64" s="3400">
        <v>317</v>
      </c>
      <c r="E64" s="3237">
        <v>310</v>
      </c>
      <c r="F64" s="3239">
        <v>1</v>
      </c>
      <c r="G64" s="3239">
        <v>0</v>
      </c>
      <c r="H64" s="3239">
        <v>1</v>
      </c>
      <c r="I64" s="3257" t="s">
        <v>3304</v>
      </c>
      <c r="J64" s="3237" t="s">
        <v>3305</v>
      </c>
      <c r="K64" s="3401">
        <v>45.27</v>
      </c>
      <c r="L64" s="3402">
        <v>31.54</v>
      </c>
      <c r="M64" s="3239"/>
      <c r="N64" s="3239"/>
      <c r="O64" s="3394"/>
      <c r="P64" s="3394"/>
      <c r="Q64" s="3394"/>
      <c r="R64" s="3239"/>
      <c r="S64" s="3239"/>
      <c r="T64" s="3239" t="str">
        <f t="shared" si="0"/>
        <v>无</v>
      </c>
    </row>
    <row r="65" spans="1:20">
      <c r="A65" s="3394">
        <v>63</v>
      </c>
      <c r="B65" s="3394">
        <v>1</v>
      </c>
      <c r="C65" s="3394">
        <v>1</v>
      </c>
      <c r="D65" s="3400">
        <v>318</v>
      </c>
      <c r="E65" s="3237">
        <v>327</v>
      </c>
      <c r="F65" s="3239">
        <v>1</v>
      </c>
      <c r="G65" s="3239">
        <v>1</v>
      </c>
      <c r="H65" s="3239">
        <v>1</v>
      </c>
      <c r="I65" s="3237" t="s">
        <v>3295</v>
      </c>
      <c r="J65" s="3237">
        <v>50</v>
      </c>
      <c r="K65" s="3401">
        <v>57.87</v>
      </c>
      <c r="L65" s="3402">
        <v>40.32</v>
      </c>
      <c r="M65" s="3239"/>
      <c r="N65" s="3239"/>
      <c r="O65" s="3394"/>
      <c r="P65" s="3394"/>
      <c r="Q65" s="3394"/>
      <c r="R65" s="3239"/>
      <c r="S65" s="3239"/>
      <c r="T65" s="3239" t="str">
        <f t="shared" si="0"/>
        <v>有</v>
      </c>
    </row>
    <row r="66" spans="1:20" hidden="1">
      <c r="A66" s="3394">
        <v>64</v>
      </c>
      <c r="B66" s="3394">
        <v>1</v>
      </c>
      <c r="C66" s="3394">
        <v>1</v>
      </c>
      <c r="D66" s="3400">
        <v>319</v>
      </c>
      <c r="E66" s="3237">
        <v>309</v>
      </c>
      <c r="F66" s="3239">
        <v>1</v>
      </c>
      <c r="G66" s="3239">
        <v>0</v>
      </c>
      <c r="H66" s="3239">
        <v>1</v>
      </c>
      <c r="I66" s="3257" t="s">
        <v>3304</v>
      </c>
      <c r="J66" s="3237" t="s">
        <v>3305</v>
      </c>
      <c r="K66" s="3401">
        <v>45.27</v>
      </c>
      <c r="L66" s="3402">
        <v>31.54</v>
      </c>
      <c r="M66" s="3239"/>
      <c r="N66" s="3239"/>
      <c r="O66" s="3394"/>
      <c r="P66" s="3394"/>
      <c r="Q66" s="3394"/>
      <c r="R66" s="3239"/>
      <c r="S66" s="3239"/>
      <c r="T66" s="3239" t="str">
        <f t="shared" si="0"/>
        <v>无</v>
      </c>
    </row>
    <row r="67" spans="1:20">
      <c r="A67" s="3394">
        <v>65</v>
      </c>
      <c r="B67" s="3394">
        <v>1</v>
      </c>
      <c r="C67" s="3394">
        <v>1</v>
      </c>
      <c r="D67" s="3400">
        <v>320</v>
      </c>
      <c r="E67" s="3237">
        <v>328</v>
      </c>
      <c r="F67" s="3239">
        <v>1</v>
      </c>
      <c r="G67" s="3239">
        <v>1</v>
      </c>
      <c r="H67" s="3239">
        <v>1</v>
      </c>
      <c r="I67" s="3237" t="s">
        <v>3295</v>
      </c>
      <c r="J67" s="3237">
        <v>50</v>
      </c>
      <c r="K67" s="3401">
        <v>57.87</v>
      </c>
      <c r="L67" s="3402">
        <v>40.32</v>
      </c>
      <c r="M67" s="3239"/>
      <c r="N67" s="3239"/>
      <c r="O67" s="3394"/>
      <c r="P67" s="3394"/>
      <c r="Q67" s="3394"/>
      <c r="R67" s="3239"/>
      <c r="S67" s="3239"/>
      <c r="T67" s="3239" t="str">
        <f t="shared" si="0"/>
        <v>有</v>
      </c>
    </row>
    <row r="68" spans="1:20" hidden="1">
      <c r="A68" s="3394">
        <v>66</v>
      </c>
      <c r="B68" s="3394">
        <v>1</v>
      </c>
      <c r="C68" s="3394">
        <v>1</v>
      </c>
      <c r="D68" s="3400">
        <v>321</v>
      </c>
      <c r="E68" s="3237">
        <v>308</v>
      </c>
      <c r="F68" s="3239">
        <v>1</v>
      </c>
      <c r="G68" s="3239">
        <v>0</v>
      </c>
      <c r="H68" s="3239">
        <v>1</v>
      </c>
      <c r="I68" s="3257" t="s">
        <v>3304</v>
      </c>
      <c r="J68" s="3237" t="s">
        <v>3305</v>
      </c>
      <c r="K68" s="3401">
        <v>45.27</v>
      </c>
      <c r="L68" s="3402">
        <v>31.54</v>
      </c>
      <c r="M68" s="3239"/>
      <c r="N68" s="3239"/>
      <c r="O68" s="3394"/>
      <c r="P68" s="3394"/>
      <c r="Q68" s="3394"/>
      <c r="R68" s="3239"/>
      <c r="S68" s="3239"/>
      <c r="T68" s="3239" t="str">
        <f t="shared" ref="T68:T131" si="2">IF(OR(J68="无障碍宿舍",J68="无障碍宿舍-01",J68="无障碍宿舍-02",J68="40平",J68="40平-01",J68="40平-02",J68="40平-03",J68="40平-04",J68="40平-06",J68="40平-07",J68="D2"),"无","有")</f>
        <v>无</v>
      </c>
    </row>
    <row r="69" spans="1:20">
      <c r="A69" s="3394">
        <v>67</v>
      </c>
      <c r="B69" s="3394">
        <v>1</v>
      </c>
      <c r="C69" s="3394">
        <v>1</v>
      </c>
      <c r="D69" s="3400">
        <v>322</v>
      </c>
      <c r="E69" s="3237">
        <v>329</v>
      </c>
      <c r="F69" s="3239">
        <v>1</v>
      </c>
      <c r="G69" s="3239">
        <v>1</v>
      </c>
      <c r="H69" s="3239">
        <v>1</v>
      </c>
      <c r="I69" s="3237" t="s">
        <v>3295</v>
      </c>
      <c r="J69" s="3237">
        <v>50</v>
      </c>
      <c r="K69" s="3401">
        <v>57.87</v>
      </c>
      <c r="L69" s="3402">
        <v>40.32</v>
      </c>
      <c r="M69" s="3239"/>
      <c r="N69" s="3239"/>
      <c r="O69" s="3394"/>
      <c r="P69" s="3394"/>
      <c r="Q69" s="3394"/>
      <c r="R69" s="3239"/>
      <c r="S69" s="3239"/>
      <c r="T69" s="3239" t="str">
        <f t="shared" si="2"/>
        <v>有</v>
      </c>
    </row>
    <row r="70" spans="1:20" hidden="1">
      <c r="A70" s="3394">
        <v>68</v>
      </c>
      <c r="B70" s="3394">
        <v>1</v>
      </c>
      <c r="C70" s="3394">
        <v>1</v>
      </c>
      <c r="D70" s="3400">
        <v>323</v>
      </c>
      <c r="E70" s="3237">
        <v>307</v>
      </c>
      <c r="F70" s="3239">
        <v>1</v>
      </c>
      <c r="G70" s="3239">
        <v>0</v>
      </c>
      <c r="H70" s="3239">
        <v>1</v>
      </c>
      <c r="I70" s="3257" t="s">
        <v>3304</v>
      </c>
      <c r="J70" s="3237" t="s">
        <v>3305</v>
      </c>
      <c r="K70" s="3401">
        <v>45.27</v>
      </c>
      <c r="L70" s="3402">
        <v>31.54</v>
      </c>
      <c r="M70" s="3239"/>
      <c r="N70" s="3239"/>
      <c r="O70" s="3394"/>
      <c r="P70" s="3394"/>
      <c r="Q70" s="3394"/>
      <c r="R70" s="3239"/>
      <c r="S70" s="3239"/>
      <c r="T70" s="3239" t="str">
        <f t="shared" si="2"/>
        <v>无</v>
      </c>
    </row>
    <row r="71" spans="1:20" hidden="1">
      <c r="A71" s="3394">
        <v>69</v>
      </c>
      <c r="B71" s="3394">
        <v>1</v>
      </c>
      <c r="C71" s="3394">
        <v>1</v>
      </c>
      <c r="D71" s="3400">
        <v>324</v>
      </c>
      <c r="E71" s="3237">
        <v>306</v>
      </c>
      <c r="F71" s="3239">
        <v>1</v>
      </c>
      <c r="G71" s="3239">
        <v>0</v>
      </c>
      <c r="H71" s="3239">
        <v>1</v>
      </c>
      <c r="I71" s="3257" t="s">
        <v>3304</v>
      </c>
      <c r="J71" s="3237" t="s">
        <v>3305</v>
      </c>
      <c r="K71" s="3401">
        <v>45.27</v>
      </c>
      <c r="L71" s="3402">
        <v>31.54</v>
      </c>
      <c r="M71" s="3239"/>
      <c r="N71" s="3239"/>
      <c r="O71" s="3394"/>
      <c r="P71" s="3394"/>
      <c r="Q71" s="3394"/>
      <c r="R71" s="3239"/>
      <c r="S71" s="3239"/>
      <c r="T71" s="3239" t="str">
        <f t="shared" si="2"/>
        <v>无</v>
      </c>
    </row>
    <row r="72" spans="1:20">
      <c r="A72" s="3394">
        <v>70</v>
      </c>
      <c r="B72" s="3394">
        <v>1</v>
      </c>
      <c r="C72" s="3394">
        <v>1</v>
      </c>
      <c r="D72" s="3400">
        <v>325</v>
      </c>
      <c r="E72" s="3237">
        <v>330</v>
      </c>
      <c r="F72" s="3239">
        <v>1</v>
      </c>
      <c r="G72" s="3239">
        <v>1</v>
      </c>
      <c r="H72" s="3239">
        <v>1</v>
      </c>
      <c r="I72" s="3237" t="s">
        <v>3295</v>
      </c>
      <c r="J72" s="3237">
        <v>50</v>
      </c>
      <c r="K72" s="3401">
        <v>57.87</v>
      </c>
      <c r="L72" s="3402">
        <v>40.32</v>
      </c>
      <c r="M72" s="3239"/>
      <c r="N72" s="3239"/>
      <c r="O72" s="3394"/>
      <c r="P72" s="3394"/>
      <c r="Q72" s="3394"/>
      <c r="R72" s="3239"/>
      <c r="S72" s="3239"/>
      <c r="T72" s="3239" t="str">
        <f t="shared" si="2"/>
        <v>有</v>
      </c>
    </row>
    <row r="73" spans="1:20" hidden="1">
      <c r="A73" s="3394">
        <v>71</v>
      </c>
      <c r="B73" s="3394">
        <v>1</v>
      </c>
      <c r="C73" s="3394">
        <v>1</v>
      </c>
      <c r="D73" s="3400">
        <v>326</v>
      </c>
      <c r="E73" s="3237">
        <v>305</v>
      </c>
      <c r="F73" s="3239">
        <v>1</v>
      </c>
      <c r="G73" s="3239">
        <v>0</v>
      </c>
      <c r="H73" s="3239">
        <v>1</v>
      </c>
      <c r="I73" s="3257" t="s">
        <v>3304</v>
      </c>
      <c r="J73" s="3237" t="s">
        <v>3306</v>
      </c>
      <c r="K73" s="3401">
        <v>46.3</v>
      </c>
      <c r="L73" s="3402">
        <v>32.26</v>
      </c>
      <c r="M73" s="3239"/>
      <c r="N73" s="3239"/>
      <c r="O73" s="3394"/>
      <c r="P73" s="3394"/>
      <c r="Q73" s="3394"/>
      <c r="R73" s="3239"/>
      <c r="S73" s="3239"/>
      <c r="T73" s="3239" t="str">
        <f t="shared" si="2"/>
        <v>无</v>
      </c>
    </row>
    <row r="74" spans="1:20">
      <c r="A74" s="3394">
        <v>72</v>
      </c>
      <c r="B74" s="3394">
        <v>1</v>
      </c>
      <c r="C74" s="3394">
        <v>1</v>
      </c>
      <c r="D74" s="3400">
        <v>327</v>
      </c>
      <c r="E74" s="3237">
        <v>331</v>
      </c>
      <c r="F74" s="3239">
        <v>1</v>
      </c>
      <c r="G74" s="3239">
        <v>1</v>
      </c>
      <c r="H74" s="3239">
        <v>1</v>
      </c>
      <c r="I74" s="3237" t="s">
        <v>3295</v>
      </c>
      <c r="J74" s="3237">
        <v>50</v>
      </c>
      <c r="K74" s="3401">
        <v>57.87</v>
      </c>
      <c r="L74" s="3402">
        <v>40.32</v>
      </c>
      <c r="M74" s="3239"/>
      <c r="N74" s="3239"/>
      <c r="O74" s="3394"/>
      <c r="P74" s="3394"/>
      <c r="Q74" s="3394"/>
      <c r="R74" s="3239"/>
      <c r="S74" s="3239"/>
      <c r="T74" s="3239" t="str">
        <f t="shared" si="2"/>
        <v>有</v>
      </c>
    </row>
    <row r="75" spans="1:20">
      <c r="A75" s="3394">
        <v>73</v>
      </c>
      <c r="B75" s="3394">
        <v>1</v>
      </c>
      <c r="C75" s="3394">
        <v>1</v>
      </c>
      <c r="D75" s="3400">
        <v>328</v>
      </c>
      <c r="E75" s="3237">
        <v>332</v>
      </c>
      <c r="F75" s="3239">
        <v>1</v>
      </c>
      <c r="G75" s="3239">
        <v>1</v>
      </c>
      <c r="H75" s="3239">
        <v>1</v>
      </c>
      <c r="I75" s="3237" t="s">
        <v>3295</v>
      </c>
      <c r="J75" s="3237">
        <v>50</v>
      </c>
      <c r="K75" s="3401">
        <v>57.87</v>
      </c>
      <c r="L75" s="3402">
        <v>40.32</v>
      </c>
      <c r="M75" s="3239"/>
      <c r="N75" s="3239"/>
      <c r="O75" s="3394"/>
      <c r="P75" s="3394"/>
      <c r="Q75" s="3394"/>
      <c r="R75" s="3239"/>
      <c r="S75" s="3239"/>
      <c r="T75" s="3239" t="str">
        <f t="shared" si="2"/>
        <v>有</v>
      </c>
    </row>
    <row r="76" spans="1:20">
      <c r="A76" s="3394">
        <v>74</v>
      </c>
      <c r="B76" s="3394">
        <v>1</v>
      </c>
      <c r="C76" s="3394">
        <v>1</v>
      </c>
      <c r="D76" s="3400">
        <v>329</v>
      </c>
      <c r="E76" s="3237">
        <v>333</v>
      </c>
      <c r="F76" s="3239">
        <v>1</v>
      </c>
      <c r="G76" s="3239">
        <v>1</v>
      </c>
      <c r="H76" s="3239">
        <v>1</v>
      </c>
      <c r="I76" s="3237" t="s">
        <v>3295</v>
      </c>
      <c r="J76" s="3237">
        <v>50</v>
      </c>
      <c r="K76" s="3401">
        <v>57.87</v>
      </c>
      <c r="L76" s="3402">
        <v>40.32</v>
      </c>
      <c r="M76" s="3239"/>
      <c r="N76" s="3239"/>
      <c r="O76" s="3394"/>
      <c r="P76" s="3394"/>
      <c r="Q76" s="3394"/>
      <c r="R76" s="3239"/>
      <c r="S76" s="3239"/>
      <c r="T76" s="3239" t="str">
        <f t="shared" si="2"/>
        <v>有</v>
      </c>
    </row>
    <row r="77" spans="1:20">
      <c r="A77" s="3394">
        <v>75</v>
      </c>
      <c r="B77" s="3394">
        <v>1</v>
      </c>
      <c r="C77" s="3394">
        <v>1</v>
      </c>
      <c r="D77" s="3400">
        <v>330</v>
      </c>
      <c r="E77" s="3237">
        <v>334</v>
      </c>
      <c r="F77" s="3239">
        <v>1</v>
      </c>
      <c r="G77" s="3239">
        <v>1</v>
      </c>
      <c r="H77" s="3239">
        <v>1</v>
      </c>
      <c r="I77" s="3237" t="s">
        <v>3295</v>
      </c>
      <c r="J77" s="3237">
        <v>50</v>
      </c>
      <c r="K77" s="3401">
        <v>57.87</v>
      </c>
      <c r="L77" s="3402">
        <v>40.32</v>
      </c>
      <c r="M77" s="3239"/>
      <c r="N77" s="3239"/>
      <c r="O77" s="3394"/>
      <c r="P77" s="3394"/>
      <c r="Q77" s="3394"/>
      <c r="R77" s="3239"/>
      <c r="S77" s="3239"/>
      <c r="T77" s="3239" t="str">
        <f t="shared" si="2"/>
        <v>有</v>
      </c>
    </row>
    <row r="78" spans="1:20" hidden="1">
      <c r="A78" s="3394">
        <v>76</v>
      </c>
      <c r="B78" s="3394">
        <v>1</v>
      </c>
      <c r="C78" s="3394">
        <v>1</v>
      </c>
      <c r="D78" s="3400">
        <v>331</v>
      </c>
      <c r="E78" s="3237">
        <v>304</v>
      </c>
      <c r="F78" s="3239">
        <v>1</v>
      </c>
      <c r="G78" s="3239">
        <v>0</v>
      </c>
      <c r="H78" s="3239">
        <v>1</v>
      </c>
      <c r="I78" s="3257" t="s">
        <v>3304</v>
      </c>
      <c r="J78" s="3237" t="s">
        <v>3306</v>
      </c>
      <c r="K78" s="3401">
        <v>46.3</v>
      </c>
      <c r="L78" s="3402">
        <v>32.26</v>
      </c>
      <c r="M78" s="3239"/>
      <c r="N78" s="3239"/>
      <c r="O78" s="3394"/>
      <c r="P78" s="3394"/>
      <c r="Q78" s="3394"/>
      <c r="R78" s="3239"/>
      <c r="S78" s="3239"/>
      <c r="T78" s="3239" t="str">
        <f t="shared" si="2"/>
        <v>无</v>
      </c>
    </row>
    <row r="79" spans="1:20">
      <c r="A79" s="3394">
        <v>77</v>
      </c>
      <c r="B79" s="3394">
        <v>1</v>
      </c>
      <c r="C79" s="3394">
        <v>1</v>
      </c>
      <c r="D79" s="3400">
        <v>332</v>
      </c>
      <c r="E79" s="3237">
        <v>335</v>
      </c>
      <c r="F79" s="3239">
        <v>1</v>
      </c>
      <c r="G79" s="3239">
        <v>1</v>
      </c>
      <c r="H79" s="3239">
        <v>1</v>
      </c>
      <c r="I79" s="3237" t="s">
        <v>3295</v>
      </c>
      <c r="J79" s="3237">
        <v>50</v>
      </c>
      <c r="K79" s="3401">
        <v>57.87</v>
      </c>
      <c r="L79" s="3402">
        <v>40.32</v>
      </c>
      <c r="M79" s="3239"/>
      <c r="N79" s="3239"/>
      <c r="O79" s="3394"/>
      <c r="P79" s="3394"/>
      <c r="Q79" s="3394"/>
      <c r="R79" s="3239"/>
      <c r="S79" s="3239"/>
      <c r="T79" s="3239" t="str">
        <f t="shared" si="2"/>
        <v>有</v>
      </c>
    </row>
    <row r="80" spans="1:20" hidden="1">
      <c r="A80" s="3394">
        <v>78</v>
      </c>
      <c r="B80" s="3394">
        <v>1</v>
      </c>
      <c r="C80" s="3394">
        <v>1</v>
      </c>
      <c r="D80" s="3400">
        <v>333</v>
      </c>
      <c r="E80" s="3237">
        <v>303</v>
      </c>
      <c r="F80" s="3239">
        <v>1</v>
      </c>
      <c r="G80" s="3239">
        <v>0</v>
      </c>
      <c r="H80" s="3239">
        <v>1</v>
      </c>
      <c r="I80" s="3257" t="s">
        <v>3304</v>
      </c>
      <c r="J80" s="3237" t="s">
        <v>3305</v>
      </c>
      <c r="K80" s="3401">
        <v>45.27</v>
      </c>
      <c r="L80" s="3402">
        <v>31.54</v>
      </c>
      <c r="M80" s="3239"/>
      <c r="N80" s="3239"/>
      <c r="O80" s="3394"/>
      <c r="P80" s="3394"/>
      <c r="Q80" s="3394"/>
      <c r="R80" s="3239"/>
      <c r="S80" s="3239"/>
      <c r="T80" s="3239" t="str">
        <f t="shared" si="2"/>
        <v>无</v>
      </c>
    </row>
    <row r="81" spans="1:20" hidden="1">
      <c r="A81" s="3394">
        <v>79</v>
      </c>
      <c r="B81" s="3394">
        <v>1</v>
      </c>
      <c r="C81" s="3394">
        <v>1</v>
      </c>
      <c r="D81" s="3400">
        <v>334</v>
      </c>
      <c r="E81" s="3237">
        <v>302</v>
      </c>
      <c r="F81" s="3239">
        <v>1</v>
      </c>
      <c r="G81" s="3239">
        <v>0</v>
      </c>
      <c r="H81" s="3239">
        <v>1</v>
      </c>
      <c r="I81" s="3257" t="s">
        <v>3304</v>
      </c>
      <c r="J81" s="3237" t="s">
        <v>3305</v>
      </c>
      <c r="K81" s="3401">
        <v>45.27</v>
      </c>
      <c r="L81" s="3402">
        <v>31.54</v>
      </c>
      <c r="M81" s="3239"/>
      <c r="N81" s="3239"/>
      <c r="O81" s="3394"/>
      <c r="P81" s="3394"/>
      <c r="Q81" s="3394"/>
      <c r="R81" s="3239"/>
      <c r="S81" s="3239"/>
      <c r="T81" s="3239" t="str">
        <f t="shared" si="2"/>
        <v>无</v>
      </c>
    </row>
    <row r="82" spans="1:20">
      <c r="A82" s="3394">
        <v>80</v>
      </c>
      <c r="B82" s="3394">
        <v>1</v>
      </c>
      <c r="C82" s="3394">
        <v>1</v>
      </c>
      <c r="D82" s="3400">
        <v>335</v>
      </c>
      <c r="E82" s="3237">
        <v>336</v>
      </c>
      <c r="F82" s="3239">
        <v>1</v>
      </c>
      <c r="G82" s="3239">
        <v>1</v>
      </c>
      <c r="H82" s="3239">
        <v>1</v>
      </c>
      <c r="I82" s="3237" t="s">
        <v>3295</v>
      </c>
      <c r="J82" s="3237">
        <v>50</v>
      </c>
      <c r="K82" s="3401">
        <v>57.87</v>
      </c>
      <c r="L82" s="3402">
        <v>40.32</v>
      </c>
      <c r="M82" s="3239"/>
      <c r="N82" s="3239"/>
      <c r="O82" s="3394"/>
      <c r="P82" s="3394"/>
      <c r="Q82" s="3394"/>
      <c r="R82" s="3239"/>
      <c r="S82" s="3239"/>
      <c r="T82" s="3239" t="str">
        <f t="shared" si="2"/>
        <v>有</v>
      </c>
    </row>
    <row r="83" spans="1:20" hidden="1">
      <c r="A83" s="3394">
        <v>81</v>
      </c>
      <c r="B83" s="3394">
        <v>1</v>
      </c>
      <c r="C83" s="3394">
        <v>1</v>
      </c>
      <c r="D83" s="3400">
        <v>336</v>
      </c>
      <c r="E83" s="3237">
        <v>337</v>
      </c>
      <c r="F83" s="3239">
        <v>1</v>
      </c>
      <c r="G83" s="3239">
        <v>0</v>
      </c>
      <c r="H83" s="3239">
        <v>1</v>
      </c>
      <c r="I83" s="3237" t="s">
        <v>3295</v>
      </c>
      <c r="J83" s="3257" t="s">
        <v>3322</v>
      </c>
      <c r="K83" s="3401">
        <v>49.52</v>
      </c>
      <c r="L83" s="3402">
        <v>34.5</v>
      </c>
      <c r="M83" s="3239"/>
      <c r="N83" s="3239"/>
      <c r="O83" s="3394"/>
      <c r="P83" s="3394"/>
      <c r="Q83" s="3394"/>
      <c r="R83" s="3239"/>
      <c r="S83" s="3239"/>
      <c r="T83" s="3239" t="str">
        <f t="shared" si="2"/>
        <v>无</v>
      </c>
    </row>
    <row r="84" spans="1:20">
      <c r="A84" s="3394">
        <v>82</v>
      </c>
      <c r="B84" s="3394">
        <v>1</v>
      </c>
      <c r="C84" s="3394">
        <v>1</v>
      </c>
      <c r="D84" s="3400">
        <v>337</v>
      </c>
      <c r="E84" s="3237">
        <v>301</v>
      </c>
      <c r="F84" s="3239">
        <v>1</v>
      </c>
      <c r="G84" s="3239">
        <v>1</v>
      </c>
      <c r="H84" s="3239">
        <v>1</v>
      </c>
      <c r="I84" s="3237" t="s">
        <v>3302</v>
      </c>
      <c r="J84" s="3237" t="s">
        <v>3303</v>
      </c>
      <c r="K84" s="3401">
        <v>58.16</v>
      </c>
      <c r="L84" s="3402">
        <v>40.520000000000003</v>
      </c>
      <c r="M84" s="3239"/>
      <c r="N84" s="3239"/>
      <c r="O84" s="3394"/>
      <c r="P84" s="3395"/>
      <c r="Q84" s="3395"/>
      <c r="R84" s="3239"/>
      <c r="S84" s="3239"/>
      <c r="T84" s="3239" t="str">
        <f t="shared" si="2"/>
        <v>有</v>
      </c>
    </row>
    <row r="85" spans="1:20" hidden="1">
      <c r="A85" s="3394">
        <v>83</v>
      </c>
      <c r="B85" s="3394">
        <v>1</v>
      </c>
      <c r="C85" s="3394">
        <v>1</v>
      </c>
      <c r="D85" s="3400">
        <v>338</v>
      </c>
      <c r="E85" s="3237">
        <v>339</v>
      </c>
      <c r="F85" s="3239">
        <v>1</v>
      </c>
      <c r="G85" s="3239">
        <v>0</v>
      </c>
      <c r="H85" s="3239">
        <v>1</v>
      </c>
      <c r="I85" s="3237" t="s">
        <v>3300</v>
      </c>
      <c r="J85" s="3237" t="s">
        <v>3323</v>
      </c>
      <c r="K85" s="3401">
        <v>46.53</v>
      </c>
      <c r="L85" s="3402">
        <v>32.42</v>
      </c>
      <c r="M85" s="3239"/>
      <c r="N85" s="3239"/>
      <c r="O85" s="3394"/>
      <c r="P85" s="3394"/>
      <c r="Q85" s="3394"/>
      <c r="R85" s="3239"/>
      <c r="S85" s="3239"/>
      <c r="T85" s="3239" t="str">
        <f t="shared" si="2"/>
        <v>无</v>
      </c>
    </row>
    <row r="86" spans="1:20" hidden="1">
      <c r="A86" s="3394">
        <v>84</v>
      </c>
      <c r="B86" s="3394">
        <v>1</v>
      </c>
      <c r="C86" s="3394">
        <v>1</v>
      </c>
      <c r="D86" s="3400">
        <v>339</v>
      </c>
      <c r="E86" s="3237">
        <v>338</v>
      </c>
      <c r="F86" s="3239">
        <v>1</v>
      </c>
      <c r="G86" s="3239">
        <v>0</v>
      </c>
      <c r="H86" s="3239">
        <v>1</v>
      </c>
      <c r="I86" s="3237" t="s">
        <v>3295</v>
      </c>
      <c r="J86" s="3237" t="s">
        <v>3500</v>
      </c>
      <c r="K86" s="3401">
        <v>50.61</v>
      </c>
      <c r="L86" s="3402">
        <v>35.26</v>
      </c>
      <c r="M86" s="3239"/>
      <c r="N86" s="3239"/>
      <c r="O86" s="3394"/>
      <c r="P86" s="3394"/>
      <c r="Q86" s="3394"/>
      <c r="R86" s="3239"/>
      <c r="S86" s="3239"/>
      <c r="T86" s="3239" t="str">
        <f t="shared" si="2"/>
        <v>无</v>
      </c>
    </row>
    <row r="87" spans="1:20">
      <c r="A87" s="3394">
        <v>85</v>
      </c>
      <c r="B87" s="3394">
        <v>1</v>
      </c>
      <c r="C87" s="3394">
        <v>1</v>
      </c>
      <c r="D87" s="3400">
        <v>401</v>
      </c>
      <c r="E87" s="3237">
        <v>416</v>
      </c>
      <c r="F87" s="3239">
        <v>1</v>
      </c>
      <c r="G87" s="3239">
        <v>1</v>
      </c>
      <c r="H87" s="3239">
        <v>1</v>
      </c>
      <c r="I87" s="3257" t="s">
        <v>3312</v>
      </c>
      <c r="J87" s="3237" t="s">
        <v>3314</v>
      </c>
      <c r="K87" s="3401">
        <v>57.37</v>
      </c>
      <c r="L87" s="3402">
        <v>39.97</v>
      </c>
      <c r="M87" s="3239"/>
      <c r="N87" s="3239"/>
      <c r="O87" s="3394"/>
      <c r="P87" s="3394"/>
      <c r="Q87" s="3394"/>
      <c r="R87" s="3239"/>
      <c r="S87" s="3239"/>
      <c r="T87" s="3239" t="str">
        <f t="shared" si="2"/>
        <v>有</v>
      </c>
    </row>
    <row r="88" spans="1:20">
      <c r="A88" s="3394">
        <v>86</v>
      </c>
      <c r="B88" s="3394">
        <v>1</v>
      </c>
      <c r="C88" s="3394">
        <v>1</v>
      </c>
      <c r="D88" s="3400">
        <v>402</v>
      </c>
      <c r="E88" s="3237">
        <v>417</v>
      </c>
      <c r="F88" s="3239">
        <v>1</v>
      </c>
      <c r="G88" s="3239">
        <v>1</v>
      </c>
      <c r="H88" s="3239">
        <v>1</v>
      </c>
      <c r="I88" s="3257" t="s">
        <v>3312</v>
      </c>
      <c r="J88" s="3237">
        <v>50</v>
      </c>
      <c r="K88" s="3401">
        <v>57.87</v>
      </c>
      <c r="L88" s="3402">
        <v>40.32</v>
      </c>
      <c r="M88" s="3239"/>
      <c r="N88" s="3239"/>
      <c r="O88" s="3394"/>
      <c r="P88" s="3394"/>
      <c r="Q88" s="3394"/>
      <c r="R88" s="3239"/>
      <c r="S88" s="3239"/>
      <c r="T88" s="3239" t="str">
        <f t="shared" si="2"/>
        <v>有</v>
      </c>
    </row>
    <row r="89" spans="1:20">
      <c r="A89" s="3394">
        <v>87</v>
      </c>
      <c r="B89" s="3394">
        <v>1</v>
      </c>
      <c r="C89" s="3394">
        <v>1</v>
      </c>
      <c r="D89" s="3400">
        <v>403</v>
      </c>
      <c r="E89" s="3237">
        <v>418</v>
      </c>
      <c r="F89" s="3239">
        <v>1</v>
      </c>
      <c r="G89" s="3239">
        <v>1</v>
      </c>
      <c r="H89" s="3239">
        <v>1</v>
      </c>
      <c r="I89" s="3257" t="s">
        <v>3312</v>
      </c>
      <c r="J89" s="3237">
        <v>50</v>
      </c>
      <c r="K89" s="3401">
        <v>57.87</v>
      </c>
      <c r="L89" s="3402">
        <v>40.32</v>
      </c>
      <c r="M89" s="3239"/>
      <c r="N89" s="3239"/>
      <c r="O89" s="3394"/>
      <c r="P89" s="3394"/>
      <c r="Q89" s="3394"/>
      <c r="R89" s="3239"/>
      <c r="S89" s="3239"/>
      <c r="T89" s="3239" t="str">
        <f t="shared" si="2"/>
        <v>有</v>
      </c>
    </row>
    <row r="90" spans="1:20">
      <c r="A90" s="3394">
        <v>88</v>
      </c>
      <c r="B90" s="3394">
        <v>1</v>
      </c>
      <c r="C90" s="3394">
        <v>1</v>
      </c>
      <c r="D90" s="3400">
        <v>404</v>
      </c>
      <c r="E90" s="3237">
        <v>419</v>
      </c>
      <c r="F90" s="3239">
        <v>1</v>
      </c>
      <c r="G90" s="3239">
        <v>1</v>
      </c>
      <c r="H90" s="3239">
        <v>1</v>
      </c>
      <c r="I90" s="3257" t="s">
        <v>3312</v>
      </c>
      <c r="J90" s="3237" t="s">
        <v>3308</v>
      </c>
      <c r="K90" s="3401">
        <v>57.23</v>
      </c>
      <c r="L90" s="3402">
        <v>39.869999999999997</v>
      </c>
      <c r="M90" s="3239"/>
      <c r="N90" s="3239"/>
      <c r="O90" s="3394"/>
      <c r="P90" s="3394"/>
      <c r="Q90" s="3394"/>
      <c r="R90" s="3239"/>
      <c r="S90" s="3239"/>
      <c r="T90" s="3239" t="str">
        <f t="shared" si="2"/>
        <v>有</v>
      </c>
    </row>
    <row r="91" spans="1:20">
      <c r="A91" s="3394">
        <v>89</v>
      </c>
      <c r="B91" s="3394">
        <v>1</v>
      </c>
      <c r="C91" s="3394">
        <v>1</v>
      </c>
      <c r="D91" s="3400">
        <v>405</v>
      </c>
      <c r="E91" s="3237">
        <v>420</v>
      </c>
      <c r="F91" s="3239">
        <v>1</v>
      </c>
      <c r="G91" s="3239">
        <v>1</v>
      </c>
      <c r="H91" s="3239">
        <v>1</v>
      </c>
      <c r="I91" s="3257" t="s">
        <v>3312</v>
      </c>
      <c r="J91" s="3257" t="s">
        <v>3315</v>
      </c>
      <c r="K91" s="3401">
        <v>59.16</v>
      </c>
      <c r="L91" s="3402">
        <v>41.22</v>
      </c>
      <c r="M91" s="3239"/>
      <c r="N91" s="3239"/>
      <c r="O91" s="3394"/>
      <c r="P91" s="3394"/>
      <c r="Q91" s="3394"/>
      <c r="R91" s="3239"/>
      <c r="S91" s="3239"/>
      <c r="T91" s="3239" t="str">
        <f t="shared" si="2"/>
        <v>有</v>
      </c>
    </row>
    <row r="92" spans="1:20">
      <c r="A92" s="3394">
        <v>90</v>
      </c>
      <c r="B92" s="3394">
        <v>1</v>
      </c>
      <c r="C92" s="3394">
        <v>1</v>
      </c>
      <c r="D92" s="3400">
        <v>406</v>
      </c>
      <c r="E92" s="3237">
        <v>421</v>
      </c>
      <c r="F92" s="3239">
        <v>4</v>
      </c>
      <c r="G92" s="3239">
        <v>1</v>
      </c>
      <c r="H92" s="3239">
        <v>1</v>
      </c>
      <c r="I92" s="3237" t="s">
        <v>3316</v>
      </c>
      <c r="J92" s="3237" t="s">
        <v>3317</v>
      </c>
      <c r="K92" s="3401">
        <v>108.7</v>
      </c>
      <c r="L92" s="3402">
        <v>75.73</v>
      </c>
      <c r="M92" s="3239"/>
      <c r="N92" s="3239"/>
      <c r="O92" s="3394"/>
      <c r="P92" s="3394"/>
      <c r="Q92" s="3394"/>
      <c r="R92" s="3239"/>
      <c r="S92" s="3239"/>
      <c r="T92" s="3239" t="str">
        <f t="shared" si="2"/>
        <v>有</v>
      </c>
    </row>
    <row r="93" spans="1:20">
      <c r="A93" s="3394">
        <v>91</v>
      </c>
      <c r="B93" s="3394">
        <v>1</v>
      </c>
      <c r="C93" s="3394">
        <v>1</v>
      </c>
      <c r="D93" s="3400">
        <v>407</v>
      </c>
      <c r="E93" s="3237">
        <v>414</v>
      </c>
      <c r="F93" s="3239">
        <v>1</v>
      </c>
      <c r="G93" s="3239">
        <v>1</v>
      </c>
      <c r="H93" s="3239">
        <v>1</v>
      </c>
      <c r="I93" s="3237" t="s">
        <v>3310</v>
      </c>
      <c r="J93" s="3237" t="s">
        <v>3311</v>
      </c>
      <c r="K93" s="3401">
        <v>55.32</v>
      </c>
      <c r="L93" s="3402">
        <v>38.54</v>
      </c>
      <c r="M93" s="3239"/>
      <c r="N93" s="3239"/>
      <c r="O93" s="3394"/>
      <c r="P93" s="3394"/>
      <c r="Q93" s="3394"/>
      <c r="R93" s="3239"/>
      <c r="S93" s="3239"/>
      <c r="T93" s="3239" t="str">
        <f t="shared" si="2"/>
        <v>有</v>
      </c>
    </row>
    <row r="94" spans="1:20">
      <c r="A94" s="3394">
        <v>92</v>
      </c>
      <c r="B94" s="3394">
        <v>1</v>
      </c>
      <c r="C94" s="3394">
        <v>1</v>
      </c>
      <c r="D94" s="3400">
        <v>408</v>
      </c>
      <c r="E94" s="3237">
        <v>415</v>
      </c>
      <c r="F94" s="3239">
        <v>2</v>
      </c>
      <c r="G94" s="3239">
        <v>1</v>
      </c>
      <c r="H94" s="3239">
        <v>1</v>
      </c>
      <c r="I94" s="3257" t="s">
        <v>3312</v>
      </c>
      <c r="J94" s="3237" t="s">
        <v>3313</v>
      </c>
      <c r="K94" s="3401">
        <v>96.55</v>
      </c>
      <c r="L94" s="3402">
        <v>67.27</v>
      </c>
      <c r="M94" s="3239"/>
      <c r="N94" s="3239"/>
      <c r="O94" s="3394"/>
      <c r="P94" s="3394"/>
      <c r="Q94" s="3394"/>
      <c r="R94" s="3239"/>
      <c r="S94" s="3239"/>
      <c r="T94" s="3239" t="str">
        <f t="shared" si="2"/>
        <v>有</v>
      </c>
    </row>
    <row r="95" spans="1:20">
      <c r="A95" s="3394">
        <v>93</v>
      </c>
      <c r="B95" s="3394">
        <v>1</v>
      </c>
      <c r="C95" s="3394">
        <v>1</v>
      </c>
      <c r="D95" s="3400">
        <v>409</v>
      </c>
      <c r="E95" s="3237">
        <v>413</v>
      </c>
      <c r="F95" s="3239">
        <v>1</v>
      </c>
      <c r="G95" s="3239">
        <v>1</v>
      </c>
      <c r="H95" s="3239">
        <v>1</v>
      </c>
      <c r="I95" s="3257" t="s">
        <v>3304</v>
      </c>
      <c r="J95" s="3257" t="s">
        <v>3309</v>
      </c>
      <c r="K95" s="3401">
        <v>57.35</v>
      </c>
      <c r="L95" s="3402">
        <v>39.96</v>
      </c>
      <c r="M95" s="3239"/>
      <c r="N95" s="3239"/>
      <c r="O95" s="3394"/>
      <c r="P95" s="3394"/>
      <c r="Q95" s="3394"/>
      <c r="R95" s="3239"/>
      <c r="S95" s="3239"/>
      <c r="T95" s="3239" t="str">
        <f t="shared" si="2"/>
        <v>有</v>
      </c>
    </row>
    <row r="96" spans="1:20">
      <c r="A96" s="3394">
        <v>94</v>
      </c>
      <c r="B96" s="3394">
        <v>1</v>
      </c>
      <c r="C96" s="3394">
        <v>1</v>
      </c>
      <c r="D96" s="3400">
        <v>410</v>
      </c>
      <c r="E96" s="3237">
        <v>422</v>
      </c>
      <c r="F96" s="3239">
        <v>4</v>
      </c>
      <c r="G96" s="3239">
        <v>1</v>
      </c>
      <c r="H96" s="3239">
        <v>1</v>
      </c>
      <c r="I96" s="3237" t="s">
        <v>3318</v>
      </c>
      <c r="J96" s="3237" t="s">
        <v>3319</v>
      </c>
      <c r="K96" s="3401">
        <v>108.7</v>
      </c>
      <c r="L96" s="3402">
        <v>75.73</v>
      </c>
      <c r="M96" s="3239"/>
      <c r="N96" s="3239"/>
      <c r="O96" s="3394"/>
      <c r="P96" s="3394"/>
      <c r="Q96" s="3394"/>
      <c r="R96" s="3239"/>
      <c r="S96" s="3239"/>
      <c r="T96" s="3239" t="str">
        <f t="shared" si="2"/>
        <v>有</v>
      </c>
    </row>
    <row r="97" spans="1:20">
      <c r="A97" s="3394">
        <v>95</v>
      </c>
      <c r="B97" s="3394">
        <v>1</v>
      </c>
      <c r="C97" s="3394">
        <v>1</v>
      </c>
      <c r="D97" s="3400">
        <v>411</v>
      </c>
      <c r="E97" s="3237">
        <v>424</v>
      </c>
      <c r="F97" s="3239">
        <v>1</v>
      </c>
      <c r="G97" s="3239">
        <v>1</v>
      </c>
      <c r="H97" s="3239">
        <v>1</v>
      </c>
      <c r="I97" s="3237" t="s">
        <v>3300</v>
      </c>
      <c r="J97" s="3237">
        <v>50</v>
      </c>
      <c r="K97" s="3401">
        <v>57.87</v>
      </c>
      <c r="L97" s="3402">
        <v>40.32</v>
      </c>
      <c r="M97" s="3239"/>
      <c r="N97" s="3239"/>
      <c r="O97" s="3394"/>
      <c r="P97" s="3394"/>
      <c r="Q97" s="3394"/>
      <c r="R97" s="3239"/>
      <c r="S97" s="3239"/>
      <c r="T97" s="3239" t="str">
        <f t="shared" si="2"/>
        <v>有</v>
      </c>
    </row>
    <row r="98" spans="1:20">
      <c r="A98" s="3394">
        <v>96</v>
      </c>
      <c r="B98" s="3394">
        <v>1</v>
      </c>
      <c r="C98" s="3394">
        <v>1</v>
      </c>
      <c r="D98" s="3400">
        <v>412</v>
      </c>
      <c r="E98" s="3237">
        <v>423</v>
      </c>
      <c r="F98" s="3239">
        <v>1</v>
      </c>
      <c r="G98" s="3239">
        <v>1</v>
      </c>
      <c r="H98" s="3239">
        <v>1</v>
      </c>
      <c r="I98" s="3237" t="s">
        <v>3300</v>
      </c>
      <c r="J98" s="3237" t="s">
        <v>3308</v>
      </c>
      <c r="K98" s="3401">
        <v>57.23</v>
      </c>
      <c r="L98" s="3402">
        <v>39.869999999999997</v>
      </c>
      <c r="M98" s="3239"/>
      <c r="N98" s="3239"/>
      <c r="O98" s="3394"/>
      <c r="P98" s="3394"/>
      <c r="Q98" s="3394"/>
      <c r="R98" s="3239"/>
      <c r="S98" s="3239"/>
      <c r="T98" s="3239" t="str">
        <f t="shared" si="2"/>
        <v>有</v>
      </c>
    </row>
    <row r="99" spans="1:20">
      <c r="A99" s="3394">
        <v>97</v>
      </c>
      <c r="B99" s="3394">
        <v>1</v>
      </c>
      <c r="C99" s="3394">
        <v>1</v>
      </c>
      <c r="D99" s="3400">
        <v>413</v>
      </c>
      <c r="E99" s="3237">
        <v>425</v>
      </c>
      <c r="F99" s="3239">
        <v>1</v>
      </c>
      <c r="G99" s="3239">
        <v>1</v>
      </c>
      <c r="H99" s="3239">
        <v>1</v>
      </c>
      <c r="I99" s="3237" t="s">
        <v>3300</v>
      </c>
      <c r="J99" s="3237" t="s">
        <v>3320</v>
      </c>
      <c r="K99" s="3401">
        <v>58.02</v>
      </c>
      <c r="L99" s="3402">
        <v>40.42</v>
      </c>
      <c r="M99" s="3239"/>
      <c r="N99" s="3239"/>
      <c r="O99" s="3394"/>
      <c r="P99" s="3394"/>
      <c r="Q99" s="3394"/>
      <c r="R99" s="3239"/>
      <c r="S99" s="3239"/>
      <c r="T99" s="3239" t="str">
        <f t="shared" si="2"/>
        <v>有</v>
      </c>
    </row>
    <row r="100" spans="1:20">
      <c r="A100" s="3394">
        <v>98</v>
      </c>
      <c r="B100" s="3394">
        <v>1</v>
      </c>
      <c r="C100" s="3394">
        <v>1</v>
      </c>
      <c r="D100" s="3400">
        <v>414</v>
      </c>
      <c r="E100" s="3237">
        <v>412</v>
      </c>
      <c r="F100" s="3239">
        <v>1</v>
      </c>
      <c r="G100" s="3239">
        <v>1</v>
      </c>
      <c r="H100" s="3239">
        <v>1</v>
      </c>
      <c r="I100" s="3257" t="s">
        <v>3304</v>
      </c>
      <c r="J100" s="3237" t="s">
        <v>3308</v>
      </c>
      <c r="K100" s="3401">
        <v>57.23</v>
      </c>
      <c r="L100" s="3402">
        <v>39.869999999999997</v>
      </c>
      <c r="M100" s="3239"/>
      <c r="N100" s="3239"/>
      <c r="O100" s="3394"/>
      <c r="P100" s="3394"/>
      <c r="Q100" s="3394"/>
      <c r="R100" s="3239"/>
      <c r="S100" s="3239"/>
      <c r="T100" s="3239" t="str">
        <f t="shared" si="2"/>
        <v>有</v>
      </c>
    </row>
    <row r="101" spans="1:20" hidden="1">
      <c r="A101" s="3394">
        <v>99</v>
      </c>
      <c r="B101" s="3394">
        <v>1</v>
      </c>
      <c r="C101" s="3394">
        <v>1</v>
      </c>
      <c r="D101" s="3400">
        <v>415</v>
      </c>
      <c r="E101" s="3237">
        <v>411</v>
      </c>
      <c r="F101" s="3239">
        <v>1</v>
      </c>
      <c r="G101" s="3239">
        <v>0</v>
      </c>
      <c r="H101" s="3239">
        <v>1</v>
      </c>
      <c r="I101" s="3257" t="s">
        <v>3304</v>
      </c>
      <c r="J101" s="3237" t="s">
        <v>3307</v>
      </c>
      <c r="K101" s="3401">
        <v>45.9</v>
      </c>
      <c r="L101" s="3402">
        <v>31.98</v>
      </c>
      <c r="M101" s="3239"/>
      <c r="N101" s="3239"/>
      <c r="O101" s="3394"/>
      <c r="P101" s="3394"/>
      <c r="Q101" s="3394"/>
      <c r="R101" s="3239"/>
      <c r="S101" s="3239"/>
      <c r="T101" s="3239" t="str">
        <f t="shared" si="2"/>
        <v>无</v>
      </c>
    </row>
    <row r="102" spans="1:20">
      <c r="A102" s="3394">
        <v>100</v>
      </c>
      <c r="B102" s="3394">
        <v>1</v>
      </c>
      <c r="C102" s="3394">
        <v>1</v>
      </c>
      <c r="D102" s="3400">
        <v>416</v>
      </c>
      <c r="E102" s="3237">
        <v>426</v>
      </c>
      <c r="F102" s="3239">
        <v>1</v>
      </c>
      <c r="G102" s="3239">
        <v>1</v>
      </c>
      <c r="H102" s="3239">
        <v>1</v>
      </c>
      <c r="I102" s="3237" t="s">
        <v>3295</v>
      </c>
      <c r="J102" s="3237" t="s">
        <v>3321</v>
      </c>
      <c r="K102" s="3401">
        <v>61.09</v>
      </c>
      <c r="L102" s="3402">
        <v>42.56</v>
      </c>
      <c r="M102" s="3239"/>
      <c r="N102" s="3239"/>
      <c r="O102" s="3394">
        <v>2.9</v>
      </c>
      <c r="P102" s="3394" t="s">
        <v>3363</v>
      </c>
      <c r="Q102" s="3394" t="s">
        <v>3482</v>
      </c>
      <c r="R102" s="3239"/>
      <c r="S102" s="3239"/>
      <c r="T102" s="3239" t="str">
        <f t="shared" si="2"/>
        <v>有</v>
      </c>
    </row>
    <row r="103" spans="1:20" hidden="1">
      <c r="A103" s="3394">
        <v>101</v>
      </c>
      <c r="B103" s="3394">
        <v>1</v>
      </c>
      <c r="C103" s="3394">
        <v>1</v>
      </c>
      <c r="D103" s="3400">
        <v>417</v>
      </c>
      <c r="E103" s="3237">
        <v>410</v>
      </c>
      <c r="F103" s="3239">
        <v>1</v>
      </c>
      <c r="G103" s="3239">
        <v>0</v>
      </c>
      <c r="H103" s="3239">
        <v>1</v>
      </c>
      <c r="I103" s="3257" t="s">
        <v>3304</v>
      </c>
      <c r="J103" s="3237" t="s">
        <v>3305</v>
      </c>
      <c r="K103" s="3401">
        <v>45.27</v>
      </c>
      <c r="L103" s="3402">
        <v>31.54</v>
      </c>
      <c r="M103" s="3239"/>
      <c r="N103" s="3239"/>
      <c r="O103" s="3394"/>
      <c r="P103" s="3394"/>
      <c r="Q103" s="3394"/>
      <c r="R103" s="3239"/>
      <c r="S103" s="3239"/>
      <c r="T103" s="3239" t="str">
        <f t="shared" si="2"/>
        <v>无</v>
      </c>
    </row>
    <row r="104" spans="1:20">
      <c r="A104" s="3394">
        <v>102</v>
      </c>
      <c r="B104" s="3394">
        <v>1</v>
      </c>
      <c r="C104" s="3394">
        <v>1</v>
      </c>
      <c r="D104" s="3400">
        <v>418</v>
      </c>
      <c r="E104" s="3237">
        <v>427</v>
      </c>
      <c r="F104" s="3239">
        <v>1</v>
      </c>
      <c r="G104" s="3239">
        <v>1</v>
      </c>
      <c r="H104" s="3239">
        <v>1</v>
      </c>
      <c r="I104" s="3237" t="s">
        <v>3295</v>
      </c>
      <c r="J104" s="3237">
        <v>50</v>
      </c>
      <c r="K104" s="3401">
        <v>57.87</v>
      </c>
      <c r="L104" s="3402">
        <v>40.32</v>
      </c>
      <c r="M104" s="3239"/>
      <c r="N104" s="3239"/>
      <c r="O104" s="3394"/>
      <c r="P104" s="3394"/>
      <c r="Q104" s="3394"/>
      <c r="R104" s="3239"/>
      <c r="S104" s="3239"/>
      <c r="T104" s="3239" t="str">
        <f t="shared" si="2"/>
        <v>有</v>
      </c>
    </row>
    <row r="105" spans="1:20" hidden="1">
      <c r="A105" s="3394">
        <v>103</v>
      </c>
      <c r="B105" s="3394">
        <v>1</v>
      </c>
      <c r="C105" s="3394">
        <v>1</v>
      </c>
      <c r="D105" s="3400">
        <v>419</v>
      </c>
      <c r="E105" s="3237">
        <v>409</v>
      </c>
      <c r="F105" s="3239">
        <v>1</v>
      </c>
      <c r="G105" s="3239">
        <v>0</v>
      </c>
      <c r="H105" s="3239">
        <v>1</v>
      </c>
      <c r="I105" s="3257" t="s">
        <v>3304</v>
      </c>
      <c r="J105" s="3237" t="s">
        <v>3305</v>
      </c>
      <c r="K105" s="3401">
        <v>45.27</v>
      </c>
      <c r="L105" s="3402">
        <v>31.54</v>
      </c>
      <c r="M105" s="3239"/>
      <c r="N105" s="3239"/>
      <c r="O105" s="3394"/>
      <c r="P105" s="3394"/>
      <c r="Q105" s="3394"/>
      <c r="R105" s="3239"/>
      <c r="S105" s="3239"/>
      <c r="T105" s="3239" t="str">
        <f t="shared" si="2"/>
        <v>无</v>
      </c>
    </row>
    <row r="106" spans="1:20">
      <c r="A106" s="3394">
        <v>104</v>
      </c>
      <c r="B106" s="3394">
        <v>1</v>
      </c>
      <c r="C106" s="3394">
        <v>1</v>
      </c>
      <c r="D106" s="3400">
        <v>420</v>
      </c>
      <c r="E106" s="3237">
        <v>428</v>
      </c>
      <c r="F106" s="3239">
        <v>1</v>
      </c>
      <c r="G106" s="3239">
        <v>1</v>
      </c>
      <c r="H106" s="3239">
        <v>1</v>
      </c>
      <c r="I106" s="3237" t="s">
        <v>3295</v>
      </c>
      <c r="J106" s="3237">
        <v>50</v>
      </c>
      <c r="K106" s="3401">
        <v>57.87</v>
      </c>
      <c r="L106" s="3402">
        <v>40.32</v>
      </c>
      <c r="M106" s="3239"/>
      <c r="N106" s="3239"/>
      <c r="O106" s="3394"/>
      <c r="P106" s="3394"/>
      <c r="Q106" s="3394"/>
      <c r="R106" s="3239"/>
      <c r="S106" s="3239"/>
      <c r="T106" s="3239" t="str">
        <f t="shared" si="2"/>
        <v>有</v>
      </c>
    </row>
    <row r="107" spans="1:20" hidden="1">
      <c r="A107" s="3394">
        <v>105</v>
      </c>
      <c r="B107" s="3394">
        <v>1</v>
      </c>
      <c r="C107" s="3394">
        <v>1</v>
      </c>
      <c r="D107" s="3400">
        <v>421</v>
      </c>
      <c r="E107" s="3237">
        <v>408</v>
      </c>
      <c r="F107" s="3239">
        <v>1</v>
      </c>
      <c r="G107" s="3239">
        <v>0</v>
      </c>
      <c r="H107" s="3239">
        <v>1</v>
      </c>
      <c r="I107" s="3257" t="s">
        <v>3304</v>
      </c>
      <c r="J107" s="3237" t="s">
        <v>3305</v>
      </c>
      <c r="K107" s="3401">
        <v>45.27</v>
      </c>
      <c r="L107" s="3402">
        <v>31.54</v>
      </c>
      <c r="M107" s="3239"/>
      <c r="N107" s="3239"/>
      <c r="O107" s="3394"/>
      <c r="P107" s="3394"/>
      <c r="Q107" s="3394"/>
      <c r="R107" s="3239"/>
      <c r="S107" s="3239"/>
      <c r="T107" s="3239" t="str">
        <f t="shared" si="2"/>
        <v>无</v>
      </c>
    </row>
    <row r="108" spans="1:20">
      <c r="A108" s="3394">
        <v>106</v>
      </c>
      <c r="B108" s="3394">
        <v>1</v>
      </c>
      <c r="C108" s="3394">
        <v>1</v>
      </c>
      <c r="D108" s="3400">
        <v>422</v>
      </c>
      <c r="E108" s="3237">
        <v>429</v>
      </c>
      <c r="F108" s="3239">
        <v>1</v>
      </c>
      <c r="G108" s="3239">
        <v>1</v>
      </c>
      <c r="H108" s="3239">
        <v>1</v>
      </c>
      <c r="I108" s="3237" t="s">
        <v>3295</v>
      </c>
      <c r="J108" s="3237">
        <v>50</v>
      </c>
      <c r="K108" s="3401">
        <v>57.87</v>
      </c>
      <c r="L108" s="3402">
        <v>40.32</v>
      </c>
      <c r="M108" s="3239"/>
      <c r="N108" s="3239"/>
      <c r="O108" s="3394"/>
      <c r="P108" s="3394"/>
      <c r="Q108" s="3394"/>
      <c r="R108" s="3239"/>
      <c r="S108" s="3239"/>
      <c r="T108" s="3239" t="str">
        <f t="shared" si="2"/>
        <v>有</v>
      </c>
    </row>
    <row r="109" spans="1:20" hidden="1">
      <c r="A109" s="3394">
        <v>107</v>
      </c>
      <c r="B109" s="3394">
        <v>1</v>
      </c>
      <c r="C109" s="3394">
        <v>1</v>
      </c>
      <c r="D109" s="3400">
        <v>423</v>
      </c>
      <c r="E109" s="3237">
        <v>407</v>
      </c>
      <c r="F109" s="3239">
        <v>1</v>
      </c>
      <c r="G109" s="3239">
        <v>0</v>
      </c>
      <c r="H109" s="3239">
        <v>1</v>
      </c>
      <c r="I109" s="3257" t="s">
        <v>3304</v>
      </c>
      <c r="J109" s="3237" t="s">
        <v>3305</v>
      </c>
      <c r="K109" s="3401">
        <v>45.27</v>
      </c>
      <c r="L109" s="3402">
        <v>31.54</v>
      </c>
      <c r="M109" s="3239"/>
      <c r="N109" s="3239"/>
      <c r="O109" s="3394"/>
      <c r="P109" s="3394"/>
      <c r="Q109" s="3394"/>
      <c r="R109" s="3239"/>
      <c r="S109" s="3239"/>
      <c r="T109" s="3239" t="str">
        <f t="shared" si="2"/>
        <v>无</v>
      </c>
    </row>
    <row r="110" spans="1:20" hidden="1">
      <c r="A110" s="3394">
        <v>108</v>
      </c>
      <c r="B110" s="3394">
        <v>1</v>
      </c>
      <c r="C110" s="3394">
        <v>1</v>
      </c>
      <c r="D110" s="3400">
        <v>424</v>
      </c>
      <c r="E110" s="3237">
        <v>406</v>
      </c>
      <c r="F110" s="3239">
        <v>1</v>
      </c>
      <c r="G110" s="3239">
        <v>0</v>
      </c>
      <c r="H110" s="3239">
        <v>1</v>
      </c>
      <c r="I110" s="3257" t="s">
        <v>3304</v>
      </c>
      <c r="J110" s="3237" t="s">
        <v>3305</v>
      </c>
      <c r="K110" s="3401">
        <v>45.27</v>
      </c>
      <c r="L110" s="3402">
        <v>31.54</v>
      </c>
      <c r="M110" s="3239"/>
      <c r="N110" s="3239"/>
      <c r="O110" s="3394"/>
      <c r="P110" s="3394"/>
      <c r="Q110" s="3394"/>
      <c r="R110" s="3239"/>
      <c r="S110" s="3239"/>
      <c r="T110" s="3239" t="str">
        <f t="shared" si="2"/>
        <v>无</v>
      </c>
    </row>
    <row r="111" spans="1:20">
      <c r="A111" s="3394">
        <v>109</v>
      </c>
      <c r="B111" s="3394">
        <v>1</v>
      </c>
      <c r="C111" s="3394">
        <v>1</v>
      </c>
      <c r="D111" s="3400">
        <v>425</v>
      </c>
      <c r="E111" s="3237">
        <v>430</v>
      </c>
      <c r="F111" s="3239">
        <v>1</v>
      </c>
      <c r="G111" s="3239">
        <v>1</v>
      </c>
      <c r="H111" s="3239">
        <v>1</v>
      </c>
      <c r="I111" s="3237" t="s">
        <v>3295</v>
      </c>
      <c r="J111" s="3237">
        <v>50</v>
      </c>
      <c r="K111" s="3401">
        <v>57.87</v>
      </c>
      <c r="L111" s="3402">
        <v>40.32</v>
      </c>
      <c r="M111" s="3239"/>
      <c r="N111" s="3239"/>
      <c r="O111" s="3394"/>
      <c r="P111" s="3394"/>
      <c r="Q111" s="3394"/>
      <c r="R111" s="3239"/>
      <c r="S111" s="3239"/>
      <c r="T111" s="3239" t="str">
        <f t="shared" si="2"/>
        <v>有</v>
      </c>
    </row>
    <row r="112" spans="1:20" hidden="1">
      <c r="A112" s="3394">
        <v>110</v>
      </c>
      <c r="B112" s="3394">
        <v>1</v>
      </c>
      <c r="C112" s="3394">
        <v>1</v>
      </c>
      <c r="D112" s="3400">
        <v>426</v>
      </c>
      <c r="E112" s="3237">
        <v>405</v>
      </c>
      <c r="F112" s="3239">
        <v>1</v>
      </c>
      <c r="G112" s="3239">
        <v>0</v>
      </c>
      <c r="H112" s="3239">
        <v>1</v>
      </c>
      <c r="I112" s="3257" t="s">
        <v>3304</v>
      </c>
      <c r="J112" s="3237" t="s">
        <v>3306</v>
      </c>
      <c r="K112" s="3401">
        <v>46.3</v>
      </c>
      <c r="L112" s="3402">
        <v>32.26</v>
      </c>
      <c r="M112" s="3239"/>
      <c r="N112" s="3239"/>
      <c r="O112" s="3394"/>
      <c r="P112" s="3394"/>
      <c r="Q112" s="3394"/>
      <c r="R112" s="3239"/>
      <c r="S112" s="3239"/>
      <c r="T112" s="3239" t="str">
        <f t="shared" si="2"/>
        <v>无</v>
      </c>
    </row>
    <row r="113" spans="1:20">
      <c r="A113" s="3394">
        <v>111</v>
      </c>
      <c r="B113" s="3394">
        <v>1</v>
      </c>
      <c r="C113" s="3394">
        <v>1</v>
      </c>
      <c r="D113" s="3400">
        <v>427</v>
      </c>
      <c r="E113" s="3237">
        <v>431</v>
      </c>
      <c r="F113" s="3239">
        <v>1</v>
      </c>
      <c r="G113" s="3239">
        <v>1</v>
      </c>
      <c r="H113" s="3239">
        <v>1</v>
      </c>
      <c r="I113" s="3237" t="s">
        <v>3295</v>
      </c>
      <c r="J113" s="3237">
        <v>50</v>
      </c>
      <c r="K113" s="3401">
        <v>57.87</v>
      </c>
      <c r="L113" s="3402">
        <v>40.32</v>
      </c>
      <c r="M113" s="3239"/>
      <c r="N113" s="3239"/>
      <c r="O113" s="3394"/>
      <c r="P113" s="3394"/>
      <c r="Q113" s="3394"/>
      <c r="R113" s="3239"/>
      <c r="S113" s="3239"/>
      <c r="T113" s="3239" t="str">
        <f t="shared" si="2"/>
        <v>有</v>
      </c>
    </row>
    <row r="114" spans="1:20">
      <c r="A114" s="3394">
        <v>112</v>
      </c>
      <c r="B114" s="3394">
        <v>1</v>
      </c>
      <c r="C114" s="3394">
        <v>1</v>
      </c>
      <c r="D114" s="3400">
        <v>428</v>
      </c>
      <c r="E114" s="3237">
        <v>432</v>
      </c>
      <c r="F114" s="3239">
        <v>1</v>
      </c>
      <c r="G114" s="3239">
        <v>1</v>
      </c>
      <c r="H114" s="3239">
        <v>1</v>
      </c>
      <c r="I114" s="3237" t="s">
        <v>3295</v>
      </c>
      <c r="J114" s="3237">
        <v>50</v>
      </c>
      <c r="K114" s="3401">
        <v>57.87</v>
      </c>
      <c r="L114" s="3402">
        <v>40.32</v>
      </c>
      <c r="M114" s="3239"/>
      <c r="N114" s="3239"/>
      <c r="O114" s="3394"/>
      <c r="P114" s="3394"/>
      <c r="Q114" s="3394"/>
      <c r="R114" s="3239"/>
      <c r="S114" s="3239"/>
      <c r="T114" s="3239" t="str">
        <f t="shared" si="2"/>
        <v>有</v>
      </c>
    </row>
    <row r="115" spans="1:20">
      <c r="A115" s="3394">
        <v>113</v>
      </c>
      <c r="B115" s="3394">
        <v>1</v>
      </c>
      <c r="C115" s="3394">
        <v>1</v>
      </c>
      <c r="D115" s="3400">
        <v>429</v>
      </c>
      <c r="E115" s="3237">
        <v>433</v>
      </c>
      <c r="F115" s="3239">
        <v>1</v>
      </c>
      <c r="G115" s="3239">
        <v>1</v>
      </c>
      <c r="H115" s="3239">
        <v>1</v>
      </c>
      <c r="I115" s="3237" t="s">
        <v>3295</v>
      </c>
      <c r="J115" s="3237">
        <v>50</v>
      </c>
      <c r="K115" s="3401">
        <v>57.87</v>
      </c>
      <c r="L115" s="3402">
        <v>40.32</v>
      </c>
      <c r="M115" s="3239"/>
      <c r="N115" s="3239"/>
      <c r="O115" s="3394"/>
      <c r="P115" s="3394"/>
      <c r="Q115" s="3394"/>
      <c r="R115" s="3239"/>
      <c r="S115" s="3239"/>
      <c r="T115" s="3239" t="str">
        <f t="shared" si="2"/>
        <v>有</v>
      </c>
    </row>
    <row r="116" spans="1:20">
      <c r="A116" s="3394">
        <v>114</v>
      </c>
      <c r="B116" s="3394">
        <v>1</v>
      </c>
      <c r="C116" s="3394">
        <v>1</v>
      </c>
      <c r="D116" s="3400">
        <v>430</v>
      </c>
      <c r="E116" s="3237">
        <v>434</v>
      </c>
      <c r="F116" s="3239">
        <v>1</v>
      </c>
      <c r="G116" s="3239">
        <v>1</v>
      </c>
      <c r="H116" s="3239">
        <v>1</v>
      </c>
      <c r="I116" s="3237" t="s">
        <v>3295</v>
      </c>
      <c r="J116" s="3237">
        <v>50</v>
      </c>
      <c r="K116" s="3401">
        <v>57.87</v>
      </c>
      <c r="L116" s="3402">
        <v>40.32</v>
      </c>
      <c r="M116" s="3239"/>
      <c r="N116" s="3239"/>
      <c r="O116" s="3394"/>
      <c r="P116" s="3394"/>
      <c r="Q116" s="3394"/>
      <c r="R116" s="3239"/>
      <c r="S116" s="3239"/>
      <c r="T116" s="3239" t="str">
        <f t="shared" si="2"/>
        <v>有</v>
      </c>
    </row>
    <row r="117" spans="1:20" hidden="1">
      <c r="A117" s="3394">
        <v>115</v>
      </c>
      <c r="B117" s="3394">
        <v>1</v>
      </c>
      <c r="C117" s="3394">
        <v>1</v>
      </c>
      <c r="D117" s="3400">
        <v>431</v>
      </c>
      <c r="E117" s="3237">
        <v>404</v>
      </c>
      <c r="F117" s="3239">
        <v>1</v>
      </c>
      <c r="G117" s="3239">
        <v>0</v>
      </c>
      <c r="H117" s="3239">
        <v>1</v>
      </c>
      <c r="I117" s="3257" t="s">
        <v>3304</v>
      </c>
      <c r="J117" s="3237" t="s">
        <v>3306</v>
      </c>
      <c r="K117" s="3401">
        <v>46.3</v>
      </c>
      <c r="L117" s="3402">
        <v>32.26</v>
      </c>
      <c r="M117" s="3239"/>
      <c r="N117" s="3239"/>
      <c r="O117" s="3394"/>
      <c r="P117" s="3394"/>
      <c r="Q117" s="3394"/>
      <c r="R117" s="3239"/>
      <c r="S117" s="3239"/>
      <c r="T117" s="3239" t="str">
        <f t="shared" si="2"/>
        <v>无</v>
      </c>
    </row>
    <row r="118" spans="1:20">
      <c r="A118" s="3394">
        <v>116</v>
      </c>
      <c r="B118" s="3394">
        <v>1</v>
      </c>
      <c r="C118" s="3394">
        <v>1</v>
      </c>
      <c r="D118" s="3400">
        <v>432</v>
      </c>
      <c r="E118" s="3237">
        <v>435</v>
      </c>
      <c r="F118" s="3239">
        <v>1</v>
      </c>
      <c r="G118" s="3239">
        <v>1</v>
      </c>
      <c r="H118" s="3239">
        <v>1</v>
      </c>
      <c r="I118" s="3237" t="s">
        <v>3295</v>
      </c>
      <c r="J118" s="3237">
        <v>50</v>
      </c>
      <c r="K118" s="3401">
        <v>57.87</v>
      </c>
      <c r="L118" s="3402">
        <v>40.32</v>
      </c>
      <c r="M118" s="3239"/>
      <c r="N118" s="3239"/>
      <c r="O118" s="3394"/>
      <c r="P118" s="3394"/>
      <c r="Q118" s="3394"/>
      <c r="R118" s="3239"/>
      <c r="S118" s="3239"/>
      <c r="T118" s="3239" t="str">
        <f t="shared" si="2"/>
        <v>有</v>
      </c>
    </row>
    <row r="119" spans="1:20" hidden="1">
      <c r="A119" s="3394">
        <v>117</v>
      </c>
      <c r="B119" s="3394">
        <v>1</v>
      </c>
      <c r="C119" s="3394">
        <v>1</v>
      </c>
      <c r="D119" s="3400">
        <v>433</v>
      </c>
      <c r="E119" s="3237">
        <v>403</v>
      </c>
      <c r="F119" s="3239">
        <v>1</v>
      </c>
      <c r="G119" s="3239">
        <v>0</v>
      </c>
      <c r="H119" s="3239">
        <v>1</v>
      </c>
      <c r="I119" s="3257" t="s">
        <v>3304</v>
      </c>
      <c r="J119" s="3237" t="s">
        <v>3305</v>
      </c>
      <c r="K119" s="3401">
        <v>45.27</v>
      </c>
      <c r="L119" s="3402">
        <v>31.54</v>
      </c>
      <c r="M119" s="3239"/>
      <c r="N119" s="3239"/>
      <c r="O119" s="3394"/>
      <c r="P119" s="3394"/>
      <c r="Q119" s="3394"/>
      <c r="R119" s="3239"/>
      <c r="S119" s="3239"/>
      <c r="T119" s="3239" t="str">
        <f t="shared" si="2"/>
        <v>无</v>
      </c>
    </row>
    <row r="120" spans="1:20" hidden="1">
      <c r="A120" s="3394">
        <v>118</v>
      </c>
      <c r="B120" s="3394">
        <v>1</v>
      </c>
      <c r="C120" s="3394">
        <v>1</v>
      </c>
      <c r="D120" s="3400">
        <v>434</v>
      </c>
      <c r="E120" s="3237">
        <v>402</v>
      </c>
      <c r="F120" s="3239">
        <v>1</v>
      </c>
      <c r="G120" s="3239">
        <v>0</v>
      </c>
      <c r="H120" s="3239">
        <v>1</v>
      </c>
      <c r="I120" s="3257" t="s">
        <v>3304</v>
      </c>
      <c r="J120" s="3237" t="s">
        <v>3305</v>
      </c>
      <c r="K120" s="3401">
        <v>45.27</v>
      </c>
      <c r="L120" s="3402">
        <v>31.54</v>
      </c>
      <c r="M120" s="3239"/>
      <c r="N120" s="3239"/>
      <c r="O120" s="3394"/>
      <c r="P120" s="3394"/>
      <c r="Q120" s="3394"/>
      <c r="R120" s="3239"/>
      <c r="S120" s="3239"/>
      <c r="T120" s="3239" t="str">
        <f t="shared" si="2"/>
        <v>无</v>
      </c>
    </row>
    <row r="121" spans="1:20">
      <c r="A121" s="3394">
        <v>119</v>
      </c>
      <c r="B121" s="3394">
        <v>1</v>
      </c>
      <c r="C121" s="3394">
        <v>1</v>
      </c>
      <c r="D121" s="3400">
        <v>435</v>
      </c>
      <c r="E121" s="3237">
        <v>436</v>
      </c>
      <c r="F121" s="3239">
        <v>1</v>
      </c>
      <c r="G121" s="3239">
        <v>1</v>
      </c>
      <c r="H121" s="3239">
        <v>1</v>
      </c>
      <c r="I121" s="3237" t="s">
        <v>3295</v>
      </c>
      <c r="J121" s="3237">
        <v>50</v>
      </c>
      <c r="K121" s="3401">
        <v>57.87</v>
      </c>
      <c r="L121" s="3402">
        <v>40.32</v>
      </c>
      <c r="M121" s="3239"/>
      <c r="N121" s="3239"/>
      <c r="O121" s="3394"/>
      <c r="P121" s="3394"/>
      <c r="Q121" s="3394"/>
      <c r="R121" s="3239"/>
      <c r="S121" s="3239"/>
      <c r="T121" s="3239" t="str">
        <f t="shared" si="2"/>
        <v>有</v>
      </c>
    </row>
    <row r="122" spans="1:20" hidden="1">
      <c r="A122" s="3394">
        <v>120</v>
      </c>
      <c r="B122" s="3394">
        <v>1</v>
      </c>
      <c r="C122" s="3394">
        <v>1</v>
      </c>
      <c r="D122" s="3400">
        <v>436</v>
      </c>
      <c r="E122" s="3237">
        <v>437</v>
      </c>
      <c r="F122" s="3239">
        <v>1</v>
      </c>
      <c r="G122" s="3239">
        <v>0</v>
      </c>
      <c r="H122" s="3239">
        <v>1</v>
      </c>
      <c r="I122" s="3237" t="s">
        <v>3295</v>
      </c>
      <c r="J122" s="3257" t="s">
        <v>3322</v>
      </c>
      <c r="K122" s="3401">
        <v>49.52</v>
      </c>
      <c r="L122" s="3402">
        <v>34.5</v>
      </c>
      <c r="M122" s="3239"/>
      <c r="N122" s="3239"/>
      <c r="O122" s="3394"/>
      <c r="P122" s="3394"/>
      <c r="Q122" s="3394"/>
      <c r="R122" s="3239"/>
      <c r="S122" s="3239"/>
      <c r="T122" s="3239" t="str">
        <f t="shared" si="2"/>
        <v>无</v>
      </c>
    </row>
    <row r="123" spans="1:20">
      <c r="A123" s="3394">
        <v>121</v>
      </c>
      <c r="B123" s="3394">
        <v>1</v>
      </c>
      <c r="C123" s="3394">
        <v>1</v>
      </c>
      <c r="D123" s="3400">
        <v>437</v>
      </c>
      <c r="E123" s="3237">
        <v>401</v>
      </c>
      <c r="F123" s="3239">
        <v>1</v>
      </c>
      <c r="G123" s="3239">
        <v>1</v>
      </c>
      <c r="H123" s="3239">
        <v>1</v>
      </c>
      <c r="I123" s="3237" t="s">
        <v>3302</v>
      </c>
      <c r="J123" s="3237" t="s">
        <v>3303</v>
      </c>
      <c r="K123" s="3401">
        <v>58.16</v>
      </c>
      <c r="L123" s="3402">
        <v>40.520000000000003</v>
      </c>
      <c r="M123" s="3239"/>
      <c r="N123" s="3239"/>
      <c r="O123" s="3394"/>
      <c r="P123" s="3395"/>
      <c r="Q123" s="3395"/>
      <c r="R123" s="3239"/>
      <c r="S123" s="3239"/>
      <c r="T123" s="3239" t="str">
        <f t="shared" si="2"/>
        <v>有</v>
      </c>
    </row>
    <row r="124" spans="1:20" hidden="1">
      <c r="A124" s="3394">
        <v>122</v>
      </c>
      <c r="B124" s="3394">
        <v>1</v>
      </c>
      <c r="C124" s="3394">
        <v>1</v>
      </c>
      <c r="D124" s="3400">
        <v>438</v>
      </c>
      <c r="E124" s="3237">
        <v>439</v>
      </c>
      <c r="F124" s="3239">
        <v>1</v>
      </c>
      <c r="G124" s="3239">
        <v>0</v>
      </c>
      <c r="H124" s="3239">
        <v>1</v>
      </c>
      <c r="I124" s="3237" t="s">
        <v>3300</v>
      </c>
      <c r="J124" s="3237" t="s">
        <v>3323</v>
      </c>
      <c r="K124" s="3401">
        <v>46.53</v>
      </c>
      <c r="L124" s="3402">
        <v>32.42</v>
      </c>
      <c r="M124" s="3239"/>
      <c r="N124" s="3239"/>
      <c r="O124" s="3394"/>
      <c r="P124" s="3394"/>
      <c r="Q124" s="3394"/>
      <c r="R124" s="3239"/>
      <c r="S124" s="3239"/>
      <c r="T124" s="3239" t="str">
        <f t="shared" si="2"/>
        <v>无</v>
      </c>
    </row>
    <row r="125" spans="1:20" hidden="1">
      <c r="A125" s="3394">
        <v>123</v>
      </c>
      <c r="B125" s="3394">
        <v>1</v>
      </c>
      <c r="C125" s="3394">
        <v>1</v>
      </c>
      <c r="D125" s="3400">
        <v>439</v>
      </c>
      <c r="E125" s="3237">
        <v>438</v>
      </c>
      <c r="F125" s="3239">
        <v>1</v>
      </c>
      <c r="G125" s="3239">
        <v>0</v>
      </c>
      <c r="H125" s="3239">
        <v>1</v>
      </c>
      <c r="I125" s="3237" t="s">
        <v>3295</v>
      </c>
      <c r="J125" s="3237" t="s">
        <v>3500</v>
      </c>
      <c r="K125" s="3401">
        <v>50.61</v>
      </c>
      <c r="L125" s="3402">
        <v>35.26</v>
      </c>
      <c r="M125" s="3239"/>
      <c r="N125" s="3239"/>
      <c r="O125" s="3394"/>
      <c r="P125" s="3394"/>
      <c r="Q125" s="3394"/>
      <c r="R125" s="3239"/>
      <c r="S125" s="3239"/>
      <c r="T125" s="3239" t="str">
        <f t="shared" si="2"/>
        <v>无</v>
      </c>
    </row>
    <row r="126" spans="1:20">
      <c r="A126" s="3394">
        <v>124</v>
      </c>
      <c r="B126" s="3394">
        <v>1</v>
      </c>
      <c r="C126" s="3394">
        <v>1</v>
      </c>
      <c r="D126" s="3400">
        <v>501</v>
      </c>
      <c r="E126" s="3237">
        <v>516</v>
      </c>
      <c r="F126" s="3239">
        <v>1</v>
      </c>
      <c r="G126" s="3239">
        <v>1</v>
      </c>
      <c r="H126" s="3239">
        <v>1</v>
      </c>
      <c r="I126" s="3257" t="s">
        <v>3312</v>
      </c>
      <c r="J126" s="3237" t="s">
        <v>3314</v>
      </c>
      <c r="K126" s="3401">
        <v>57.37</v>
      </c>
      <c r="L126" s="3402">
        <v>39.97</v>
      </c>
      <c r="M126" s="3239"/>
      <c r="N126" s="3239"/>
      <c r="O126" s="3394"/>
      <c r="P126" s="3394"/>
      <c r="Q126" s="3394"/>
      <c r="R126" s="3239"/>
      <c r="S126" s="3239"/>
      <c r="T126" s="3239" t="str">
        <f t="shared" si="2"/>
        <v>有</v>
      </c>
    </row>
    <row r="127" spans="1:20">
      <c r="A127" s="3394">
        <v>125</v>
      </c>
      <c r="B127" s="3394">
        <v>1</v>
      </c>
      <c r="C127" s="3394">
        <v>1</v>
      </c>
      <c r="D127" s="3400">
        <v>502</v>
      </c>
      <c r="E127" s="3237">
        <v>517</v>
      </c>
      <c r="F127" s="3239">
        <v>1</v>
      </c>
      <c r="G127" s="3239">
        <v>1</v>
      </c>
      <c r="H127" s="3239">
        <v>1</v>
      </c>
      <c r="I127" s="3257" t="s">
        <v>3312</v>
      </c>
      <c r="J127" s="3237">
        <v>50</v>
      </c>
      <c r="K127" s="3401">
        <v>57.87</v>
      </c>
      <c r="L127" s="3402">
        <v>40.32</v>
      </c>
      <c r="M127" s="3239"/>
      <c r="N127" s="3239"/>
      <c r="O127" s="3394"/>
      <c r="P127" s="3394"/>
      <c r="Q127" s="3394"/>
      <c r="R127" s="3239"/>
      <c r="S127" s="3239"/>
      <c r="T127" s="3239" t="str">
        <f t="shared" si="2"/>
        <v>有</v>
      </c>
    </row>
    <row r="128" spans="1:20">
      <c r="A128" s="3394">
        <v>126</v>
      </c>
      <c r="B128" s="3394">
        <v>1</v>
      </c>
      <c r="C128" s="3394">
        <v>1</v>
      </c>
      <c r="D128" s="3400">
        <v>503</v>
      </c>
      <c r="E128" s="3237">
        <v>518</v>
      </c>
      <c r="F128" s="3239">
        <v>1</v>
      </c>
      <c r="G128" s="3239">
        <v>1</v>
      </c>
      <c r="H128" s="3239">
        <v>1</v>
      </c>
      <c r="I128" s="3257" t="s">
        <v>3312</v>
      </c>
      <c r="J128" s="3237">
        <v>50</v>
      </c>
      <c r="K128" s="3401">
        <v>57.87</v>
      </c>
      <c r="L128" s="3402">
        <v>40.32</v>
      </c>
      <c r="M128" s="3239"/>
      <c r="N128" s="3239"/>
      <c r="O128" s="3394"/>
      <c r="P128" s="3394"/>
      <c r="Q128" s="3394"/>
      <c r="R128" s="3239"/>
      <c r="S128" s="3239"/>
      <c r="T128" s="3239" t="str">
        <f t="shared" si="2"/>
        <v>有</v>
      </c>
    </row>
    <row r="129" spans="1:20">
      <c r="A129" s="3394">
        <v>127</v>
      </c>
      <c r="B129" s="3394">
        <v>1</v>
      </c>
      <c r="C129" s="3394">
        <v>1</v>
      </c>
      <c r="D129" s="3400">
        <v>504</v>
      </c>
      <c r="E129" s="3237">
        <v>519</v>
      </c>
      <c r="F129" s="3239">
        <v>1</v>
      </c>
      <c r="G129" s="3239">
        <v>1</v>
      </c>
      <c r="H129" s="3239">
        <v>1</v>
      </c>
      <c r="I129" s="3257" t="s">
        <v>3312</v>
      </c>
      <c r="J129" s="3237" t="s">
        <v>3308</v>
      </c>
      <c r="K129" s="3401">
        <v>57.23</v>
      </c>
      <c r="L129" s="3402">
        <v>39.869999999999997</v>
      </c>
      <c r="M129" s="3239"/>
      <c r="N129" s="3239"/>
      <c r="O129" s="3394"/>
      <c r="P129" s="3394"/>
      <c r="Q129" s="3394"/>
      <c r="R129" s="3239"/>
      <c r="S129" s="3239"/>
      <c r="T129" s="3239" t="str">
        <f t="shared" si="2"/>
        <v>有</v>
      </c>
    </row>
    <row r="130" spans="1:20">
      <c r="A130" s="3394">
        <v>128</v>
      </c>
      <c r="B130" s="3394">
        <v>1</v>
      </c>
      <c r="C130" s="3394">
        <v>1</v>
      </c>
      <c r="D130" s="3400">
        <v>505</v>
      </c>
      <c r="E130" s="3237">
        <v>520</v>
      </c>
      <c r="F130" s="3239">
        <v>1</v>
      </c>
      <c r="G130" s="3239">
        <v>1</v>
      </c>
      <c r="H130" s="3239">
        <v>1</v>
      </c>
      <c r="I130" s="3257" t="s">
        <v>3312</v>
      </c>
      <c r="J130" s="3257" t="s">
        <v>3315</v>
      </c>
      <c r="K130" s="3401">
        <v>59.16</v>
      </c>
      <c r="L130" s="3402">
        <v>41.22</v>
      </c>
      <c r="M130" s="3239"/>
      <c r="N130" s="3239"/>
      <c r="O130" s="3394"/>
      <c r="P130" s="3394"/>
      <c r="Q130" s="3394"/>
      <c r="R130" s="3239"/>
      <c r="S130" s="3239"/>
      <c r="T130" s="3239" t="str">
        <f t="shared" si="2"/>
        <v>有</v>
      </c>
    </row>
    <row r="131" spans="1:20">
      <c r="A131" s="3394">
        <v>129</v>
      </c>
      <c r="B131" s="3394">
        <v>1</v>
      </c>
      <c r="C131" s="3394">
        <v>1</v>
      </c>
      <c r="D131" s="3400">
        <v>506</v>
      </c>
      <c r="E131" s="3237">
        <v>521</v>
      </c>
      <c r="F131" s="3239">
        <v>4</v>
      </c>
      <c r="G131" s="3239">
        <v>1</v>
      </c>
      <c r="H131" s="3239">
        <v>1</v>
      </c>
      <c r="I131" s="3237" t="s">
        <v>3316</v>
      </c>
      <c r="J131" s="3237" t="s">
        <v>3317</v>
      </c>
      <c r="K131" s="3401">
        <v>108.7</v>
      </c>
      <c r="L131" s="3402">
        <v>75.73</v>
      </c>
      <c r="M131" s="3239"/>
      <c r="N131" s="3239"/>
      <c r="O131" s="3394"/>
      <c r="P131" s="3394"/>
      <c r="Q131" s="3394"/>
      <c r="R131" s="3239"/>
      <c r="S131" s="3239"/>
      <c r="T131" s="3239" t="str">
        <f t="shared" si="2"/>
        <v>有</v>
      </c>
    </row>
    <row r="132" spans="1:20">
      <c r="A132" s="3394">
        <v>130</v>
      </c>
      <c r="B132" s="3394">
        <v>1</v>
      </c>
      <c r="C132" s="3394">
        <v>1</v>
      </c>
      <c r="D132" s="3400">
        <v>507</v>
      </c>
      <c r="E132" s="3237">
        <v>514</v>
      </c>
      <c r="F132" s="3239">
        <v>1</v>
      </c>
      <c r="G132" s="3239">
        <v>1</v>
      </c>
      <c r="H132" s="3239">
        <v>1</v>
      </c>
      <c r="I132" s="3237" t="s">
        <v>3310</v>
      </c>
      <c r="J132" s="3237" t="s">
        <v>3311</v>
      </c>
      <c r="K132" s="3401">
        <v>55.32</v>
      </c>
      <c r="L132" s="3402">
        <v>38.54</v>
      </c>
      <c r="M132" s="3239"/>
      <c r="N132" s="3239"/>
      <c r="O132" s="3394"/>
      <c r="P132" s="3394"/>
      <c r="Q132" s="3394"/>
      <c r="R132" s="3239"/>
      <c r="S132" s="3239"/>
      <c r="T132" s="3239" t="str">
        <f t="shared" ref="T132:T195" si="3">IF(OR(J132="无障碍宿舍",J132="无障碍宿舍-01",J132="无障碍宿舍-02",J132="40平",J132="40平-01",J132="40平-02",J132="40平-03",J132="40平-04",J132="40平-06",J132="40平-07",J132="D2"),"无","有")</f>
        <v>有</v>
      </c>
    </row>
    <row r="133" spans="1:20">
      <c r="A133" s="3394">
        <v>131</v>
      </c>
      <c r="B133" s="3394">
        <v>1</v>
      </c>
      <c r="C133" s="3394">
        <v>1</v>
      </c>
      <c r="D133" s="3400">
        <v>508</v>
      </c>
      <c r="E133" s="3237">
        <v>515</v>
      </c>
      <c r="F133" s="3239">
        <v>2</v>
      </c>
      <c r="G133" s="3239">
        <v>1</v>
      </c>
      <c r="H133" s="3239">
        <v>1</v>
      </c>
      <c r="I133" s="3257" t="s">
        <v>3312</v>
      </c>
      <c r="J133" s="3237" t="s">
        <v>3313</v>
      </c>
      <c r="K133" s="3401">
        <v>96.55</v>
      </c>
      <c r="L133" s="3402">
        <v>67.27</v>
      </c>
      <c r="M133" s="3239"/>
      <c r="N133" s="3239"/>
      <c r="O133" s="3394"/>
      <c r="P133" s="3394"/>
      <c r="Q133" s="3394"/>
      <c r="R133" s="3239"/>
      <c r="S133" s="3239"/>
      <c r="T133" s="3239" t="str">
        <f t="shared" si="3"/>
        <v>有</v>
      </c>
    </row>
    <row r="134" spans="1:20">
      <c r="A134" s="3394">
        <v>132</v>
      </c>
      <c r="B134" s="3394">
        <v>1</v>
      </c>
      <c r="C134" s="3394">
        <v>1</v>
      </c>
      <c r="D134" s="3400">
        <v>509</v>
      </c>
      <c r="E134" s="3237">
        <v>513</v>
      </c>
      <c r="F134" s="3239">
        <v>1</v>
      </c>
      <c r="G134" s="3239">
        <v>1</v>
      </c>
      <c r="H134" s="3239">
        <v>1</v>
      </c>
      <c r="I134" s="3257" t="s">
        <v>3304</v>
      </c>
      <c r="J134" s="3257" t="s">
        <v>3309</v>
      </c>
      <c r="K134" s="3401">
        <v>57.35</v>
      </c>
      <c r="L134" s="3402">
        <v>39.96</v>
      </c>
      <c r="M134" s="3239"/>
      <c r="N134" s="3239"/>
      <c r="O134" s="3394"/>
      <c r="P134" s="3394"/>
      <c r="Q134" s="3394"/>
      <c r="R134" s="3239"/>
      <c r="S134" s="3239"/>
      <c r="T134" s="3239" t="str">
        <f t="shared" si="3"/>
        <v>有</v>
      </c>
    </row>
    <row r="135" spans="1:20">
      <c r="A135" s="3394">
        <v>133</v>
      </c>
      <c r="B135" s="3394">
        <v>1</v>
      </c>
      <c r="C135" s="3394">
        <v>1</v>
      </c>
      <c r="D135" s="3400">
        <v>510</v>
      </c>
      <c r="E135" s="3237">
        <v>522</v>
      </c>
      <c r="F135" s="3239">
        <v>4</v>
      </c>
      <c r="G135" s="3239">
        <v>1</v>
      </c>
      <c r="H135" s="3239">
        <v>1</v>
      </c>
      <c r="I135" s="3237" t="s">
        <v>3318</v>
      </c>
      <c r="J135" s="3237" t="s">
        <v>3319</v>
      </c>
      <c r="K135" s="3401">
        <v>108.7</v>
      </c>
      <c r="L135" s="3402">
        <v>75.73</v>
      </c>
      <c r="M135" s="3239"/>
      <c r="N135" s="3239"/>
      <c r="O135" s="3394"/>
      <c r="P135" s="3394"/>
      <c r="Q135" s="3394"/>
      <c r="R135" s="3239"/>
      <c r="S135" s="3239"/>
      <c r="T135" s="3239" t="str">
        <f t="shared" si="3"/>
        <v>有</v>
      </c>
    </row>
    <row r="136" spans="1:20">
      <c r="A136" s="3394">
        <v>134</v>
      </c>
      <c r="B136" s="3394">
        <v>1</v>
      </c>
      <c r="C136" s="3394">
        <v>1</v>
      </c>
      <c r="D136" s="3400">
        <v>511</v>
      </c>
      <c r="E136" s="3237">
        <v>524</v>
      </c>
      <c r="F136" s="3239">
        <v>1</v>
      </c>
      <c r="G136" s="3239">
        <v>1</v>
      </c>
      <c r="H136" s="3239">
        <v>1</v>
      </c>
      <c r="I136" s="3237" t="s">
        <v>3300</v>
      </c>
      <c r="J136" s="3237">
        <v>50</v>
      </c>
      <c r="K136" s="3401">
        <v>57.87</v>
      </c>
      <c r="L136" s="3402">
        <v>40.32</v>
      </c>
      <c r="M136" s="3239"/>
      <c r="N136" s="3239"/>
      <c r="O136" s="3394"/>
      <c r="P136" s="3394"/>
      <c r="Q136" s="3394"/>
      <c r="R136" s="3239"/>
      <c r="S136" s="3239"/>
      <c r="T136" s="3239" t="str">
        <f t="shared" si="3"/>
        <v>有</v>
      </c>
    </row>
    <row r="137" spans="1:20">
      <c r="A137" s="3394">
        <v>135</v>
      </c>
      <c r="B137" s="3394">
        <v>1</v>
      </c>
      <c r="C137" s="3394">
        <v>1</v>
      </c>
      <c r="D137" s="3400">
        <v>512</v>
      </c>
      <c r="E137" s="3237">
        <v>523</v>
      </c>
      <c r="F137" s="3239">
        <v>1</v>
      </c>
      <c r="G137" s="3239">
        <v>1</v>
      </c>
      <c r="H137" s="3239">
        <v>1</v>
      </c>
      <c r="I137" s="3237" t="s">
        <v>3300</v>
      </c>
      <c r="J137" s="3237" t="s">
        <v>3308</v>
      </c>
      <c r="K137" s="3401">
        <v>57.23</v>
      </c>
      <c r="L137" s="3402">
        <v>39.869999999999997</v>
      </c>
      <c r="M137" s="3239"/>
      <c r="N137" s="3239"/>
      <c r="O137" s="3394"/>
      <c r="P137" s="3394"/>
      <c r="Q137" s="3394"/>
      <c r="R137" s="3239"/>
      <c r="S137" s="3239"/>
      <c r="T137" s="3239" t="str">
        <f t="shared" si="3"/>
        <v>有</v>
      </c>
    </row>
    <row r="138" spans="1:20">
      <c r="A138" s="3394">
        <v>136</v>
      </c>
      <c r="B138" s="3394">
        <v>1</v>
      </c>
      <c r="C138" s="3394">
        <v>1</v>
      </c>
      <c r="D138" s="3400">
        <v>513</v>
      </c>
      <c r="E138" s="3237">
        <v>525</v>
      </c>
      <c r="F138" s="3239">
        <v>1</v>
      </c>
      <c r="G138" s="3239">
        <v>1</v>
      </c>
      <c r="H138" s="3239">
        <v>1</v>
      </c>
      <c r="I138" s="3237" t="s">
        <v>3300</v>
      </c>
      <c r="J138" s="3237" t="s">
        <v>3320</v>
      </c>
      <c r="K138" s="3401">
        <v>58.02</v>
      </c>
      <c r="L138" s="3402">
        <v>40.42</v>
      </c>
      <c r="M138" s="3239"/>
      <c r="N138" s="3239"/>
      <c r="O138" s="3394"/>
      <c r="P138" s="3394"/>
      <c r="Q138" s="3394"/>
      <c r="R138" s="3239"/>
      <c r="S138" s="3239"/>
      <c r="T138" s="3239" t="str">
        <f t="shared" si="3"/>
        <v>有</v>
      </c>
    </row>
    <row r="139" spans="1:20">
      <c r="A139" s="3394">
        <v>137</v>
      </c>
      <c r="B139" s="3394">
        <v>1</v>
      </c>
      <c r="C139" s="3394">
        <v>1</v>
      </c>
      <c r="D139" s="3400">
        <v>514</v>
      </c>
      <c r="E139" s="3237">
        <v>512</v>
      </c>
      <c r="F139" s="3239">
        <v>1</v>
      </c>
      <c r="G139" s="3239">
        <v>1</v>
      </c>
      <c r="H139" s="3239">
        <v>1</v>
      </c>
      <c r="I139" s="3257" t="s">
        <v>3304</v>
      </c>
      <c r="J139" s="3237" t="s">
        <v>3308</v>
      </c>
      <c r="K139" s="3401">
        <v>57.23</v>
      </c>
      <c r="L139" s="3402">
        <v>39.869999999999997</v>
      </c>
      <c r="M139" s="3239"/>
      <c r="N139" s="3239"/>
      <c r="O139" s="3394"/>
      <c r="P139" s="3394"/>
      <c r="Q139" s="3394"/>
      <c r="R139" s="3239"/>
      <c r="S139" s="3239"/>
      <c r="T139" s="3239" t="str">
        <f t="shared" si="3"/>
        <v>有</v>
      </c>
    </row>
    <row r="140" spans="1:20" hidden="1">
      <c r="A140" s="3394">
        <v>138</v>
      </c>
      <c r="B140" s="3394">
        <v>1</v>
      </c>
      <c r="C140" s="3394">
        <v>1</v>
      </c>
      <c r="D140" s="3400">
        <v>515</v>
      </c>
      <c r="E140" s="3237">
        <v>511</v>
      </c>
      <c r="F140" s="3239">
        <v>1</v>
      </c>
      <c r="G140" s="3239">
        <v>0</v>
      </c>
      <c r="H140" s="3239">
        <v>1</v>
      </c>
      <c r="I140" s="3257" t="s">
        <v>3304</v>
      </c>
      <c r="J140" s="3237" t="s">
        <v>3307</v>
      </c>
      <c r="K140" s="3401">
        <v>45.9</v>
      </c>
      <c r="L140" s="3402">
        <v>31.98</v>
      </c>
      <c r="M140" s="3239"/>
      <c r="N140" s="3239"/>
      <c r="O140" s="3394"/>
      <c r="P140" s="3394"/>
      <c r="Q140" s="3394"/>
      <c r="R140" s="3239"/>
      <c r="S140" s="3239"/>
      <c r="T140" s="3239" t="str">
        <f t="shared" si="3"/>
        <v>无</v>
      </c>
    </row>
    <row r="141" spans="1:20">
      <c r="A141" s="3394">
        <v>139</v>
      </c>
      <c r="B141" s="3394">
        <v>1</v>
      </c>
      <c r="C141" s="3394">
        <v>1</v>
      </c>
      <c r="D141" s="3400">
        <v>516</v>
      </c>
      <c r="E141" s="3237">
        <v>526</v>
      </c>
      <c r="F141" s="3239">
        <v>1</v>
      </c>
      <c r="G141" s="3239">
        <v>1</v>
      </c>
      <c r="H141" s="3239">
        <v>1</v>
      </c>
      <c r="I141" s="3237" t="s">
        <v>3295</v>
      </c>
      <c r="J141" s="3237" t="s">
        <v>3321</v>
      </c>
      <c r="K141" s="3401">
        <v>61.09</v>
      </c>
      <c r="L141" s="3402">
        <v>42.56</v>
      </c>
      <c r="M141" s="3239"/>
      <c r="N141" s="3239"/>
      <c r="O141" s="3394">
        <v>2.9</v>
      </c>
      <c r="P141" s="3394" t="s">
        <v>3363</v>
      </c>
      <c r="Q141" s="3394" t="s">
        <v>3482</v>
      </c>
      <c r="R141" s="3239"/>
      <c r="S141" s="3239"/>
      <c r="T141" s="3239" t="str">
        <f t="shared" si="3"/>
        <v>有</v>
      </c>
    </row>
    <row r="142" spans="1:20" hidden="1">
      <c r="A142" s="3394">
        <v>140</v>
      </c>
      <c r="B142" s="3394">
        <v>1</v>
      </c>
      <c r="C142" s="3394">
        <v>1</v>
      </c>
      <c r="D142" s="3400">
        <v>517</v>
      </c>
      <c r="E142" s="3237">
        <v>510</v>
      </c>
      <c r="F142" s="3239">
        <v>1</v>
      </c>
      <c r="G142" s="3239">
        <v>0</v>
      </c>
      <c r="H142" s="3239">
        <v>1</v>
      </c>
      <c r="I142" s="3257" t="s">
        <v>3304</v>
      </c>
      <c r="J142" s="3237" t="s">
        <v>3305</v>
      </c>
      <c r="K142" s="3401">
        <v>45.27</v>
      </c>
      <c r="L142" s="3402">
        <v>31.54</v>
      </c>
      <c r="M142" s="3239"/>
      <c r="N142" s="3239"/>
      <c r="O142" s="3394"/>
      <c r="P142" s="3394"/>
      <c r="Q142" s="3394"/>
      <c r="R142" s="3239"/>
      <c r="S142" s="3239"/>
      <c r="T142" s="3239" t="str">
        <f t="shared" si="3"/>
        <v>无</v>
      </c>
    </row>
    <row r="143" spans="1:20">
      <c r="A143" s="3394">
        <v>141</v>
      </c>
      <c r="B143" s="3394">
        <v>1</v>
      </c>
      <c r="C143" s="3394">
        <v>1</v>
      </c>
      <c r="D143" s="3400">
        <v>518</v>
      </c>
      <c r="E143" s="3237">
        <v>527</v>
      </c>
      <c r="F143" s="3239">
        <v>1</v>
      </c>
      <c r="G143" s="3239">
        <v>1</v>
      </c>
      <c r="H143" s="3239">
        <v>1</v>
      </c>
      <c r="I143" s="3237" t="s">
        <v>3295</v>
      </c>
      <c r="J143" s="3237">
        <v>50</v>
      </c>
      <c r="K143" s="3401">
        <v>57.87</v>
      </c>
      <c r="L143" s="3402">
        <v>40.32</v>
      </c>
      <c r="M143" s="3239"/>
      <c r="N143" s="3239"/>
      <c r="O143" s="3394"/>
      <c r="P143" s="3394"/>
      <c r="Q143" s="3394"/>
      <c r="R143" s="3239"/>
      <c r="S143" s="3239"/>
      <c r="T143" s="3239" t="str">
        <f t="shared" si="3"/>
        <v>有</v>
      </c>
    </row>
    <row r="144" spans="1:20" hidden="1">
      <c r="A144" s="3394">
        <v>142</v>
      </c>
      <c r="B144" s="3394">
        <v>1</v>
      </c>
      <c r="C144" s="3394">
        <v>1</v>
      </c>
      <c r="D144" s="3400">
        <v>519</v>
      </c>
      <c r="E144" s="3237">
        <v>509</v>
      </c>
      <c r="F144" s="3239">
        <v>1</v>
      </c>
      <c r="G144" s="3239">
        <v>0</v>
      </c>
      <c r="H144" s="3239">
        <v>1</v>
      </c>
      <c r="I144" s="3257" t="s">
        <v>3304</v>
      </c>
      <c r="J144" s="3237" t="s">
        <v>3305</v>
      </c>
      <c r="K144" s="3401">
        <v>45.27</v>
      </c>
      <c r="L144" s="3402">
        <v>31.54</v>
      </c>
      <c r="M144" s="3239"/>
      <c r="N144" s="3239"/>
      <c r="O144" s="3394"/>
      <c r="P144" s="3394"/>
      <c r="Q144" s="3394"/>
      <c r="R144" s="3239"/>
      <c r="S144" s="3239"/>
      <c r="T144" s="3239" t="str">
        <f t="shared" si="3"/>
        <v>无</v>
      </c>
    </row>
    <row r="145" spans="1:20">
      <c r="A145" s="3394">
        <v>143</v>
      </c>
      <c r="B145" s="3394">
        <v>1</v>
      </c>
      <c r="C145" s="3394">
        <v>1</v>
      </c>
      <c r="D145" s="3400">
        <v>520</v>
      </c>
      <c r="E145" s="3237">
        <v>528</v>
      </c>
      <c r="F145" s="3239">
        <v>1</v>
      </c>
      <c r="G145" s="3239">
        <v>1</v>
      </c>
      <c r="H145" s="3239">
        <v>1</v>
      </c>
      <c r="I145" s="3237" t="s">
        <v>3295</v>
      </c>
      <c r="J145" s="3237">
        <v>50</v>
      </c>
      <c r="K145" s="3401">
        <v>57.87</v>
      </c>
      <c r="L145" s="3402">
        <v>40.32</v>
      </c>
      <c r="M145" s="3239"/>
      <c r="N145" s="3239"/>
      <c r="O145" s="3394"/>
      <c r="P145" s="3394"/>
      <c r="Q145" s="3394"/>
      <c r="R145" s="3239"/>
      <c r="S145" s="3239"/>
      <c r="T145" s="3239" t="str">
        <f t="shared" si="3"/>
        <v>有</v>
      </c>
    </row>
    <row r="146" spans="1:20" hidden="1">
      <c r="A146" s="3394">
        <v>144</v>
      </c>
      <c r="B146" s="3394">
        <v>1</v>
      </c>
      <c r="C146" s="3394">
        <v>1</v>
      </c>
      <c r="D146" s="3400">
        <v>521</v>
      </c>
      <c r="E146" s="3237">
        <v>508</v>
      </c>
      <c r="F146" s="3239">
        <v>1</v>
      </c>
      <c r="G146" s="3239">
        <v>0</v>
      </c>
      <c r="H146" s="3239">
        <v>1</v>
      </c>
      <c r="I146" s="3257" t="s">
        <v>3304</v>
      </c>
      <c r="J146" s="3237" t="s">
        <v>3305</v>
      </c>
      <c r="K146" s="3401">
        <v>45.27</v>
      </c>
      <c r="L146" s="3402">
        <v>31.54</v>
      </c>
      <c r="M146" s="3239"/>
      <c r="N146" s="3239"/>
      <c r="O146" s="3394"/>
      <c r="P146" s="3394"/>
      <c r="Q146" s="3394"/>
      <c r="R146" s="3239"/>
      <c r="S146" s="3239"/>
      <c r="T146" s="3239" t="str">
        <f t="shared" si="3"/>
        <v>无</v>
      </c>
    </row>
    <row r="147" spans="1:20">
      <c r="A147" s="3394">
        <v>145</v>
      </c>
      <c r="B147" s="3394">
        <v>1</v>
      </c>
      <c r="C147" s="3394">
        <v>1</v>
      </c>
      <c r="D147" s="3400">
        <v>522</v>
      </c>
      <c r="E147" s="3237">
        <v>529</v>
      </c>
      <c r="F147" s="3239">
        <v>1</v>
      </c>
      <c r="G147" s="3239">
        <v>1</v>
      </c>
      <c r="H147" s="3239">
        <v>1</v>
      </c>
      <c r="I147" s="3237" t="s">
        <v>3295</v>
      </c>
      <c r="J147" s="3237">
        <v>50</v>
      </c>
      <c r="K147" s="3401">
        <v>57.87</v>
      </c>
      <c r="L147" s="3402">
        <v>40.32</v>
      </c>
      <c r="M147" s="3239"/>
      <c r="N147" s="3239"/>
      <c r="O147" s="3394"/>
      <c r="P147" s="3394"/>
      <c r="Q147" s="3394"/>
      <c r="R147" s="3239"/>
      <c r="S147" s="3239"/>
      <c r="T147" s="3239" t="str">
        <f t="shared" si="3"/>
        <v>有</v>
      </c>
    </row>
    <row r="148" spans="1:20" hidden="1">
      <c r="A148" s="3394">
        <v>146</v>
      </c>
      <c r="B148" s="3394">
        <v>1</v>
      </c>
      <c r="C148" s="3394">
        <v>1</v>
      </c>
      <c r="D148" s="3400">
        <v>523</v>
      </c>
      <c r="E148" s="3237">
        <v>507</v>
      </c>
      <c r="F148" s="3239">
        <v>1</v>
      </c>
      <c r="G148" s="3239">
        <v>0</v>
      </c>
      <c r="H148" s="3239">
        <v>1</v>
      </c>
      <c r="I148" s="3257" t="s">
        <v>3304</v>
      </c>
      <c r="J148" s="3237" t="s">
        <v>3305</v>
      </c>
      <c r="K148" s="3401">
        <v>45.27</v>
      </c>
      <c r="L148" s="3402">
        <v>31.54</v>
      </c>
      <c r="M148" s="3239"/>
      <c r="N148" s="3239"/>
      <c r="O148" s="3394"/>
      <c r="P148" s="3394"/>
      <c r="Q148" s="3394"/>
      <c r="R148" s="3239"/>
      <c r="S148" s="3239"/>
      <c r="T148" s="3239" t="str">
        <f t="shared" si="3"/>
        <v>无</v>
      </c>
    </row>
    <row r="149" spans="1:20" hidden="1">
      <c r="A149" s="3394">
        <v>147</v>
      </c>
      <c r="B149" s="3394">
        <v>1</v>
      </c>
      <c r="C149" s="3394">
        <v>1</v>
      </c>
      <c r="D149" s="3400">
        <v>524</v>
      </c>
      <c r="E149" s="3237">
        <v>506</v>
      </c>
      <c r="F149" s="3239">
        <v>1</v>
      </c>
      <c r="G149" s="3239">
        <v>0</v>
      </c>
      <c r="H149" s="3239">
        <v>1</v>
      </c>
      <c r="I149" s="3257" t="s">
        <v>3304</v>
      </c>
      <c r="J149" s="3237" t="s">
        <v>3305</v>
      </c>
      <c r="K149" s="3401">
        <v>45.27</v>
      </c>
      <c r="L149" s="3402">
        <v>31.54</v>
      </c>
      <c r="M149" s="3239"/>
      <c r="N149" s="3239"/>
      <c r="O149" s="3394"/>
      <c r="P149" s="3394"/>
      <c r="Q149" s="3394"/>
      <c r="R149" s="3239"/>
      <c r="S149" s="3239"/>
      <c r="T149" s="3239" t="str">
        <f t="shared" si="3"/>
        <v>无</v>
      </c>
    </row>
    <row r="150" spans="1:20">
      <c r="A150" s="3394">
        <v>148</v>
      </c>
      <c r="B150" s="3394">
        <v>1</v>
      </c>
      <c r="C150" s="3394">
        <v>1</v>
      </c>
      <c r="D150" s="3400">
        <v>525</v>
      </c>
      <c r="E150" s="3237">
        <v>530</v>
      </c>
      <c r="F150" s="3239">
        <v>1</v>
      </c>
      <c r="G150" s="3239">
        <v>1</v>
      </c>
      <c r="H150" s="3239">
        <v>1</v>
      </c>
      <c r="I150" s="3237" t="s">
        <v>3295</v>
      </c>
      <c r="J150" s="3237">
        <v>50</v>
      </c>
      <c r="K150" s="3401">
        <v>57.87</v>
      </c>
      <c r="L150" s="3402">
        <v>40.32</v>
      </c>
      <c r="M150" s="3239"/>
      <c r="N150" s="3239"/>
      <c r="O150" s="3394"/>
      <c r="P150" s="3394"/>
      <c r="Q150" s="3394"/>
      <c r="R150" s="3239"/>
      <c r="S150" s="3239"/>
      <c r="T150" s="3239" t="str">
        <f t="shared" si="3"/>
        <v>有</v>
      </c>
    </row>
    <row r="151" spans="1:20" hidden="1">
      <c r="A151" s="3394">
        <v>149</v>
      </c>
      <c r="B151" s="3394">
        <v>1</v>
      </c>
      <c r="C151" s="3394">
        <v>1</v>
      </c>
      <c r="D151" s="3400">
        <v>526</v>
      </c>
      <c r="E151" s="3237">
        <v>505</v>
      </c>
      <c r="F151" s="3239">
        <v>1</v>
      </c>
      <c r="G151" s="3239">
        <v>0</v>
      </c>
      <c r="H151" s="3239">
        <v>1</v>
      </c>
      <c r="I151" s="3257" t="s">
        <v>3304</v>
      </c>
      <c r="J151" s="3237" t="s">
        <v>3306</v>
      </c>
      <c r="K151" s="3401">
        <v>46.3</v>
      </c>
      <c r="L151" s="3402">
        <v>32.26</v>
      </c>
      <c r="M151" s="3239"/>
      <c r="N151" s="3239"/>
      <c r="O151" s="3394"/>
      <c r="P151" s="3394"/>
      <c r="Q151" s="3394"/>
      <c r="R151" s="3239"/>
      <c r="S151" s="3239"/>
      <c r="T151" s="3239" t="str">
        <f t="shared" si="3"/>
        <v>无</v>
      </c>
    </row>
    <row r="152" spans="1:20">
      <c r="A152" s="3394">
        <v>150</v>
      </c>
      <c r="B152" s="3394">
        <v>1</v>
      </c>
      <c r="C152" s="3394">
        <v>1</v>
      </c>
      <c r="D152" s="3400">
        <v>527</v>
      </c>
      <c r="E152" s="3237">
        <v>531</v>
      </c>
      <c r="F152" s="3239">
        <v>1</v>
      </c>
      <c r="G152" s="3239">
        <v>1</v>
      </c>
      <c r="H152" s="3239">
        <v>1</v>
      </c>
      <c r="I152" s="3237" t="s">
        <v>3295</v>
      </c>
      <c r="J152" s="3237">
        <v>50</v>
      </c>
      <c r="K152" s="3401">
        <v>57.87</v>
      </c>
      <c r="L152" s="3402">
        <v>40.32</v>
      </c>
      <c r="M152" s="3239"/>
      <c r="N152" s="3239"/>
      <c r="O152" s="3394"/>
      <c r="P152" s="3394"/>
      <c r="Q152" s="3394"/>
      <c r="R152" s="3239"/>
      <c r="S152" s="3239"/>
      <c r="T152" s="3239" t="str">
        <f t="shared" si="3"/>
        <v>有</v>
      </c>
    </row>
    <row r="153" spans="1:20">
      <c r="A153" s="3394">
        <v>151</v>
      </c>
      <c r="B153" s="3394">
        <v>1</v>
      </c>
      <c r="C153" s="3394">
        <v>1</v>
      </c>
      <c r="D153" s="3400">
        <v>528</v>
      </c>
      <c r="E153" s="3237">
        <v>532</v>
      </c>
      <c r="F153" s="3239">
        <v>1</v>
      </c>
      <c r="G153" s="3239">
        <v>1</v>
      </c>
      <c r="H153" s="3239">
        <v>1</v>
      </c>
      <c r="I153" s="3237" t="s">
        <v>3295</v>
      </c>
      <c r="J153" s="3237">
        <v>50</v>
      </c>
      <c r="K153" s="3401">
        <v>57.87</v>
      </c>
      <c r="L153" s="3402">
        <v>40.32</v>
      </c>
      <c r="M153" s="3239"/>
      <c r="N153" s="3239"/>
      <c r="O153" s="3394"/>
      <c r="P153" s="3394"/>
      <c r="Q153" s="3394"/>
      <c r="R153" s="3239"/>
      <c r="S153" s="3239"/>
      <c r="T153" s="3239" t="str">
        <f t="shared" si="3"/>
        <v>有</v>
      </c>
    </row>
    <row r="154" spans="1:20">
      <c r="A154" s="3394">
        <v>152</v>
      </c>
      <c r="B154" s="3394">
        <v>1</v>
      </c>
      <c r="C154" s="3394">
        <v>1</v>
      </c>
      <c r="D154" s="3400">
        <v>529</v>
      </c>
      <c r="E154" s="3237">
        <v>533</v>
      </c>
      <c r="F154" s="3239">
        <v>1</v>
      </c>
      <c r="G154" s="3239">
        <v>1</v>
      </c>
      <c r="H154" s="3239">
        <v>1</v>
      </c>
      <c r="I154" s="3237" t="s">
        <v>3295</v>
      </c>
      <c r="J154" s="3237">
        <v>50</v>
      </c>
      <c r="K154" s="3401">
        <v>57.87</v>
      </c>
      <c r="L154" s="3402">
        <v>40.32</v>
      </c>
      <c r="M154" s="3239"/>
      <c r="N154" s="3239"/>
      <c r="O154" s="3394"/>
      <c r="P154" s="3394"/>
      <c r="Q154" s="3394"/>
      <c r="R154" s="3239"/>
      <c r="S154" s="3239"/>
      <c r="T154" s="3239" t="str">
        <f t="shared" si="3"/>
        <v>有</v>
      </c>
    </row>
    <row r="155" spans="1:20">
      <c r="A155" s="3394">
        <v>153</v>
      </c>
      <c r="B155" s="3394">
        <v>1</v>
      </c>
      <c r="C155" s="3394">
        <v>1</v>
      </c>
      <c r="D155" s="3400">
        <v>530</v>
      </c>
      <c r="E155" s="3237">
        <v>534</v>
      </c>
      <c r="F155" s="3239">
        <v>1</v>
      </c>
      <c r="G155" s="3239">
        <v>1</v>
      </c>
      <c r="H155" s="3239">
        <v>1</v>
      </c>
      <c r="I155" s="3237" t="s">
        <v>3295</v>
      </c>
      <c r="J155" s="3237">
        <v>50</v>
      </c>
      <c r="K155" s="3401">
        <v>57.87</v>
      </c>
      <c r="L155" s="3402">
        <v>40.32</v>
      </c>
      <c r="M155" s="3239"/>
      <c r="N155" s="3239"/>
      <c r="O155" s="3394"/>
      <c r="P155" s="3394"/>
      <c r="Q155" s="3394"/>
      <c r="R155" s="3239"/>
      <c r="S155" s="3239"/>
      <c r="T155" s="3239" t="str">
        <f t="shared" si="3"/>
        <v>有</v>
      </c>
    </row>
    <row r="156" spans="1:20" hidden="1">
      <c r="A156" s="3394">
        <v>154</v>
      </c>
      <c r="B156" s="3394">
        <v>1</v>
      </c>
      <c r="C156" s="3394">
        <v>1</v>
      </c>
      <c r="D156" s="3400">
        <v>531</v>
      </c>
      <c r="E156" s="3237">
        <v>504</v>
      </c>
      <c r="F156" s="3239">
        <v>1</v>
      </c>
      <c r="G156" s="3239">
        <v>0</v>
      </c>
      <c r="H156" s="3239">
        <v>1</v>
      </c>
      <c r="I156" s="3257" t="s">
        <v>3304</v>
      </c>
      <c r="J156" s="3237" t="s">
        <v>3306</v>
      </c>
      <c r="K156" s="3401">
        <v>46.3</v>
      </c>
      <c r="L156" s="3402">
        <v>32.26</v>
      </c>
      <c r="M156" s="3239"/>
      <c r="N156" s="3239"/>
      <c r="O156" s="3394"/>
      <c r="P156" s="3394"/>
      <c r="Q156" s="3394"/>
      <c r="R156" s="3239"/>
      <c r="S156" s="3239"/>
      <c r="T156" s="3239" t="str">
        <f t="shared" si="3"/>
        <v>无</v>
      </c>
    </row>
    <row r="157" spans="1:20">
      <c r="A157" s="3394">
        <v>155</v>
      </c>
      <c r="B157" s="3394">
        <v>1</v>
      </c>
      <c r="C157" s="3394">
        <v>1</v>
      </c>
      <c r="D157" s="3400">
        <v>532</v>
      </c>
      <c r="E157" s="3237">
        <v>535</v>
      </c>
      <c r="F157" s="3239">
        <v>1</v>
      </c>
      <c r="G157" s="3239">
        <v>1</v>
      </c>
      <c r="H157" s="3239">
        <v>1</v>
      </c>
      <c r="I157" s="3237" t="s">
        <v>3295</v>
      </c>
      <c r="J157" s="3237">
        <v>50</v>
      </c>
      <c r="K157" s="3401">
        <v>57.87</v>
      </c>
      <c r="L157" s="3402">
        <v>40.32</v>
      </c>
      <c r="M157" s="3239"/>
      <c r="N157" s="3239"/>
      <c r="O157" s="3394"/>
      <c r="P157" s="3394"/>
      <c r="Q157" s="3394"/>
      <c r="R157" s="3239"/>
      <c r="S157" s="3239"/>
      <c r="T157" s="3239" t="str">
        <f t="shared" si="3"/>
        <v>有</v>
      </c>
    </row>
    <row r="158" spans="1:20" hidden="1">
      <c r="A158" s="3394">
        <v>156</v>
      </c>
      <c r="B158" s="3394">
        <v>1</v>
      </c>
      <c r="C158" s="3394">
        <v>1</v>
      </c>
      <c r="D158" s="3400">
        <v>533</v>
      </c>
      <c r="E158" s="3237">
        <v>503</v>
      </c>
      <c r="F158" s="3239">
        <v>1</v>
      </c>
      <c r="G158" s="3239">
        <v>0</v>
      </c>
      <c r="H158" s="3239">
        <v>1</v>
      </c>
      <c r="I158" s="3257" t="s">
        <v>3304</v>
      </c>
      <c r="J158" s="3237" t="s">
        <v>3305</v>
      </c>
      <c r="K158" s="3401">
        <v>45.27</v>
      </c>
      <c r="L158" s="3402">
        <v>31.54</v>
      </c>
      <c r="M158" s="3239"/>
      <c r="N158" s="3239"/>
      <c r="O158" s="3394"/>
      <c r="P158" s="3394"/>
      <c r="Q158" s="3394"/>
      <c r="R158" s="3239"/>
      <c r="S158" s="3239"/>
      <c r="T158" s="3239" t="str">
        <f t="shared" si="3"/>
        <v>无</v>
      </c>
    </row>
    <row r="159" spans="1:20" hidden="1">
      <c r="A159" s="3394">
        <v>157</v>
      </c>
      <c r="B159" s="3394">
        <v>1</v>
      </c>
      <c r="C159" s="3394">
        <v>1</v>
      </c>
      <c r="D159" s="3400">
        <v>534</v>
      </c>
      <c r="E159" s="3237">
        <v>502</v>
      </c>
      <c r="F159" s="3239">
        <v>1</v>
      </c>
      <c r="G159" s="3239">
        <v>0</v>
      </c>
      <c r="H159" s="3239">
        <v>1</v>
      </c>
      <c r="I159" s="3257" t="s">
        <v>3304</v>
      </c>
      <c r="J159" s="3237" t="s">
        <v>3305</v>
      </c>
      <c r="K159" s="3401">
        <v>45.27</v>
      </c>
      <c r="L159" s="3402">
        <v>31.54</v>
      </c>
      <c r="M159" s="3239"/>
      <c r="N159" s="3239"/>
      <c r="O159" s="3394"/>
      <c r="P159" s="3394"/>
      <c r="Q159" s="3394"/>
      <c r="R159" s="3239"/>
      <c r="S159" s="3239"/>
      <c r="T159" s="3239" t="str">
        <f t="shared" si="3"/>
        <v>无</v>
      </c>
    </row>
    <row r="160" spans="1:20">
      <c r="A160" s="3394">
        <v>158</v>
      </c>
      <c r="B160" s="3394">
        <v>1</v>
      </c>
      <c r="C160" s="3394">
        <v>1</v>
      </c>
      <c r="D160" s="3400">
        <v>535</v>
      </c>
      <c r="E160" s="3237">
        <v>536</v>
      </c>
      <c r="F160" s="3239">
        <v>1</v>
      </c>
      <c r="G160" s="3239">
        <v>1</v>
      </c>
      <c r="H160" s="3239">
        <v>1</v>
      </c>
      <c r="I160" s="3237" t="s">
        <v>3295</v>
      </c>
      <c r="J160" s="3237">
        <v>50</v>
      </c>
      <c r="K160" s="3401">
        <v>57.87</v>
      </c>
      <c r="L160" s="3402">
        <v>40.32</v>
      </c>
      <c r="M160" s="3239"/>
      <c r="N160" s="3239"/>
      <c r="O160" s="3394"/>
      <c r="P160" s="3394"/>
      <c r="Q160" s="3394"/>
      <c r="R160" s="3239"/>
      <c r="S160" s="3239"/>
      <c r="T160" s="3239" t="str">
        <f t="shared" si="3"/>
        <v>有</v>
      </c>
    </row>
    <row r="161" spans="1:20" hidden="1">
      <c r="A161" s="3394">
        <v>159</v>
      </c>
      <c r="B161" s="3394">
        <v>1</v>
      </c>
      <c r="C161" s="3394">
        <v>1</v>
      </c>
      <c r="D161" s="3400">
        <v>536</v>
      </c>
      <c r="E161" s="3237">
        <v>537</v>
      </c>
      <c r="F161" s="3239">
        <v>1</v>
      </c>
      <c r="G161" s="3239">
        <v>0</v>
      </c>
      <c r="H161" s="3239">
        <v>1</v>
      </c>
      <c r="I161" s="3237" t="s">
        <v>3295</v>
      </c>
      <c r="J161" s="3257" t="s">
        <v>3322</v>
      </c>
      <c r="K161" s="3401">
        <v>49.52</v>
      </c>
      <c r="L161" s="3402">
        <v>34.5</v>
      </c>
      <c r="M161" s="3239"/>
      <c r="N161" s="3239"/>
      <c r="O161" s="3394"/>
      <c r="P161" s="3394"/>
      <c r="Q161" s="3394"/>
      <c r="R161" s="3239"/>
      <c r="S161" s="3239"/>
      <c r="T161" s="3239" t="str">
        <f t="shared" si="3"/>
        <v>无</v>
      </c>
    </row>
    <row r="162" spans="1:20">
      <c r="A162" s="3394">
        <v>160</v>
      </c>
      <c r="B162" s="3394">
        <v>1</v>
      </c>
      <c r="C162" s="3394">
        <v>1</v>
      </c>
      <c r="D162" s="3400">
        <v>537</v>
      </c>
      <c r="E162" s="3237">
        <v>501</v>
      </c>
      <c r="F162" s="3239">
        <v>1</v>
      </c>
      <c r="G162" s="3239">
        <v>1</v>
      </c>
      <c r="H162" s="3239">
        <v>1</v>
      </c>
      <c r="I162" s="3237" t="s">
        <v>3302</v>
      </c>
      <c r="J162" s="3237" t="s">
        <v>3303</v>
      </c>
      <c r="K162" s="3401">
        <v>58.16</v>
      </c>
      <c r="L162" s="3402">
        <v>40.520000000000003</v>
      </c>
      <c r="M162" s="3239"/>
      <c r="N162" s="3239"/>
      <c r="O162" s="3394"/>
      <c r="P162" s="3395"/>
      <c r="Q162" s="3395"/>
      <c r="R162" s="3239"/>
      <c r="S162" s="3239"/>
      <c r="T162" s="3239" t="str">
        <f t="shared" si="3"/>
        <v>有</v>
      </c>
    </row>
    <row r="163" spans="1:20" hidden="1">
      <c r="A163" s="3394">
        <v>161</v>
      </c>
      <c r="B163" s="3394">
        <v>1</v>
      </c>
      <c r="C163" s="3394">
        <v>1</v>
      </c>
      <c r="D163" s="3400">
        <v>538</v>
      </c>
      <c r="E163" s="3237">
        <v>539</v>
      </c>
      <c r="F163" s="3239">
        <v>1</v>
      </c>
      <c r="G163" s="3239">
        <v>0</v>
      </c>
      <c r="H163" s="3239">
        <v>1</v>
      </c>
      <c r="I163" s="3237" t="s">
        <v>3300</v>
      </c>
      <c r="J163" s="3237" t="s">
        <v>3323</v>
      </c>
      <c r="K163" s="3401">
        <v>46.53</v>
      </c>
      <c r="L163" s="3402">
        <v>32.42</v>
      </c>
      <c r="M163" s="3239"/>
      <c r="N163" s="3239"/>
      <c r="O163" s="3394"/>
      <c r="P163" s="3394"/>
      <c r="Q163" s="3394"/>
      <c r="R163" s="3239"/>
      <c r="S163" s="3239"/>
      <c r="T163" s="3239" t="str">
        <f t="shared" si="3"/>
        <v>无</v>
      </c>
    </row>
    <row r="164" spans="1:20" hidden="1">
      <c r="A164" s="3394">
        <v>162</v>
      </c>
      <c r="B164" s="3394">
        <v>1</v>
      </c>
      <c r="C164" s="3394">
        <v>1</v>
      </c>
      <c r="D164" s="3400">
        <v>539</v>
      </c>
      <c r="E164" s="3237">
        <v>538</v>
      </c>
      <c r="F164" s="3239">
        <v>1</v>
      </c>
      <c r="G164" s="3239">
        <v>0</v>
      </c>
      <c r="H164" s="3239">
        <v>1</v>
      </c>
      <c r="I164" s="3237" t="s">
        <v>3295</v>
      </c>
      <c r="J164" s="3237" t="s">
        <v>3500</v>
      </c>
      <c r="K164" s="3401">
        <v>50.61</v>
      </c>
      <c r="L164" s="3402">
        <v>35.26</v>
      </c>
      <c r="M164" s="3239"/>
      <c r="N164" s="3239"/>
      <c r="O164" s="3394"/>
      <c r="P164" s="3394"/>
      <c r="Q164" s="3394"/>
      <c r="R164" s="3239"/>
      <c r="S164" s="3239"/>
      <c r="T164" s="3239" t="str">
        <f t="shared" si="3"/>
        <v>无</v>
      </c>
    </row>
    <row r="165" spans="1:20">
      <c r="A165" s="3394">
        <v>163</v>
      </c>
      <c r="B165" s="3394">
        <v>1</v>
      </c>
      <c r="C165" s="3394">
        <v>1</v>
      </c>
      <c r="D165" s="3400">
        <v>601</v>
      </c>
      <c r="E165" s="3237">
        <v>616</v>
      </c>
      <c r="F165" s="3239">
        <v>1</v>
      </c>
      <c r="G165" s="3239">
        <v>1</v>
      </c>
      <c r="H165" s="3239">
        <v>1</v>
      </c>
      <c r="I165" s="3257" t="s">
        <v>3312</v>
      </c>
      <c r="J165" s="3237" t="s">
        <v>3314</v>
      </c>
      <c r="K165" s="3401">
        <v>57.37</v>
      </c>
      <c r="L165" s="3402">
        <v>39.97</v>
      </c>
      <c r="M165" s="3239"/>
      <c r="N165" s="3239"/>
      <c r="O165" s="3394"/>
      <c r="P165" s="3394"/>
      <c r="Q165" s="3394"/>
      <c r="R165" s="3239"/>
      <c r="S165" s="3239"/>
      <c r="T165" s="3239" t="str">
        <f t="shared" si="3"/>
        <v>有</v>
      </c>
    </row>
    <row r="166" spans="1:20">
      <c r="A166" s="3394">
        <v>164</v>
      </c>
      <c r="B166" s="3394">
        <v>1</v>
      </c>
      <c r="C166" s="3394">
        <v>1</v>
      </c>
      <c r="D166" s="3400">
        <v>602</v>
      </c>
      <c r="E166" s="3237">
        <v>617</v>
      </c>
      <c r="F166" s="3239">
        <v>1</v>
      </c>
      <c r="G166" s="3239">
        <v>1</v>
      </c>
      <c r="H166" s="3239">
        <v>1</v>
      </c>
      <c r="I166" s="3257" t="s">
        <v>3312</v>
      </c>
      <c r="J166" s="3237">
        <v>50</v>
      </c>
      <c r="K166" s="3401">
        <v>57.87</v>
      </c>
      <c r="L166" s="3402">
        <v>40.32</v>
      </c>
      <c r="M166" s="3239"/>
      <c r="N166" s="3239"/>
      <c r="O166" s="3394"/>
      <c r="P166" s="3394"/>
      <c r="Q166" s="3394"/>
      <c r="R166" s="3239"/>
      <c r="S166" s="3239"/>
      <c r="T166" s="3239" t="str">
        <f t="shared" si="3"/>
        <v>有</v>
      </c>
    </row>
    <row r="167" spans="1:20">
      <c r="A167" s="3394">
        <v>165</v>
      </c>
      <c r="B167" s="3394">
        <v>1</v>
      </c>
      <c r="C167" s="3394">
        <v>1</v>
      </c>
      <c r="D167" s="3400">
        <v>603</v>
      </c>
      <c r="E167" s="3237">
        <v>618</v>
      </c>
      <c r="F167" s="3239">
        <v>1</v>
      </c>
      <c r="G167" s="3239">
        <v>1</v>
      </c>
      <c r="H167" s="3239">
        <v>1</v>
      </c>
      <c r="I167" s="3257" t="s">
        <v>3312</v>
      </c>
      <c r="J167" s="3237">
        <v>50</v>
      </c>
      <c r="K167" s="3401">
        <v>57.87</v>
      </c>
      <c r="L167" s="3402">
        <v>40.32</v>
      </c>
      <c r="M167" s="3239"/>
      <c r="N167" s="3239"/>
      <c r="O167" s="3394"/>
      <c r="P167" s="3394"/>
      <c r="Q167" s="3394"/>
      <c r="R167" s="3239"/>
      <c r="S167" s="3239"/>
      <c r="T167" s="3239" t="str">
        <f t="shared" si="3"/>
        <v>有</v>
      </c>
    </row>
    <row r="168" spans="1:20">
      <c r="A168" s="3394">
        <v>166</v>
      </c>
      <c r="B168" s="3394">
        <v>1</v>
      </c>
      <c r="C168" s="3394">
        <v>1</v>
      </c>
      <c r="D168" s="3400">
        <v>604</v>
      </c>
      <c r="E168" s="3237">
        <v>619</v>
      </c>
      <c r="F168" s="3239">
        <v>1</v>
      </c>
      <c r="G168" s="3239">
        <v>1</v>
      </c>
      <c r="H168" s="3239">
        <v>1</v>
      </c>
      <c r="I168" s="3257" t="s">
        <v>3312</v>
      </c>
      <c r="J168" s="3237" t="s">
        <v>3308</v>
      </c>
      <c r="K168" s="3401">
        <v>57.23</v>
      </c>
      <c r="L168" s="3402">
        <v>39.869999999999997</v>
      </c>
      <c r="M168" s="3239"/>
      <c r="N168" s="3239"/>
      <c r="O168" s="3394"/>
      <c r="P168" s="3394"/>
      <c r="Q168" s="3394"/>
      <c r="R168" s="3239"/>
      <c r="S168" s="3239"/>
      <c r="T168" s="3239" t="str">
        <f t="shared" si="3"/>
        <v>有</v>
      </c>
    </row>
    <row r="169" spans="1:20">
      <c r="A169" s="3394">
        <v>167</v>
      </c>
      <c r="B169" s="3394">
        <v>1</v>
      </c>
      <c r="C169" s="3394">
        <v>1</v>
      </c>
      <c r="D169" s="3400">
        <v>605</v>
      </c>
      <c r="E169" s="3237">
        <v>620</v>
      </c>
      <c r="F169" s="3239">
        <v>1</v>
      </c>
      <c r="G169" s="3239">
        <v>1</v>
      </c>
      <c r="H169" s="3239">
        <v>1</v>
      </c>
      <c r="I169" s="3257" t="s">
        <v>3312</v>
      </c>
      <c r="J169" s="3257" t="s">
        <v>3315</v>
      </c>
      <c r="K169" s="3401">
        <v>59.16</v>
      </c>
      <c r="L169" s="3402">
        <v>41.22</v>
      </c>
      <c r="M169" s="3239"/>
      <c r="N169" s="3239"/>
      <c r="O169" s="3394"/>
      <c r="P169" s="3394"/>
      <c r="Q169" s="3394"/>
      <c r="R169" s="3239"/>
      <c r="S169" s="3239"/>
      <c r="T169" s="3239" t="str">
        <f t="shared" si="3"/>
        <v>有</v>
      </c>
    </row>
    <row r="170" spans="1:20">
      <c r="A170" s="3394">
        <v>168</v>
      </c>
      <c r="B170" s="3394">
        <v>1</v>
      </c>
      <c r="C170" s="3394">
        <v>1</v>
      </c>
      <c r="D170" s="3400">
        <v>606</v>
      </c>
      <c r="E170" s="3237">
        <v>621</v>
      </c>
      <c r="F170" s="3239">
        <v>4</v>
      </c>
      <c r="G170" s="3239">
        <v>1</v>
      </c>
      <c r="H170" s="3239">
        <v>1</v>
      </c>
      <c r="I170" s="3237" t="s">
        <v>3316</v>
      </c>
      <c r="J170" s="3237" t="s">
        <v>3317</v>
      </c>
      <c r="K170" s="3401">
        <v>108.7</v>
      </c>
      <c r="L170" s="3402">
        <v>75.73</v>
      </c>
      <c r="M170" s="3239"/>
      <c r="N170" s="3239"/>
      <c r="O170" s="3394"/>
      <c r="P170" s="3394"/>
      <c r="Q170" s="3394"/>
      <c r="R170" s="3239"/>
      <c r="S170" s="3239"/>
      <c r="T170" s="3239" t="str">
        <f t="shared" si="3"/>
        <v>有</v>
      </c>
    </row>
    <row r="171" spans="1:20">
      <c r="A171" s="3394">
        <v>169</v>
      </c>
      <c r="B171" s="3394">
        <v>1</v>
      </c>
      <c r="C171" s="3394">
        <v>1</v>
      </c>
      <c r="D171" s="3400">
        <v>607</v>
      </c>
      <c r="E171" s="3237">
        <v>614</v>
      </c>
      <c r="F171" s="3239">
        <v>1</v>
      </c>
      <c r="G171" s="3239">
        <v>1</v>
      </c>
      <c r="H171" s="3239">
        <v>1</v>
      </c>
      <c r="I171" s="3237" t="s">
        <v>3310</v>
      </c>
      <c r="J171" s="3237" t="s">
        <v>3311</v>
      </c>
      <c r="K171" s="3401">
        <v>55.32</v>
      </c>
      <c r="L171" s="3402">
        <v>38.54</v>
      </c>
      <c r="M171" s="3239"/>
      <c r="N171" s="3239"/>
      <c r="O171" s="3394"/>
      <c r="P171" s="3394"/>
      <c r="Q171" s="3394"/>
      <c r="R171" s="3239"/>
      <c r="S171" s="3239"/>
      <c r="T171" s="3239" t="str">
        <f t="shared" si="3"/>
        <v>有</v>
      </c>
    </row>
    <row r="172" spans="1:20">
      <c r="A172" s="3394">
        <v>170</v>
      </c>
      <c r="B172" s="3394">
        <v>1</v>
      </c>
      <c r="C172" s="3394">
        <v>1</v>
      </c>
      <c r="D172" s="3400">
        <v>608</v>
      </c>
      <c r="E172" s="3237">
        <v>615</v>
      </c>
      <c r="F172" s="3239">
        <v>2</v>
      </c>
      <c r="G172" s="3239">
        <v>1</v>
      </c>
      <c r="H172" s="3239">
        <v>1</v>
      </c>
      <c r="I172" s="3257" t="s">
        <v>3312</v>
      </c>
      <c r="J172" s="3237" t="s">
        <v>3313</v>
      </c>
      <c r="K172" s="3401">
        <v>96.55</v>
      </c>
      <c r="L172" s="3402">
        <v>67.27</v>
      </c>
      <c r="M172" s="3239"/>
      <c r="N172" s="3239"/>
      <c r="O172" s="3394"/>
      <c r="P172" s="3394"/>
      <c r="Q172" s="3394"/>
      <c r="R172" s="3239"/>
      <c r="S172" s="3239"/>
      <c r="T172" s="3239" t="str">
        <f t="shared" si="3"/>
        <v>有</v>
      </c>
    </row>
    <row r="173" spans="1:20">
      <c r="A173" s="3394">
        <v>171</v>
      </c>
      <c r="B173" s="3394">
        <v>1</v>
      </c>
      <c r="C173" s="3394">
        <v>1</v>
      </c>
      <c r="D173" s="3400">
        <v>609</v>
      </c>
      <c r="E173" s="3237">
        <v>613</v>
      </c>
      <c r="F173" s="3239">
        <v>1</v>
      </c>
      <c r="G173" s="3239">
        <v>1</v>
      </c>
      <c r="H173" s="3239">
        <v>1</v>
      </c>
      <c r="I173" s="3257" t="s">
        <v>3304</v>
      </c>
      <c r="J173" s="3257" t="s">
        <v>3309</v>
      </c>
      <c r="K173" s="3401">
        <v>57.35</v>
      </c>
      <c r="L173" s="3402">
        <v>39.96</v>
      </c>
      <c r="M173" s="3239"/>
      <c r="N173" s="3239"/>
      <c r="O173" s="3394"/>
      <c r="P173" s="3394"/>
      <c r="Q173" s="3394"/>
      <c r="R173" s="3239"/>
      <c r="S173" s="3239"/>
      <c r="T173" s="3239" t="str">
        <f t="shared" si="3"/>
        <v>有</v>
      </c>
    </row>
    <row r="174" spans="1:20">
      <c r="A174" s="3394">
        <v>172</v>
      </c>
      <c r="B174" s="3394">
        <v>1</v>
      </c>
      <c r="C174" s="3394">
        <v>1</v>
      </c>
      <c r="D174" s="3400">
        <v>610</v>
      </c>
      <c r="E174" s="3237">
        <v>622</v>
      </c>
      <c r="F174" s="3239">
        <v>4</v>
      </c>
      <c r="G174" s="3239">
        <v>1</v>
      </c>
      <c r="H174" s="3239">
        <v>1</v>
      </c>
      <c r="I174" s="3237" t="s">
        <v>3318</v>
      </c>
      <c r="J174" s="3237" t="s">
        <v>3319</v>
      </c>
      <c r="K174" s="3401">
        <v>108.7</v>
      </c>
      <c r="L174" s="3402">
        <v>75.73</v>
      </c>
      <c r="M174" s="3239"/>
      <c r="N174" s="3239"/>
      <c r="O174" s="3394"/>
      <c r="P174" s="3394"/>
      <c r="Q174" s="3394"/>
      <c r="R174" s="3239"/>
      <c r="S174" s="3239"/>
      <c r="T174" s="3239" t="str">
        <f t="shared" si="3"/>
        <v>有</v>
      </c>
    </row>
    <row r="175" spans="1:20">
      <c r="A175" s="3394">
        <v>173</v>
      </c>
      <c r="B175" s="3394">
        <v>1</v>
      </c>
      <c r="C175" s="3394">
        <v>1</v>
      </c>
      <c r="D175" s="3400">
        <v>611</v>
      </c>
      <c r="E175" s="3237">
        <v>624</v>
      </c>
      <c r="F175" s="3239">
        <v>1</v>
      </c>
      <c r="G175" s="3239">
        <v>1</v>
      </c>
      <c r="H175" s="3239">
        <v>1</v>
      </c>
      <c r="I175" s="3237" t="s">
        <v>3300</v>
      </c>
      <c r="J175" s="3237">
        <v>50</v>
      </c>
      <c r="K175" s="3401">
        <v>57.87</v>
      </c>
      <c r="L175" s="3402">
        <v>40.32</v>
      </c>
      <c r="M175" s="3239"/>
      <c r="N175" s="3239"/>
      <c r="O175" s="3394"/>
      <c r="P175" s="3394"/>
      <c r="Q175" s="3394"/>
      <c r="R175" s="3239"/>
      <c r="S175" s="3239"/>
      <c r="T175" s="3239" t="str">
        <f t="shared" si="3"/>
        <v>有</v>
      </c>
    </row>
    <row r="176" spans="1:20">
      <c r="A176" s="3394">
        <v>174</v>
      </c>
      <c r="B176" s="3394">
        <v>1</v>
      </c>
      <c r="C176" s="3394">
        <v>1</v>
      </c>
      <c r="D176" s="3400">
        <v>612</v>
      </c>
      <c r="E176" s="3237">
        <v>623</v>
      </c>
      <c r="F176" s="3239">
        <v>1</v>
      </c>
      <c r="G176" s="3239">
        <v>1</v>
      </c>
      <c r="H176" s="3239">
        <v>1</v>
      </c>
      <c r="I176" s="3237" t="s">
        <v>3300</v>
      </c>
      <c r="J176" s="3237" t="s">
        <v>3308</v>
      </c>
      <c r="K176" s="3401">
        <v>57.23</v>
      </c>
      <c r="L176" s="3402">
        <v>39.869999999999997</v>
      </c>
      <c r="M176" s="3239"/>
      <c r="N176" s="3239"/>
      <c r="O176" s="3394"/>
      <c r="P176" s="3394"/>
      <c r="Q176" s="3394"/>
      <c r="R176" s="3239"/>
      <c r="S176" s="3239"/>
      <c r="T176" s="3239" t="str">
        <f t="shared" si="3"/>
        <v>有</v>
      </c>
    </row>
    <row r="177" spans="1:20">
      <c r="A177" s="3394">
        <v>175</v>
      </c>
      <c r="B177" s="3394">
        <v>1</v>
      </c>
      <c r="C177" s="3394">
        <v>1</v>
      </c>
      <c r="D177" s="3400">
        <v>613</v>
      </c>
      <c r="E177" s="3237">
        <v>625</v>
      </c>
      <c r="F177" s="3239">
        <v>1</v>
      </c>
      <c r="G177" s="3239">
        <v>1</v>
      </c>
      <c r="H177" s="3239">
        <v>1</v>
      </c>
      <c r="I177" s="3237" t="s">
        <v>3300</v>
      </c>
      <c r="J177" s="3237" t="s">
        <v>3320</v>
      </c>
      <c r="K177" s="3401">
        <v>58.02</v>
      </c>
      <c r="L177" s="3402">
        <v>40.42</v>
      </c>
      <c r="M177" s="3239"/>
      <c r="N177" s="3239"/>
      <c r="O177" s="3394"/>
      <c r="P177" s="3394"/>
      <c r="Q177" s="3394"/>
      <c r="R177" s="3239"/>
      <c r="S177" s="3239"/>
      <c r="T177" s="3239" t="str">
        <f t="shared" si="3"/>
        <v>有</v>
      </c>
    </row>
    <row r="178" spans="1:20">
      <c r="A178" s="3394">
        <v>176</v>
      </c>
      <c r="B178" s="3394">
        <v>1</v>
      </c>
      <c r="C178" s="3394">
        <v>1</v>
      </c>
      <c r="D178" s="3400">
        <v>614</v>
      </c>
      <c r="E178" s="3237">
        <v>612</v>
      </c>
      <c r="F178" s="3239">
        <v>1</v>
      </c>
      <c r="G178" s="3239">
        <v>1</v>
      </c>
      <c r="H178" s="3239">
        <v>1</v>
      </c>
      <c r="I178" s="3257" t="s">
        <v>3304</v>
      </c>
      <c r="J178" s="3237" t="s">
        <v>3308</v>
      </c>
      <c r="K178" s="3401">
        <v>57.23</v>
      </c>
      <c r="L178" s="3402">
        <v>39.869999999999997</v>
      </c>
      <c r="M178" s="3239"/>
      <c r="N178" s="3239"/>
      <c r="O178" s="3394"/>
      <c r="P178" s="3394"/>
      <c r="Q178" s="3394"/>
      <c r="R178" s="3239"/>
      <c r="S178" s="3239"/>
      <c r="T178" s="3239" t="str">
        <f t="shared" si="3"/>
        <v>有</v>
      </c>
    </row>
    <row r="179" spans="1:20" hidden="1">
      <c r="A179" s="3394">
        <v>177</v>
      </c>
      <c r="B179" s="3394">
        <v>1</v>
      </c>
      <c r="C179" s="3394">
        <v>1</v>
      </c>
      <c r="D179" s="3400">
        <v>615</v>
      </c>
      <c r="E179" s="3237">
        <v>611</v>
      </c>
      <c r="F179" s="3239">
        <v>1</v>
      </c>
      <c r="G179" s="3239">
        <v>0</v>
      </c>
      <c r="H179" s="3239">
        <v>1</v>
      </c>
      <c r="I179" s="3257" t="s">
        <v>3304</v>
      </c>
      <c r="J179" s="3237" t="s">
        <v>3307</v>
      </c>
      <c r="K179" s="3401">
        <v>45.9</v>
      </c>
      <c r="L179" s="3402">
        <v>31.98</v>
      </c>
      <c r="M179" s="3239"/>
      <c r="N179" s="3239"/>
      <c r="O179" s="3394"/>
      <c r="P179" s="3394"/>
      <c r="Q179" s="3394"/>
      <c r="R179" s="3239"/>
      <c r="S179" s="3239"/>
      <c r="T179" s="3239" t="str">
        <f t="shared" si="3"/>
        <v>无</v>
      </c>
    </row>
    <row r="180" spans="1:20">
      <c r="A180" s="3394">
        <v>178</v>
      </c>
      <c r="B180" s="3394">
        <v>1</v>
      </c>
      <c r="C180" s="3394">
        <v>1</v>
      </c>
      <c r="D180" s="3400">
        <v>616</v>
      </c>
      <c r="E180" s="3237">
        <v>626</v>
      </c>
      <c r="F180" s="3239">
        <v>1</v>
      </c>
      <c r="G180" s="3239">
        <v>1</v>
      </c>
      <c r="H180" s="3239">
        <v>1</v>
      </c>
      <c r="I180" s="3237" t="s">
        <v>3295</v>
      </c>
      <c r="J180" s="3237" t="s">
        <v>3321</v>
      </c>
      <c r="K180" s="3401">
        <v>61.09</v>
      </c>
      <c r="L180" s="3402">
        <v>42.56</v>
      </c>
      <c r="M180" s="3239"/>
      <c r="N180" s="3239"/>
      <c r="O180" s="3394">
        <v>2.9</v>
      </c>
      <c r="P180" s="3394" t="s">
        <v>3363</v>
      </c>
      <c r="Q180" s="3394" t="s">
        <v>3482</v>
      </c>
      <c r="R180" s="3239"/>
      <c r="S180" s="3239"/>
      <c r="T180" s="3239" t="str">
        <f t="shared" si="3"/>
        <v>有</v>
      </c>
    </row>
    <row r="181" spans="1:20" hidden="1">
      <c r="A181" s="3394">
        <v>179</v>
      </c>
      <c r="B181" s="3394">
        <v>1</v>
      </c>
      <c r="C181" s="3394">
        <v>1</v>
      </c>
      <c r="D181" s="3400">
        <v>617</v>
      </c>
      <c r="E181" s="3237">
        <v>610</v>
      </c>
      <c r="F181" s="3239">
        <v>1</v>
      </c>
      <c r="G181" s="3239">
        <v>0</v>
      </c>
      <c r="H181" s="3239">
        <v>1</v>
      </c>
      <c r="I181" s="3257" t="s">
        <v>3304</v>
      </c>
      <c r="J181" s="3237" t="s">
        <v>3305</v>
      </c>
      <c r="K181" s="3401">
        <v>45.27</v>
      </c>
      <c r="L181" s="3402">
        <v>31.54</v>
      </c>
      <c r="M181" s="3239"/>
      <c r="N181" s="3239"/>
      <c r="O181" s="3394"/>
      <c r="P181" s="3394"/>
      <c r="Q181" s="3394"/>
      <c r="R181" s="3239"/>
      <c r="S181" s="3239"/>
      <c r="T181" s="3239" t="str">
        <f t="shared" si="3"/>
        <v>无</v>
      </c>
    </row>
    <row r="182" spans="1:20">
      <c r="A182" s="3394">
        <v>180</v>
      </c>
      <c r="B182" s="3394">
        <v>1</v>
      </c>
      <c r="C182" s="3394">
        <v>1</v>
      </c>
      <c r="D182" s="3400">
        <v>618</v>
      </c>
      <c r="E182" s="3237">
        <v>627</v>
      </c>
      <c r="F182" s="3239">
        <v>1</v>
      </c>
      <c r="G182" s="3239">
        <v>1</v>
      </c>
      <c r="H182" s="3239">
        <v>1</v>
      </c>
      <c r="I182" s="3237" t="s">
        <v>3295</v>
      </c>
      <c r="J182" s="3237">
        <v>50</v>
      </c>
      <c r="K182" s="3401">
        <v>57.87</v>
      </c>
      <c r="L182" s="3402">
        <v>40.32</v>
      </c>
      <c r="M182" s="3239"/>
      <c r="N182" s="3239"/>
      <c r="O182" s="3394"/>
      <c r="P182" s="3394"/>
      <c r="Q182" s="3394"/>
      <c r="R182" s="3239"/>
      <c r="S182" s="3239"/>
      <c r="T182" s="3239" t="str">
        <f t="shared" si="3"/>
        <v>有</v>
      </c>
    </row>
    <row r="183" spans="1:20" hidden="1">
      <c r="A183" s="3394">
        <v>181</v>
      </c>
      <c r="B183" s="3394">
        <v>1</v>
      </c>
      <c r="C183" s="3394">
        <v>1</v>
      </c>
      <c r="D183" s="3400">
        <v>619</v>
      </c>
      <c r="E183" s="3237">
        <v>609</v>
      </c>
      <c r="F183" s="3239">
        <v>1</v>
      </c>
      <c r="G183" s="3239">
        <v>0</v>
      </c>
      <c r="H183" s="3239">
        <v>1</v>
      </c>
      <c r="I183" s="3257" t="s">
        <v>3304</v>
      </c>
      <c r="J183" s="3237" t="s">
        <v>3305</v>
      </c>
      <c r="K183" s="3401">
        <v>45.27</v>
      </c>
      <c r="L183" s="3402">
        <v>31.54</v>
      </c>
      <c r="M183" s="3239"/>
      <c r="N183" s="3239"/>
      <c r="O183" s="3394"/>
      <c r="P183" s="3394"/>
      <c r="Q183" s="3394"/>
      <c r="R183" s="3239"/>
      <c r="S183" s="3239"/>
      <c r="T183" s="3239" t="str">
        <f t="shared" si="3"/>
        <v>无</v>
      </c>
    </row>
    <row r="184" spans="1:20">
      <c r="A184" s="3394">
        <v>182</v>
      </c>
      <c r="B184" s="3394">
        <v>1</v>
      </c>
      <c r="C184" s="3394">
        <v>1</v>
      </c>
      <c r="D184" s="3400">
        <v>620</v>
      </c>
      <c r="E184" s="3237">
        <v>628</v>
      </c>
      <c r="F184" s="3239">
        <v>1</v>
      </c>
      <c r="G184" s="3239">
        <v>1</v>
      </c>
      <c r="H184" s="3239">
        <v>1</v>
      </c>
      <c r="I184" s="3237" t="s">
        <v>3295</v>
      </c>
      <c r="J184" s="3237">
        <v>50</v>
      </c>
      <c r="K184" s="3401">
        <v>57.87</v>
      </c>
      <c r="L184" s="3402">
        <v>40.32</v>
      </c>
      <c r="M184" s="3239"/>
      <c r="N184" s="3239"/>
      <c r="O184" s="3394"/>
      <c r="P184" s="3394"/>
      <c r="Q184" s="3394"/>
      <c r="R184" s="3239"/>
      <c r="S184" s="3239"/>
      <c r="T184" s="3239" t="str">
        <f t="shared" si="3"/>
        <v>有</v>
      </c>
    </row>
    <row r="185" spans="1:20" hidden="1">
      <c r="A185" s="3394">
        <v>183</v>
      </c>
      <c r="B185" s="3394">
        <v>1</v>
      </c>
      <c r="C185" s="3394">
        <v>1</v>
      </c>
      <c r="D185" s="3400">
        <v>621</v>
      </c>
      <c r="E185" s="3237">
        <v>608</v>
      </c>
      <c r="F185" s="3239">
        <v>1</v>
      </c>
      <c r="G185" s="3239">
        <v>0</v>
      </c>
      <c r="H185" s="3239">
        <v>1</v>
      </c>
      <c r="I185" s="3257" t="s">
        <v>3304</v>
      </c>
      <c r="J185" s="3237" t="s">
        <v>3305</v>
      </c>
      <c r="K185" s="3401">
        <v>45.27</v>
      </c>
      <c r="L185" s="3402">
        <v>31.54</v>
      </c>
      <c r="M185" s="3239"/>
      <c r="N185" s="3239"/>
      <c r="O185" s="3394"/>
      <c r="P185" s="3394"/>
      <c r="Q185" s="3394"/>
      <c r="R185" s="3239"/>
      <c r="S185" s="3239"/>
      <c r="T185" s="3239" t="str">
        <f t="shared" si="3"/>
        <v>无</v>
      </c>
    </row>
    <row r="186" spans="1:20">
      <c r="A186" s="3394">
        <v>184</v>
      </c>
      <c r="B186" s="3394">
        <v>1</v>
      </c>
      <c r="C186" s="3394">
        <v>1</v>
      </c>
      <c r="D186" s="3400">
        <v>622</v>
      </c>
      <c r="E186" s="3237">
        <v>629</v>
      </c>
      <c r="F186" s="3239">
        <v>1</v>
      </c>
      <c r="G186" s="3239">
        <v>1</v>
      </c>
      <c r="H186" s="3239">
        <v>1</v>
      </c>
      <c r="I186" s="3237" t="s">
        <v>3295</v>
      </c>
      <c r="J186" s="3237">
        <v>50</v>
      </c>
      <c r="K186" s="3401">
        <v>57.87</v>
      </c>
      <c r="L186" s="3402">
        <v>40.32</v>
      </c>
      <c r="M186" s="3239"/>
      <c r="N186" s="3239"/>
      <c r="O186" s="3394"/>
      <c r="P186" s="3394"/>
      <c r="Q186" s="3394"/>
      <c r="R186" s="3239"/>
      <c r="S186" s="3239"/>
      <c r="T186" s="3239" t="str">
        <f t="shared" si="3"/>
        <v>有</v>
      </c>
    </row>
    <row r="187" spans="1:20" hidden="1">
      <c r="A187" s="3394">
        <v>185</v>
      </c>
      <c r="B187" s="3394">
        <v>1</v>
      </c>
      <c r="C187" s="3394">
        <v>1</v>
      </c>
      <c r="D187" s="3400">
        <v>623</v>
      </c>
      <c r="E187" s="3237">
        <v>607</v>
      </c>
      <c r="F187" s="3239">
        <v>1</v>
      </c>
      <c r="G187" s="3239">
        <v>0</v>
      </c>
      <c r="H187" s="3239">
        <v>1</v>
      </c>
      <c r="I187" s="3257" t="s">
        <v>3304</v>
      </c>
      <c r="J187" s="3237" t="s">
        <v>3305</v>
      </c>
      <c r="K187" s="3401">
        <v>45.27</v>
      </c>
      <c r="L187" s="3402">
        <v>31.54</v>
      </c>
      <c r="M187" s="3239"/>
      <c r="N187" s="3239"/>
      <c r="O187" s="3394"/>
      <c r="P187" s="3394"/>
      <c r="Q187" s="3394"/>
      <c r="R187" s="3239"/>
      <c r="S187" s="3239"/>
      <c r="T187" s="3239" t="str">
        <f t="shared" si="3"/>
        <v>无</v>
      </c>
    </row>
    <row r="188" spans="1:20" hidden="1">
      <c r="A188" s="3394">
        <v>186</v>
      </c>
      <c r="B188" s="3394">
        <v>1</v>
      </c>
      <c r="C188" s="3394">
        <v>1</v>
      </c>
      <c r="D188" s="3400">
        <v>624</v>
      </c>
      <c r="E188" s="3237">
        <v>606</v>
      </c>
      <c r="F188" s="3239">
        <v>1</v>
      </c>
      <c r="G188" s="3239">
        <v>0</v>
      </c>
      <c r="H188" s="3239">
        <v>1</v>
      </c>
      <c r="I188" s="3257" t="s">
        <v>3304</v>
      </c>
      <c r="J188" s="3237" t="s">
        <v>3305</v>
      </c>
      <c r="K188" s="3401">
        <v>45.27</v>
      </c>
      <c r="L188" s="3402">
        <v>31.54</v>
      </c>
      <c r="M188" s="3239"/>
      <c r="N188" s="3239"/>
      <c r="O188" s="3394"/>
      <c r="P188" s="3394"/>
      <c r="Q188" s="3394"/>
      <c r="R188" s="3239"/>
      <c r="S188" s="3239"/>
      <c r="T188" s="3239" t="str">
        <f t="shared" si="3"/>
        <v>无</v>
      </c>
    </row>
    <row r="189" spans="1:20">
      <c r="A189" s="3394">
        <v>187</v>
      </c>
      <c r="B189" s="3394">
        <v>1</v>
      </c>
      <c r="C189" s="3394">
        <v>1</v>
      </c>
      <c r="D189" s="3400">
        <v>625</v>
      </c>
      <c r="E189" s="3237">
        <v>630</v>
      </c>
      <c r="F189" s="3239">
        <v>1</v>
      </c>
      <c r="G189" s="3239">
        <v>1</v>
      </c>
      <c r="H189" s="3239">
        <v>1</v>
      </c>
      <c r="I189" s="3237" t="s">
        <v>3295</v>
      </c>
      <c r="J189" s="3237">
        <v>50</v>
      </c>
      <c r="K189" s="3401">
        <v>57.87</v>
      </c>
      <c r="L189" s="3402">
        <v>40.32</v>
      </c>
      <c r="M189" s="3239"/>
      <c r="N189" s="3239"/>
      <c r="O189" s="3394"/>
      <c r="P189" s="3394"/>
      <c r="Q189" s="3394"/>
      <c r="R189" s="3239"/>
      <c r="S189" s="3239"/>
      <c r="T189" s="3239" t="str">
        <f t="shared" si="3"/>
        <v>有</v>
      </c>
    </row>
    <row r="190" spans="1:20" hidden="1">
      <c r="A190" s="3394">
        <v>188</v>
      </c>
      <c r="B190" s="3394">
        <v>1</v>
      </c>
      <c r="C190" s="3394">
        <v>1</v>
      </c>
      <c r="D190" s="3400">
        <v>626</v>
      </c>
      <c r="E190" s="3237">
        <v>605</v>
      </c>
      <c r="F190" s="3239">
        <v>1</v>
      </c>
      <c r="G190" s="3239">
        <v>0</v>
      </c>
      <c r="H190" s="3239">
        <v>1</v>
      </c>
      <c r="I190" s="3257" t="s">
        <v>3304</v>
      </c>
      <c r="J190" s="3237" t="s">
        <v>3306</v>
      </c>
      <c r="K190" s="3401">
        <v>46.3</v>
      </c>
      <c r="L190" s="3402">
        <v>32.26</v>
      </c>
      <c r="M190" s="3239"/>
      <c r="N190" s="3239"/>
      <c r="O190" s="3394"/>
      <c r="P190" s="3394"/>
      <c r="Q190" s="3394"/>
      <c r="R190" s="3239"/>
      <c r="S190" s="3239"/>
      <c r="T190" s="3239" t="str">
        <f t="shared" si="3"/>
        <v>无</v>
      </c>
    </row>
    <row r="191" spans="1:20">
      <c r="A191" s="3394">
        <v>189</v>
      </c>
      <c r="B191" s="3394">
        <v>1</v>
      </c>
      <c r="C191" s="3394">
        <v>1</v>
      </c>
      <c r="D191" s="3400">
        <v>627</v>
      </c>
      <c r="E191" s="3237">
        <v>631</v>
      </c>
      <c r="F191" s="3239">
        <v>1</v>
      </c>
      <c r="G191" s="3239">
        <v>1</v>
      </c>
      <c r="H191" s="3239">
        <v>1</v>
      </c>
      <c r="I191" s="3237" t="s">
        <v>3295</v>
      </c>
      <c r="J191" s="3237">
        <v>50</v>
      </c>
      <c r="K191" s="3401">
        <v>57.87</v>
      </c>
      <c r="L191" s="3402">
        <v>40.32</v>
      </c>
      <c r="M191" s="3239"/>
      <c r="N191" s="3239"/>
      <c r="O191" s="3394"/>
      <c r="P191" s="3394"/>
      <c r="Q191" s="3394"/>
      <c r="R191" s="3239"/>
      <c r="S191" s="3239"/>
      <c r="T191" s="3239" t="str">
        <f t="shared" si="3"/>
        <v>有</v>
      </c>
    </row>
    <row r="192" spans="1:20">
      <c r="A192" s="3394">
        <v>190</v>
      </c>
      <c r="B192" s="3394">
        <v>1</v>
      </c>
      <c r="C192" s="3394">
        <v>1</v>
      </c>
      <c r="D192" s="3400">
        <v>628</v>
      </c>
      <c r="E192" s="3237">
        <v>632</v>
      </c>
      <c r="F192" s="3239">
        <v>1</v>
      </c>
      <c r="G192" s="3239">
        <v>1</v>
      </c>
      <c r="H192" s="3239">
        <v>1</v>
      </c>
      <c r="I192" s="3237" t="s">
        <v>3295</v>
      </c>
      <c r="J192" s="3237">
        <v>50</v>
      </c>
      <c r="K192" s="3401">
        <v>57.87</v>
      </c>
      <c r="L192" s="3402">
        <v>40.32</v>
      </c>
      <c r="M192" s="3239"/>
      <c r="N192" s="3239"/>
      <c r="O192" s="3394"/>
      <c r="P192" s="3394"/>
      <c r="Q192" s="3394"/>
      <c r="R192" s="3239"/>
      <c r="S192" s="3239"/>
      <c r="T192" s="3239" t="str">
        <f t="shared" si="3"/>
        <v>有</v>
      </c>
    </row>
    <row r="193" spans="1:20">
      <c r="A193" s="3394">
        <v>191</v>
      </c>
      <c r="B193" s="3394">
        <v>1</v>
      </c>
      <c r="C193" s="3394">
        <v>1</v>
      </c>
      <c r="D193" s="3400">
        <v>629</v>
      </c>
      <c r="E193" s="3237">
        <v>633</v>
      </c>
      <c r="F193" s="3239">
        <v>1</v>
      </c>
      <c r="G193" s="3239">
        <v>1</v>
      </c>
      <c r="H193" s="3239">
        <v>1</v>
      </c>
      <c r="I193" s="3237" t="s">
        <v>3295</v>
      </c>
      <c r="J193" s="3237">
        <v>50</v>
      </c>
      <c r="K193" s="3401">
        <v>57.87</v>
      </c>
      <c r="L193" s="3402">
        <v>40.32</v>
      </c>
      <c r="M193" s="3239"/>
      <c r="N193" s="3239"/>
      <c r="O193" s="3394"/>
      <c r="P193" s="3394"/>
      <c r="Q193" s="3394"/>
      <c r="R193" s="3239"/>
      <c r="S193" s="3239"/>
      <c r="T193" s="3239" t="str">
        <f t="shared" si="3"/>
        <v>有</v>
      </c>
    </row>
    <row r="194" spans="1:20">
      <c r="A194" s="3394">
        <v>192</v>
      </c>
      <c r="B194" s="3394">
        <v>1</v>
      </c>
      <c r="C194" s="3394">
        <v>1</v>
      </c>
      <c r="D194" s="3400">
        <v>630</v>
      </c>
      <c r="E194" s="3237">
        <v>634</v>
      </c>
      <c r="F194" s="3239">
        <v>1</v>
      </c>
      <c r="G194" s="3239">
        <v>1</v>
      </c>
      <c r="H194" s="3239">
        <v>1</v>
      </c>
      <c r="I194" s="3237" t="s">
        <v>3295</v>
      </c>
      <c r="J194" s="3237">
        <v>50</v>
      </c>
      <c r="K194" s="3401">
        <v>57.87</v>
      </c>
      <c r="L194" s="3402">
        <v>40.32</v>
      </c>
      <c r="M194" s="3239"/>
      <c r="N194" s="3239"/>
      <c r="O194" s="3394"/>
      <c r="P194" s="3394"/>
      <c r="Q194" s="3394"/>
      <c r="R194" s="3239"/>
      <c r="S194" s="3239"/>
      <c r="T194" s="3239" t="str">
        <f t="shared" si="3"/>
        <v>有</v>
      </c>
    </row>
    <row r="195" spans="1:20" hidden="1">
      <c r="A195" s="3394">
        <v>193</v>
      </c>
      <c r="B195" s="3394">
        <v>1</v>
      </c>
      <c r="C195" s="3394">
        <v>1</v>
      </c>
      <c r="D195" s="3400">
        <v>631</v>
      </c>
      <c r="E195" s="3237">
        <v>604</v>
      </c>
      <c r="F195" s="3239">
        <v>1</v>
      </c>
      <c r="G195" s="3239">
        <v>0</v>
      </c>
      <c r="H195" s="3239">
        <v>1</v>
      </c>
      <c r="I195" s="3257" t="s">
        <v>3304</v>
      </c>
      <c r="J195" s="3237" t="s">
        <v>3306</v>
      </c>
      <c r="K195" s="3401">
        <v>46.3</v>
      </c>
      <c r="L195" s="3402">
        <v>32.26</v>
      </c>
      <c r="M195" s="3239"/>
      <c r="N195" s="3239"/>
      <c r="O195" s="3394"/>
      <c r="P195" s="3394"/>
      <c r="Q195" s="3394"/>
      <c r="R195" s="3239"/>
      <c r="S195" s="3239"/>
      <c r="T195" s="3239" t="str">
        <f t="shared" si="3"/>
        <v>无</v>
      </c>
    </row>
    <row r="196" spans="1:20">
      <c r="A196" s="3394">
        <v>194</v>
      </c>
      <c r="B196" s="3394">
        <v>1</v>
      </c>
      <c r="C196" s="3394">
        <v>1</v>
      </c>
      <c r="D196" s="3400">
        <v>632</v>
      </c>
      <c r="E196" s="3237">
        <v>635</v>
      </c>
      <c r="F196" s="3239">
        <v>1</v>
      </c>
      <c r="G196" s="3239">
        <v>1</v>
      </c>
      <c r="H196" s="3239">
        <v>1</v>
      </c>
      <c r="I196" s="3237" t="s">
        <v>3295</v>
      </c>
      <c r="J196" s="3237">
        <v>50</v>
      </c>
      <c r="K196" s="3401">
        <v>57.87</v>
      </c>
      <c r="L196" s="3402">
        <v>40.32</v>
      </c>
      <c r="M196" s="3239"/>
      <c r="N196" s="3239"/>
      <c r="O196" s="3394"/>
      <c r="P196" s="3394"/>
      <c r="Q196" s="3394"/>
      <c r="R196" s="3239"/>
      <c r="S196" s="3239"/>
      <c r="T196" s="3239" t="str">
        <f t="shared" ref="T196:T259" si="4">IF(OR(J196="无障碍宿舍",J196="无障碍宿舍-01",J196="无障碍宿舍-02",J196="40平",J196="40平-01",J196="40平-02",J196="40平-03",J196="40平-04",J196="40平-06",J196="40平-07",J196="D2"),"无","有")</f>
        <v>有</v>
      </c>
    </row>
    <row r="197" spans="1:20" hidden="1">
      <c r="A197" s="3394">
        <v>195</v>
      </c>
      <c r="B197" s="3394">
        <v>1</v>
      </c>
      <c r="C197" s="3394">
        <v>1</v>
      </c>
      <c r="D197" s="3400">
        <v>633</v>
      </c>
      <c r="E197" s="3237">
        <v>603</v>
      </c>
      <c r="F197" s="3239">
        <v>1</v>
      </c>
      <c r="G197" s="3239">
        <v>0</v>
      </c>
      <c r="H197" s="3239">
        <v>1</v>
      </c>
      <c r="I197" s="3257" t="s">
        <v>3304</v>
      </c>
      <c r="J197" s="3237" t="s">
        <v>3305</v>
      </c>
      <c r="K197" s="3401">
        <v>45.27</v>
      </c>
      <c r="L197" s="3402">
        <v>31.54</v>
      </c>
      <c r="M197" s="3239"/>
      <c r="N197" s="3239"/>
      <c r="O197" s="3394"/>
      <c r="P197" s="3394"/>
      <c r="Q197" s="3394"/>
      <c r="R197" s="3239"/>
      <c r="S197" s="3239"/>
      <c r="T197" s="3239" t="str">
        <f t="shared" si="4"/>
        <v>无</v>
      </c>
    </row>
    <row r="198" spans="1:20" hidden="1">
      <c r="A198" s="3394">
        <v>196</v>
      </c>
      <c r="B198" s="3394">
        <v>1</v>
      </c>
      <c r="C198" s="3394">
        <v>1</v>
      </c>
      <c r="D198" s="3400">
        <v>634</v>
      </c>
      <c r="E198" s="3237">
        <v>602</v>
      </c>
      <c r="F198" s="3239">
        <v>1</v>
      </c>
      <c r="G198" s="3239">
        <v>0</v>
      </c>
      <c r="H198" s="3239">
        <v>1</v>
      </c>
      <c r="I198" s="3257" t="s">
        <v>3304</v>
      </c>
      <c r="J198" s="3237" t="s">
        <v>3305</v>
      </c>
      <c r="K198" s="3401">
        <v>45.27</v>
      </c>
      <c r="L198" s="3402">
        <v>31.54</v>
      </c>
      <c r="M198" s="3239"/>
      <c r="N198" s="3239"/>
      <c r="O198" s="3394"/>
      <c r="P198" s="3394"/>
      <c r="Q198" s="3394"/>
      <c r="R198" s="3239"/>
      <c r="S198" s="3239"/>
      <c r="T198" s="3239" t="str">
        <f t="shared" si="4"/>
        <v>无</v>
      </c>
    </row>
    <row r="199" spans="1:20">
      <c r="A199" s="3394">
        <v>197</v>
      </c>
      <c r="B199" s="3394">
        <v>1</v>
      </c>
      <c r="C199" s="3394">
        <v>1</v>
      </c>
      <c r="D199" s="3400">
        <v>635</v>
      </c>
      <c r="E199" s="3237">
        <v>636</v>
      </c>
      <c r="F199" s="3239">
        <v>1</v>
      </c>
      <c r="G199" s="3239">
        <v>1</v>
      </c>
      <c r="H199" s="3239">
        <v>1</v>
      </c>
      <c r="I199" s="3237" t="s">
        <v>3295</v>
      </c>
      <c r="J199" s="3237">
        <v>50</v>
      </c>
      <c r="K199" s="3401">
        <v>57.87</v>
      </c>
      <c r="L199" s="3402">
        <v>40.32</v>
      </c>
      <c r="M199" s="3239"/>
      <c r="N199" s="3239"/>
      <c r="O199" s="3394"/>
      <c r="P199" s="3394"/>
      <c r="Q199" s="3394"/>
      <c r="R199" s="3239"/>
      <c r="S199" s="3239"/>
      <c r="T199" s="3239" t="str">
        <f t="shared" si="4"/>
        <v>有</v>
      </c>
    </row>
    <row r="200" spans="1:20" hidden="1">
      <c r="A200" s="3394">
        <v>198</v>
      </c>
      <c r="B200" s="3394">
        <v>1</v>
      </c>
      <c r="C200" s="3394">
        <v>1</v>
      </c>
      <c r="D200" s="3400">
        <v>636</v>
      </c>
      <c r="E200" s="3237">
        <v>637</v>
      </c>
      <c r="F200" s="3239">
        <v>1</v>
      </c>
      <c r="G200" s="3239">
        <v>0</v>
      </c>
      <c r="H200" s="3239">
        <v>1</v>
      </c>
      <c r="I200" s="3237" t="s">
        <v>3295</v>
      </c>
      <c r="J200" s="3257" t="s">
        <v>3322</v>
      </c>
      <c r="K200" s="3401">
        <v>49.52</v>
      </c>
      <c r="L200" s="3402">
        <v>34.5</v>
      </c>
      <c r="M200" s="3239"/>
      <c r="N200" s="3239"/>
      <c r="O200" s="3394"/>
      <c r="P200" s="3394"/>
      <c r="Q200" s="3394"/>
      <c r="R200" s="3239"/>
      <c r="S200" s="3239"/>
      <c r="T200" s="3239" t="str">
        <f t="shared" si="4"/>
        <v>无</v>
      </c>
    </row>
    <row r="201" spans="1:20">
      <c r="A201" s="3394">
        <v>199</v>
      </c>
      <c r="B201" s="3394">
        <v>1</v>
      </c>
      <c r="C201" s="3394">
        <v>1</v>
      </c>
      <c r="D201" s="3400">
        <v>637</v>
      </c>
      <c r="E201" s="3237">
        <v>601</v>
      </c>
      <c r="F201" s="3239">
        <v>1</v>
      </c>
      <c r="G201" s="3239">
        <v>1</v>
      </c>
      <c r="H201" s="3239">
        <v>1</v>
      </c>
      <c r="I201" s="3237" t="s">
        <v>3302</v>
      </c>
      <c r="J201" s="3237" t="s">
        <v>3303</v>
      </c>
      <c r="K201" s="3401">
        <v>58.16</v>
      </c>
      <c r="L201" s="3402">
        <v>40.520000000000003</v>
      </c>
      <c r="M201" s="3239"/>
      <c r="N201" s="3239"/>
      <c r="O201" s="3394"/>
      <c r="P201" s="3395"/>
      <c r="Q201" s="3395"/>
      <c r="R201" s="3239"/>
      <c r="S201" s="3239"/>
      <c r="T201" s="3239" t="str">
        <f t="shared" si="4"/>
        <v>有</v>
      </c>
    </row>
    <row r="202" spans="1:20" hidden="1">
      <c r="A202" s="3394">
        <v>200</v>
      </c>
      <c r="B202" s="3394">
        <v>1</v>
      </c>
      <c r="C202" s="3394">
        <v>1</v>
      </c>
      <c r="D202" s="3400">
        <v>638</v>
      </c>
      <c r="E202" s="3237">
        <v>639</v>
      </c>
      <c r="F202" s="3239">
        <v>1</v>
      </c>
      <c r="G202" s="3239">
        <v>0</v>
      </c>
      <c r="H202" s="3239">
        <v>1</v>
      </c>
      <c r="I202" s="3237" t="s">
        <v>3300</v>
      </c>
      <c r="J202" s="3237" t="s">
        <v>3323</v>
      </c>
      <c r="K202" s="3401">
        <v>46.53</v>
      </c>
      <c r="L202" s="3402">
        <v>32.42</v>
      </c>
      <c r="M202" s="3239"/>
      <c r="N202" s="3239"/>
      <c r="O202" s="3394"/>
      <c r="P202" s="3394"/>
      <c r="Q202" s="3394"/>
      <c r="R202" s="3239"/>
      <c r="S202" s="3239"/>
      <c r="T202" s="3239" t="str">
        <f t="shared" si="4"/>
        <v>无</v>
      </c>
    </row>
    <row r="203" spans="1:20" hidden="1">
      <c r="A203" s="3394">
        <v>201</v>
      </c>
      <c r="B203" s="3394">
        <v>1</v>
      </c>
      <c r="C203" s="3394">
        <v>1</v>
      </c>
      <c r="D203" s="3400">
        <v>639</v>
      </c>
      <c r="E203" s="3237">
        <v>638</v>
      </c>
      <c r="F203" s="3239">
        <v>1</v>
      </c>
      <c r="G203" s="3239">
        <v>0</v>
      </c>
      <c r="H203" s="3239">
        <v>1</v>
      </c>
      <c r="I203" s="3237" t="s">
        <v>3295</v>
      </c>
      <c r="J203" s="3237" t="s">
        <v>3500</v>
      </c>
      <c r="K203" s="3401">
        <v>50.61</v>
      </c>
      <c r="L203" s="3402">
        <v>35.26</v>
      </c>
      <c r="M203" s="3239"/>
      <c r="N203" s="3239"/>
      <c r="O203" s="3394"/>
      <c r="P203" s="3394"/>
      <c r="Q203" s="3394"/>
      <c r="R203" s="3239"/>
      <c r="S203" s="3239"/>
      <c r="T203" s="3239" t="str">
        <f t="shared" si="4"/>
        <v>无</v>
      </c>
    </row>
    <row r="204" spans="1:20">
      <c r="A204" s="3394">
        <v>202</v>
      </c>
      <c r="B204" s="3394">
        <v>1</v>
      </c>
      <c r="C204" s="3394">
        <v>1</v>
      </c>
      <c r="D204" s="3400">
        <v>701</v>
      </c>
      <c r="E204" s="3237">
        <v>716</v>
      </c>
      <c r="F204" s="3239">
        <v>1</v>
      </c>
      <c r="G204" s="3239">
        <v>1</v>
      </c>
      <c r="H204" s="3239">
        <v>1</v>
      </c>
      <c r="I204" s="3257" t="s">
        <v>3312</v>
      </c>
      <c r="J204" s="3237" t="s">
        <v>3314</v>
      </c>
      <c r="K204" s="3401">
        <v>57.37</v>
      </c>
      <c r="L204" s="3402">
        <v>39.97</v>
      </c>
      <c r="M204" s="3239"/>
      <c r="N204" s="3239"/>
      <c r="O204" s="3394"/>
      <c r="P204" s="3394"/>
      <c r="Q204" s="3394"/>
      <c r="R204" s="3239"/>
      <c r="S204" s="3239"/>
      <c r="T204" s="3239" t="str">
        <f t="shared" si="4"/>
        <v>有</v>
      </c>
    </row>
    <row r="205" spans="1:20">
      <c r="A205" s="3394">
        <v>203</v>
      </c>
      <c r="B205" s="3394">
        <v>1</v>
      </c>
      <c r="C205" s="3394">
        <v>1</v>
      </c>
      <c r="D205" s="3400">
        <v>702</v>
      </c>
      <c r="E205" s="3237">
        <v>717</v>
      </c>
      <c r="F205" s="3239">
        <v>1</v>
      </c>
      <c r="G205" s="3239">
        <v>1</v>
      </c>
      <c r="H205" s="3239">
        <v>1</v>
      </c>
      <c r="I205" s="3257" t="s">
        <v>3312</v>
      </c>
      <c r="J205" s="3237">
        <v>50</v>
      </c>
      <c r="K205" s="3401">
        <v>57.87</v>
      </c>
      <c r="L205" s="3402">
        <v>40.32</v>
      </c>
      <c r="M205" s="3239"/>
      <c r="N205" s="3239"/>
      <c r="O205" s="3394"/>
      <c r="P205" s="3394"/>
      <c r="Q205" s="3394"/>
      <c r="R205" s="3239"/>
      <c r="S205" s="3239"/>
      <c r="T205" s="3239" t="str">
        <f t="shared" si="4"/>
        <v>有</v>
      </c>
    </row>
    <row r="206" spans="1:20">
      <c r="A206" s="3394">
        <v>204</v>
      </c>
      <c r="B206" s="3394">
        <v>1</v>
      </c>
      <c r="C206" s="3394">
        <v>1</v>
      </c>
      <c r="D206" s="3400">
        <v>703</v>
      </c>
      <c r="E206" s="3237">
        <v>718</v>
      </c>
      <c r="F206" s="3239">
        <v>1</v>
      </c>
      <c r="G206" s="3239">
        <v>1</v>
      </c>
      <c r="H206" s="3239">
        <v>1</v>
      </c>
      <c r="I206" s="3257" t="s">
        <v>3312</v>
      </c>
      <c r="J206" s="3237">
        <v>50</v>
      </c>
      <c r="K206" s="3401">
        <v>57.87</v>
      </c>
      <c r="L206" s="3402">
        <v>40.32</v>
      </c>
      <c r="M206" s="3239"/>
      <c r="N206" s="3239"/>
      <c r="O206" s="3394"/>
      <c r="P206" s="3394"/>
      <c r="Q206" s="3394"/>
      <c r="R206" s="3239"/>
      <c r="S206" s="3239"/>
      <c r="T206" s="3239" t="str">
        <f t="shared" si="4"/>
        <v>有</v>
      </c>
    </row>
    <row r="207" spans="1:20">
      <c r="A207" s="3394">
        <v>205</v>
      </c>
      <c r="B207" s="3394">
        <v>1</v>
      </c>
      <c r="C207" s="3394">
        <v>1</v>
      </c>
      <c r="D207" s="3400">
        <v>704</v>
      </c>
      <c r="E207" s="3237">
        <v>719</v>
      </c>
      <c r="F207" s="3239">
        <v>1</v>
      </c>
      <c r="G207" s="3239">
        <v>1</v>
      </c>
      <c r="H207" s="3239">
        <v>1</v>
      </c>
      <c r="I207" s="3257" t="s">
        <v>3312</v>
      </c>
      <c r="J207" s="3237" t="s">
        <v>3308</v>
      </c>
      <c r="K207" s="3401">
        <v>57.23</v>
      </c>
      <c r="L207" s="3402">
        <v>39.869999999999997</v>
      </c>
      <c r="M207" s="3239"/>
      <c r="N207" s="3239"/>
      <c r="O207" s="3394"/>
      <c r="P207" s="3394"/>
      <c r="Q207" s="3394"/>
      <c r="R207" s="3239"/>
      <c r="S207" s="3239"/>
      <c r="T207" s="3239" t="str">
        <f t="shared" si="4"/>
        <v>有</v>
      </c>
    </row>
    <row r="208" spans="1:20">
      <c r="A208" s="3394">
        <v>206</v>
      </c>
      <c r="B208" s="3394">
        <v>1</v>
      </c>
      <c r="C208" s="3394">
        <v>1</v>
      </c>
      <c r="D208" s="3400">
        <v>705</v>
      </c>
      <c r="E208" s="3237">
        <v>720</v>
      </c>
      <c r="F208" s="3239">
        <v>1</v>
      </c>
      <c r="G208" s="3239">
        <v>1</v>
      </c>
      <c r="H208" s="3239">
        <v>1</v>
      </c>
      <c r="I208" s="3257" t="s">
        <v>3312</v>
      </c>
      <c r="J208" s="3257" t="s">
        <v>3315</v>
      </c>
      <c r="K208" s="3401">
        <v>59.16</v>
      </c>
      <c r="L208" s="3402">
        <v>41.22</v>
      </c>
      <c r="M208" s="3239"/>
      <c r="N208" s="3239"/>
      <c r="O208" s="3394"/>
      <c r="P208" s="3394"/>
      <c r="Q208" s="3394"/>
      <c r="R208" s="3239"/>
      <c r="S208" s="3239"/>
      <c r="T208" s="3239" t="str">
        <f t="shared" si="4"/>
        <v>有</v>
      </c>
    </row>
    <row r="209" spans="1:20">
      <c r="A209" s="3394">
        <v>207</v>
      </c>
      <c r="B209" s="3394">
        <v>1</v>
      </c>
      <c r="C209" s="3394">
        <v>1</v>
      </c>
      <c r="D209" s="3400">
        <v>706</v>
      </c>
      <c r="E209" s="3237">
        <v>721</v>
      </c>
      <c r="F209" s="3239">
        <v>4</v>
      </c>
      <c r="G209" s="3239">
        <v>1</v>
      </c>
      <c r="H209" s="3239">
        <v>1</v>
      </c>
      <c r="I209" s="3237" t="s">
        <v>3316</v>
      </c>
      <c r="J209" s="3237" t="s">
        <v>3317</v>
      </c>
      <c r="K209" s="3401">
        <v>108.7</v>
      </c>
      <c r="L209" s="3402">
        <v>75.73</v>
      </c>
      <c r="M209" s="3239"/>
      <c r="N209" s="3239"/>
      <c r="O209" s="3394"/>
      <c r="P209" s="3394"/>
      <c r="Q209" s="3394"/>
      <c r="R209" s="3239"/>
      <c r="S209" s="3239"/>
      <c r="T209" s="3239" t="str">
        <f t="shared" si="4"/>
        <v>有</v>
      </c>
    </row>
    <row r="210" spans="1:20">
      <c r="A210" s="3394">
        <v>208</v>
      </c>
      <c r="B210" s="3394">
        <v>1</v>
      </c>
      <c r="C210" s="3394">
        <v>1</v>
      </c>
      <c r="D210" s="3400">
        <v>707</v>
      </c>
      <c r="E210" s="3237">
        <v>714</v>
      </c>
      <c r="F210" s="3239">
        <v>1</v>
      </c>
      <c r="G210" s="3239">
        <v>1</v>
      </c>
      <c r="H210" s="3239">
        <v>1</v>
      </c>
      <c r="I210" s="3237" t="s">
        <v>3310</v>
      </c>
      <c r="J210" s="3237" t="s">
        <v>3311</v>
      </c>
      <c r="K210" s="3401">
        <v>55.32</v>
      </c>
      <c r="L210" s="3402">
        <v>38.54</v>
      </c>
      <c r="M210" s="3239"/>
      <c r="N210" s="3239"/>
      <c r="O210" s="3394"/>
      <c r="P210" s="3394"/>
      <c r="Q210" s="3394"/>
      <c r="R210" s="3239"/>
      <c r="S210" s="3239"/>
      <c r="T210" s="3239" t="str">
        <f t="shared" si="4"/>
        <v>有</v>
      </c>
    </row>
    <row r="211" spans="1:20">
      <c r="A211" s="3394">
        <v>209</v>
      </c>
      <c r="B211" s="3394">
        <v>1</v>
      </c>
      <c r="C211" s="3394">
        <v>1</v>
      </c>
      <c r="D211" s="3400">
        <v>708</v>
      </c>
      <c r="E211" s="3237">
        <v>715</v>
      </c>
      <c r="F211" s="3239">
        <v>2</v>
      </c>
      <c r="G211" s="3239">
        <v>1</v>
      </c>
      <c r="H211" s="3239">
        <v>1</v>
      </c>
      <c r="I211" s="3257" t="s">
        <v>3312</v>
      </c>
      <c r="J211" s="3237" t="s">
        <v>3313</v>
      </c>
      <c r="K211" s="3401">
        <v>96.55</v>
      </c>
      <c r="L211" s="3402">
        <v>67.27</v>
      </c>
      <c r="M211" s="3239"/>
      <c r="N211" s="3239"/>
      <c r="O211" s="3394"/>
      <c r="P211" s="3394"/>
      <c r="Q211" s="3394"/>
      <c r="R211" s="3239"/>
      <c r="S211" s="3239"/>
      <c r="T211" s="3239" t="str">
        <f t="shared" si="4"/>
        <v>有</v>
      </c>
    </row>
    <row r="212" spans="1:20">
      <c r="A212" s="3394">
        <v>210</v>
      </c>
      <c r="B212" s="3394">
        <v>1</v>
      </c>
      <c r="C212" s="3394">
        <v>1</v>
      </c>
      <c r="D212" s="3400">
        <v>709</v>
      </c>
      <c r="E212" s="3237">
        <v>713</v>
      </c>
      <c r="F212" s="3239">
        <v>1</v>
      </c>
      <c r="G212" s="3239">
        <v>1</v>
      </c>
      <c r="H212" s="3239">
        <v>1</v>
      </c>
      <c r="I212" s="3257" t="s">
        <v>3304</v>
      </c>
      <c r="J212" s="3257" t="s">
        <v>3309</v>
      </c>
      <c r="K212" s="3401">
        <v>57.35</v>
      </c>
      <c r="L212" s="3402">
        <v>39.96</v>
      </c>
      <c r="M212" s="3239"/>
      <c r="N212" s="3239"/>
      <c r="O212" s="3394"/>
      <c r="P212" s="3394"/>
      <c r="Q212" s="3394"/>
      <c r="R212" s="3239"/>
      <c r="S212" s="3239"/>
      <c r="T212" s="3239" t="str">
        <f t="shared" si="4"/>
        <v>有</v>
      </c>
    </row>
    <row r="213" spans="1:20">
      <c r="A213" s="3394">
        <v>211</v>
      </c>
      <c r="B213" s="3394">
        <v>1</v>
      </c>
      <c r="C213" s="3394">
        <v>1</v>
      </c>
      <c r="D213" s="3400">
        <v>710</v>
      </c>
      <c r="E213" s="3237">
        <v>722</v>
      </c>
      <c r="F213" s="3239">
        <v>4</v>
      </c>
      <c r="G213" s="3239">
        <v>1</v>
      </c>
      <c r="H213" s="3239">
        <v>1</v>
      </c>
      <c r="I213" s="3237" t="s">
        <v>3318</v>
      </c>
      <c r="J213" s="3237" t="s">
        <v>3319</v>
      </c>
      <c r="K213" s="3401">
        <v>108.7</v>
      </c>
      <c r="L213" s="3402">
        <v>75.73</v>
      </c>
      <c r="M213" s="3239"/>
      <c r="N213" s="3239"/>
      <c r="O213" s="3394"/>
      <c r="P213" s="3394"/>
      <c r="Q213" s="3394"/>
      <c r="R213" s="3239"/>
      <c r="S213" s="3239"/>
      <c r="T213" s="3239" t="str">
        <f t="shared" si="4"/>
        <v>有</v>
      </c>
    </row>
    <row r="214" spans="1:20">
      <c r="A214" s="3394">
        <v>212</v>
      </c>
      <c r="B214" s="3394">
        <v>1</v>
      </c>
      <c r="C214" s="3394">
        <v>1</v>
      </c>
      <c r="D214" s="3400">
        <v>711</v>
      </c>
      <c r="E214" s="3237">
        <v>724</v>
      </c>
      <c r="F214" s="3239">
        <v>1</v>
      </c>
      <c r="G214" s="3239">
        <v>1</v>
      </c>
      <c r="H214" s="3239">
        <v>1</v>
      </c>
      <c r="I214" s="3237" t="s">
        <v>3300</v>
      </c>
      <c r="J214" s="3237">
        <v>50</v>
      </c>
      <c r="K214" s="3401">
        <v>57.87</v>
      </c>
      <c r="L214" s="3402">
        <v>40.32</v>
      </c>
      <c r="M214" s="3239"/>
      <c r="N214" s="3239"/>
      <c r="O214" s="3394"/>
      <c r="P214" s="3394"/>
      <c r="Q214" s="3394"/>
      <c r="R214" s="3239"/>
      <c r="S214" s="3239"/>
      <c r="T214" s="3239" t="str">
        <f t="shared" si="4"/>
        <v>有</v>
      </c>
    </row>
    <row r="215" spans="1:20">
      <c r="A215" s="3394">
        <v>213</v>
      </c>
      <c r="B215" s="3394">
        <v>1</v>
      </c>
      <c r="C215" s="3394">
        <v>1</v>
      </c>
      <c r="D215" s="3400">
        <v>712</v>
      </c>
      <c r="E215" s="3237">
        <v>723</v>
      </c>
      <c r="F215" s="3239">
        <v>1</v>
      </c>
      <c r="G215" s="3239">
        <v>1</v>
      </c>
      <c r="H215" s="3239">
        <v>1</v>
      </c>
      <c r="I215" s="3237" t="s">
        <v>3300</v>
      </c>
      <c r="J215" s="3237" t="s">
        <v>3308</v>
      </c>
      <c r="K215" s="3401">
        <v>57.23</v>
      </c>
      <c r="L215" s="3402">
        <v>39.869999999999997</v>
      </c>
      <c r="M215" s="3239"/>
      <c r="N215" s="3239"/>
      <c r="O215" s="3394"/>
      <c r="P215" s="3394"/>
      <c r="Q215" s="3394"/>
      <c r="R215" s="3239"/>
      <c r="S215" s="3239"/>
      <c r="T215" s="3239" t="str">
        <f t="shared" si="4"/>
        <v>有</v>
      </c>
    </row>
    <row r="216" spans="1:20">
      <c r="A216" s="3394">
        <v>214</v>
      </c>
      <c r="B216" s="3394">
        <v>1</v>
      </c>
      <c r="C216" s="3394">
        <v>1</v>
      </c>
      <c r="D216" s="3400">
        <v>713</v>
      </c>
      <c r="E216" s="3237">
        <v>725</v>
      </c>
      <c r="F216" s="3239">
        <v>1</v>
      </c>
      <c r="G216" s="3239">
        <v>1</v>
      </c>
      <c r="H216" s="3239">
        <v>1</v>
      </c>
      <c r="I216" s="3237" t="s">
        <v>3300</v>
      </c>
      <c r="J216" s="3237" t="s">
        <v>3320</v>
      </c>
      <c r="K216" s="3401">
        <v>58.02</v>
      </c>
      <c r="L216" s="3402">
        <v>40.42</v>
      </c>
      <c r="M216" s="3239"/>
      <c r="N216" s="3239"/>
      <c r="O216" s="3394"/>
      <c r="P216" s="3394"/>
      <c r="Q216" s="3394"/>
      <c r="R216" s="3239"/>
      <c r="S216" s="3239"/>
      <c r="T216" s="3239" t="str">
        <f t="shared" si="4"/>
        <v>有</v>
      </c>
    </row>
    <row r="217" spans="1:20">
      <c r="A217" s="3394">
        <v>215</v>
      </c>
      <c r="B217" s="3394">
        <v>1</v>
      </c>
      <c r="C217" s="3394">
        <v>1</v>
      </c>
      <c r="D217" s="3400">
        <v>714</v>
      </c>
      <c r="E217" s="3237">
        <v>712</v>
      </c>
      <c r="F217" s="3239">
        <v>1</v>
      </c>
      <c r="G217" s="3239">
        <v>1</v>
      </c>
      <c r="H217" s="3239">
        <v>1</v>
      </c>
      <c r="I217" s="3257" t="s">
        <v>3304</v>
      </c>
      <c r="J217" s="3237" t="s">
        <v>3308</v>
      </c>
      <c r="K217" s="3401">
        <v>57.23</v>
      </c>
      <c r="L217" s="3402">
        <v>39.869999999999997</v>
      </c>
      <c r="M217" s="3239"/>
      <c r="N217" s="3239"/>
      <c r="O217" s="3394"/>
      <c r="P217" s="3394"/>
      <c r="Q217" s="3394"/>
      <c r="R217" s="3239"/>
      <c r="S217" s="3239"/>
      <c r="T217" s="3239" t="str">
        <f t="shared" si="4"/>
        <v>有</v>
      </c>
    </row>
    <row r="218" spans="1:20" hidden="1">
      <c r="A218" s="3394">
        <v>216</v>
      </c>
      <c r="B218" s="3394">
        <v>1</v>
      </c>
      <c r="C218" s="3394">
        <v>1</v>
      </c>
      <c r="D218" s="3400">
        <v>715</v>
      </c>
      <c r="E218" s="3237">
        <v>711</v>
      </c>
      <c r="F218" s="3239">
        <v>1</v>
      </c>
      <c r="G218" s="3239">
        <v>0</v>
      </c>
      <c r="H218" s="3239">
        <v>1</v>
      </c>
      <c r="I218" s="3257" t="s">
        <v>3304</v>
      </c>
      <c r="J218" s="3237" t="s">
        <v>3307</v>
      </c>
      <c r="K218" s="3401">
        <v>45.9</v>
      </c>
      <c r="L218" s="3402">
        <v>31.98</v>
      </c>
      <c r="M218" s="3239"/>
      <c r="N218" s="3239"/>
      <c r="O218" s="3394"/>
      <c r="P218" s="3394"/>
      <c r="Q218" s="3394"/>
      <c r="R218" s="3239"/>
      <c r="S218" s="3239"/>
      <c r="T218" s="3239" t="str">
        <f t="shared" si="4"/>
        <v>无</v>
      </c>
    </row>
    <row r="219" spans="1:20">
      <c r="A219" s="3394">
        <v>217</v>
      </c>
      <c r="B219" s="3394">
        <v>1</v>
      </c>
      <c r="C219" s="3394">
        <v>1</v>
      </c>
      <c r="D219" s="3400">
        <v>716</v>
      </c>
      <c r="E219" s="3237">
        <v>726</v>
      </c>
      <c r="F219" s="3239">
        <v>1</v>
      </c>
      <c r="G219" s="3239">
        <v>1</v>
      </c>
      <c r="H219" s="3239">
        <v>1</v>
      </c>
      <c r="I219" s="3237" t="s">
        <v>3295</v>
      </c>
      <c r="J219" s="3237" t="s">
        <v>3321</v>
      </c>
      <c r="K219" s="3401">
        <v>61.09</v>
      </c>
      <c r="L219" s="3402">
        <v>42.56</v>
      </c>
      <c r="M219" s="3239"/>
      <c r="N219" s="3239"/>
      <c r="O219" s="3394">
        <v>2.9</v>
      </c>
      <c r="P219" s="3394" t="s">
        <v>3363</v>
      </c>
      <c r="Q219" s="3394" t="s">
        <v>3482</v>
      </c>
      <c r="R219" s="3239"/>
      <c r="S219" s="3239"/>
      <c r="T219" s="3239" t="str">
        <f t="shared" si="4"/>
        <v>有</v>
      </c>
    </row>
    <row r="220" spans="1:20" hidden="1">
      <c r="A220" s="3394">
        <v>218</v>
      </c>
      <c r="B220" s="3394">
        <v>1</v>
      </c>
      <c r="C220" s="3394">
        <v>1</v>
      </c>
      <c r="D220" s="3400">
        <v>717</v>
      </c>
      <c r="E220" s="3237">
        <v>710</v>
      </c>
      <c r="F220" s="3239">
        <v>1</v>
      </c>
      <c r="G220" s="3239">
        <v>0</v>
      </c>
      <c r="H220" s="3239">
        <v>1</v>
      </c>
      <c r="I220" s="3257" t="s">
        <v>3304</v>
      </c>
      <c r="J220" s="3237" t="s">
        <v>3305</v>
      </c>
      <c r="K220" s="3401">
        <v>45.27</v>
      </c>
      <c r="L220" s="3402">
        <v>31.54</v>
      </c>
      <c r="M220" s="3239"/>
      <c r="N220" s="3239"/>
      <c r="O220" s="3394"/>
      <c r="P220" s="3394"/>
      <c r="Q220" s="3394"/>
      <c r="R220" s="3239"/>
      <c r="S220" s="3239"/>
      <c r="T220" s="3239" t="str">
        <f t="shared" si="4"/>
        <v>无</v>
      </c>
    </row>
    <row r="221" spans="1:20">
      <c r="A221" s="3394">
        <v>219</v>
      </c>
      <c r="B221" s="3394">
        <v>1</v>
      </c>
      <c r="C221" s="3394">
        <v>1</v>
      </c>
      <c r="D221" s="3400">
        <v>718</v>
      </c>
      <c r="E221" s="3237">
        <v>727</v>
      </c>
      <c r="F221" s="3239">
        <v>1</v>
      </c>
      <c r="G221" s="3239">
        <v>1</v>
      </c>
      <c r="H221" s="3239">
        <v>1</v>
      </c>
      <c r="I221" s="3237" t="s">
        <v>3295</v>
      </c>
      <c r="J221" s="3237">
        <v>50</v>
      </c>
      <c r="K221" s="3401">
        <v>57.87</v>
      </c>
      <c r="L221" s="3402">
        <v>40.32</v>
      </c>
      <c r="M221" s="3239"/>
      <c r="N221" s="3239"/>
      <c r="O221" s="3394"/>
      <c r="P221" s="3394"/>
      <c r="Q221" s="3394"/>
      <c r="R221" s="3239"/>
      <c r="S221" s="3239"/>
      <c r="T221" s="3239" t="str">
        <f t="shared" si="4"/>
        <v>有</v>
      </c>
    </row>
    <row r="222" spans="1:20" hidden="1">
      <c r="A222" s="3394">
        <v>220</v>
      </c>
      <c r="B222" s="3394">
        <v>1</v>
      </c>
      <c r="C222" s="3394">
        <v>1</v>
      </c>
      <c r="D222" s="3400">
        <v>719</v>
      </c>
      <c r="E222" s="3237">
        <v>709</v>
      </c>
      <c r="F222" s="3239">
        <v>1</v>
      </c>
      <c r="G222" s="3239">
        <v>0</v>
      </c>
      <c r="H222" s="3239">
        <v>1</v>
      </c>
      <c r="I222" s="3257" t="s">
        <v>3304</v>
      </c>
      <c r="J222" s="3237" t="s">
        <v>3305</v>
      </c>
      <c r="K222" s="3401">
        <v>45.27</v>
      </c>
      <c r="L222" s="3402">
        <v>31.54</v>
      </c>
      <c r="M222" s="3239"/>
      <c r="N222" s="3239"/>
      <c r="O222" s="3394"/>
      <c r="P222" s="3394"/>
      <c r="Q222" s="3394"/>
      <c r="R222" s="3239"/>
      <c r="S222" s="3239"/>
      <c r="T222" s="3239" t="str">
        <f t="shared" si="4"/>
        <v>无</v>
      </c>
    </row>
    <row r="223" spans="1:20">
      <c r="A223" s="3394">
        <v>221</v>
      </c>
      <c r="B223" s="3394">
        <v>1</v>
      </c>
      <c r="C223" s="3394">
        <v>1</v>
      </c>
      <c r="D223" s="3400">
        <v>720</v>
      </c>
      <c r="E223" s="3237">
        <v>728</v>
      </c>
      <c r="F223" s="3239">
        <v>1</v>
      </c>
      <c r="G223" s="3239">
        <v>1</v>
      </c>
      <c r="H223" s="3239">
        <v>1</v>
      </c>
      <c r="I223" s="3237" t="s">
        <v>3295</v>
      </c>
      <c r="J223" s="3237">
        <v>50</v>
      </c>
      <c r="K223" s="3401">
        <v>57.87</v>
      </c>
      <c r="L223" s="3402">
        <v>40.32</v>
      </c>
      <c r="M223" s="3239"/>
      <c r="N223" s="3239"/>
      <c r="O223" s="3394"/>
      <c r="P223" s="3394"/>
      <c r="Q223" s="3394"/>
      <c r="R223" s="3239"/>
      <c r="S223" s="3239"/>
      <c r="T223" s="3239" t="str">
        <f t="shared" si="4"/>
        <v>有</v>
      </c>
    </row>
    <row r="224" spans="1:20" hidden="1">
      <c r="A224" s="3394">
        <v>222</v>
      </c>
      <c r="B224" s="3394">
        <v>1</v>
      </c>
      <c r="C224" s="3394">
        <v>1</v>
      </c>
      <c r="D224" s="3400">
        <v>721</v>
      </c>
      <c r="E224" s="3237">
        <v>708</v>
      </c>
      <c r="F224" s="3239">
        <v>1</v>
      </c>
      <c r="G224" s="3239">
        <v>0</v>
      </c>
      <c r="H224" s="3239">
        <v>1</v>
      </c>
      <c r="I224" s="3257" t="s">
        <v>3304</v>
      </c>
      <c r="J224" s="3237" t="s">
        <v>3305</v>
      </c>
      <c r="K224" s="3401">
        <v>45.27</v>
      </c>
      <c r="L224" s="3402">
        <v>31.54</v>
      </c>
      <c r="M224" s="3239"/>
      <c r="N224" s="3239"/>
      <c r="O224" s="3394"/>
      <c r="P224" s="3394"/>
      <c r="Q224" s="3394"/>
      <c r="R224" s="3239"/>
      <c r="S224" s="3239"/>
      <c r="T224" s="3239" t="str">
        <f t="shared" si="4"/>
        <v>无</v>
      </c>
    </row>
    <row r="225" spans="1:20">
      <c r="A225" s="3394">
        <v>223</v>
      </c>
      <c r="B225" s="3394">
        <v>1</v>
      </c>
      <c r="C225" s="3394">
        <v>1</v>
      </c>
      <c r="D225" s="3400">
        <v>722</v>
      </c>
      <c r="E225" s="3237">
        <v>729</v>
      </c>
      <c r="F225" s="3239">
        <v>1</v>
      </c>
      <c r="G225" s="3239">
        <v>1</v>
      </c>
      <c r="H225" s="3239">
        <v>1</v>
      </c>
      <c r="I225" s="3237" t="s">
        <v>3295</v>
      </c>
      <c r="J225" s="3237">
        <v>50</v>
      </c>
      <c r="K225" s="3401">
        <v>57.87</v>
      </c>
      <c r="L225" s="3402">
        <v>40.32</v>
      </c>
      <c r="M225" s="3239"/>
      <c r="N225" s="3239"/>
      <c r="O225" s="3394"/>
      <c r="P225" s="3394"/>
      <c r="Q225" s="3394"/>
      <c r="R225" s="3239"/>
      <c r="S225" s="3239"/>
      <c r="T225" s="3239" t="str">
        <f t="shared" si="4"/>
        <v>有</v>
      </c>
    </row>
    <row r="226" spans="1:20" hidden="1">
      <c r="A226" s="3394">
        <v>224</v>
      </c>
      <c r="B226" s="3394">
        <v>1</v>
      </c>
      <c r="C226" s="3394">
        <v>1</v>
      </c>
      <c r="D226" s="3400">
        <v>723</v>
      </c>
      <c r="E226" s="3237">
        <v>707</v>
      </c>
      <c r="F226" s="3239">
        <v>1</v>
      </c>
      <c r="G226" s="3239">
        <v>0</v>
      </c>
      <c r="H226" s="3239">
        <v>1</v>
      </c>
      <c r="I226" s="3257" t="s">
        <v>3304</v>
      </c>
      <c r="J226" s="3237" t="s">
        <v>3305</v>
      </c>
      <c r="K226" s="3401">
        <v>45.27</v>
      </c>
      <c r="L226" s="3402">
        <v>31.54</v>
      </c>
      <c r="M226" s="3239"/>
      <c r="N226" s="3239"/>
      <c r="O226" s="3394"/>
      <c r="P226" s="3394"/>
      <c r="Q226" s="3394"/>
      <c r="R226" s="3239"/>
      <c r="S226" s="3239"/>
      <c r="T226" s="3239" t="str">
        <f t="shared" si="4"/>
        <v>无</v>
      </c>
    </row>
    <row r="227" spans="1:20" hidden="1">
      <c r="A227" s="3394">
        <v>225</v>
      </c>
      <c r="B227" s="3394">
        <v>1</v>
      </c>
      <c r="C227" s="3394">
        <v>1</v>
      </c>
      <c r="D227" s="3400">
        <v>724</v>
      </c>
      <c r="E227" s="3237">
        <v>706</v>
      </c>
      <c r="F227" s="3239">
        <v>1</v>
      </c>
      <c r="G227" s="3239">
        <v>0</v>
      </c>
      <c r="H227" s="3239">
        <v>1</v>
      </c>
      <c r="I227" s="3257" t="s">
        <v>3304</v>
      </c>
      <c r="J227" s="3237" t="s">
        <v>3305</v>
      </c>
      <c r="K227" s="3401">
        <v>45.27</v>
      </c>
      <c r="L227" s="3402">
        <v>31.54</v>
      </c>
      <c r="M227" s="3239"/>
      <c r="N227" s="3239"/>
      <c r="O227" s="3394"/>
      <c r="P227" s="3394"/>
      <c r="Q227" s="3394"/>
      <c r="R227" s="3239"/>
      <c r="S227" s="3239"/>
      <c r="T227" s="3239" t="str">
        <f t="shared" si="4"/>
        <v>无</v>
      </c>
    </row>
    <row r="228" spans="1:20">
      <c r="A228" s="3394">
        <v>226</v>
      </c>
      <c r="B228" s="3394">
        <v>1</v>
      </c>
      <c r="C228" s="3394">
        <v>1</v>
      </c>
      <c r="D228" s="3400">
        <v>725</v>
      </c>
      <c r="E228" s="3237">
        <v>730</v>
      </c>
      <c r="F228" s="3239">
        <v>1</v>
      </c>
      <c r="G228" s="3239">
        <v>1</v>
      </c>
      <c r="H228" s="3239">
        <v>1</v>
      </c>
      <c r="I228" s="3237" t="s">
        <v>3295</v>
      </c>
      <c r="J228" s="3237">
        <v>50</v>
      </c>
      <c r="K228" s="3401">
        <v>57.87</v>
      </c>
      <c r="L228" s="3402">
        <v>40.32</v>
      </c>
      <c r="M228" s="3239"/>
      <c r="N228" s="3239"/>
      <c r="O228" s="3394"/>
      <c r="P228" s="3394"/>
      <c r="Q228" s="3394"/>
      <c r="R228" s="3239"/>
      <c r="S228" s="3239"/>
      <c r="T228" s="3239" t="str">
        <f t="shared" si="4"/>
        <v>有</v>
      </c>
    </row>
    <row r="229" spans="1:20" hidden="1">
      <c r="A229" s="3394">
        <v>227</v>
      </c>
      <c r="B229" s="3394">
        <v>1</v>
      </c>
      <c r="C229" s="3394">
        <v>1</v>
      </c>
      <c r="D229" s="3400">
        <v>726</v>
      </c>
      <c r="E229" s="3237">
        <v>705</v>
      </c>
      <c r="F229" s="3239">
        <v>1</v>
      </c>
      <c r="G229" s="3239">
        <v>0</v>
      </c>
      <c r="H229" s="3239">
        <v>1</v>
      </c>
      <c r="I229" s="3257" t="s">
        <v>3304</v>
      </c>
      <c r="J229" s="3237" t="s">
        <v>3306</v>
      </c>
      <c r="K229" s="3401">
        <v>46.3</v>
      </c>
      <c r="L229" s="3402">
        <v>32.26</v>
      </c>
      <c r="M229" s="3239"/>
      <c r="N229" s="3239"/>
      <c r="O229" s="3394"/>
      <c r="P229" s="3394"/>
      <c r="Q229" s="3394"/>
      <c r="R229" s="3239"/>
      <c r="S229" s="3239"/>
      <c r="T229" s="3239" t="str">
        <f t="shared" si="4"/>
        <v>无</v>
      </c>
    </row>
    <row r="230" spans="1:20">
      <c r="A230" s="3394">
        <v>228</v>
      </c>
      <c r="B230" s="3394">
        <v>1</v>
      </c>
      <c r="C230" s="3394">
        <v>1</v>
      </c>
      <c r="D230" s="3400">
        <v>727</v>
      </c>
      <c r="E230" s="3237">
        <v>731</v>
      </c>
      <c r="F230" s="3239">
        <v>1</v>
      </c>
      <c r="G230" s="3239">
        <v>1</v>
      </c>
      <c r="H230" s="3239">
        <v>1</v>
      </c>
      <c r="I230" s="3237" t="s">
        <v>3295</v>
      </c>
      <c r="J230" s="3237">
        <v>50</v>
      </c>
      <c r="K230" s="3401">
        <v>57.87</v>
      </c>
      <c r="L230" s="3402">
        <v>40.32</v>
      </c>
      <c r="M230" s="3239"/>
      <c r="N230" s="3239"/>
      <c r="O230" s="3394"/>
      <c r="P230" s="3394"/>
      <c r="Q230" s="3394"/>
      <c r="R230" s="3239"/>
      <c r="S230" s="3239"/>
      <c r="T230" s="3239" t="str">
        <f t="shared" si="4"/>
        <v>有</v>
      </c>
    </row>
    <row r="231" spans="1:20">
      <c r="A231" s="3394">
        <v>229</v>
      </c>
      <c r="B231" s="3394">
        <v>1</v>
      </c>
      <c r="C231" s="3394">
        <v>1</v>
      </c>
      <c r="D231" s="3400">
        <v>728</v>
      </c>
      <c r="E231" s="3237">
        <v>732</v>
      </c>
      <c r="F231" s="3239">
        <v>1</v>
      </c>
      <c r="G231" s="3239">
        <v>1</v>
      </c>
      <c r="H231" s="3239">
        <v>1</v>
      </c>
      <c r="I231" s="3237" t="s">
        <v>3295</v>
      </c>
      <c r="J231" s="3237">
        <v>50</v>
      </c>
      <c r="K231" s="3401">
        <v>57.87</v>
      </c>
      <c r="L231" s="3402">
        <v>40.32</v>
      </c>
      <c r="M231" s="3239"/>
      <c r="N231" s="3239"/>
      <c r="O231" s="3394"/>
      <c r="P231" s="3394"/>
      <c r="Q231" s="3394"/>
      <c r="R231" s="3239"/>
      <c r="S231" s="3239"/>
      <c r="T231" s="3239" t="str">
        <f t="shared" si="4"/>
        <v>有</v>
      </c>
    </row>
    <row r="232" spans="1:20">
      <c r="A232" s="3394">
        <v>230</v>
      </c>
      <c r="B232" s="3394">
        <v>1</v>
      </c>
      <c r="C232" s="3394">
        <v>1</v>
      </c>
      <c r="D232" s="3400">
        <v>729</v>
      </c>
      <c r="E232" s="3237">
        <v>733</v>
      </c>
      <c r="F232" s="3239">
        <v>1</v>
      </c>
      <c r="G232" s="3239">
        <v>1</v>
      </c>
      <c r="H232" s="3239">
        <v>1</v>
      </c>
      <c r="I232" s="3237" t="s">
        <v>3295</v>
      </c>
      <c r="J232" s="3237">
        <v>50</v>
      </c>
      <c r="K232" s="3401">
        <v>57.87</v>
      </c>
      <c r="L232" s="3402">
        <v>40.32</v>
      </c>
      <c r="M232" s="3239"/>
      <c r="N232" s="3239"/>
      <c r="O232" s="3394"/>
      <c r="P232" s="3394"/>
      <c r="Q232" s="3394"/>
      <c r="R232" s="3239"/>
      <c r="S232" s="3239"/>
      <c r="T232" s="3239" t="str">
        <f t="shared" si="4"/>
        <v>有</v>
      </c>
    </row>
    <row r="233" spans="1:20">
      <c r="A233" s="3394">
        <v>231</v>
      </c>
      <c r="B233" s="3394">
        <v>1</v>
      </c>
      <c r="C233" s="3394">
        <v>1</v>
      </c>
      <c r="D233" s="3400">
        <v>730</v>
      </c>
      <c r="E233" s="3237">
        <v>734</v>
      </c>
      <c r="F233" s="3239">
        <v>1</v>
      </c>
      <c r="G233" s="3239">
        <v>1</v>
      </c>
      <c r="H233" s="3239">
        <v>1</v>
      </c>
      <c r="I233" s="3237" t="s">
        <v>3295</v>
      </c>
      <c r="J233" s="3237">
        <v>50</v>
      </c>
      <c r="K233" s="3401">
        <v>57.87</v>
      </c>
      <c r="L233" s="3402">
        <v>40.32</v>
      </c>
      <c r="M233" s="3239"/>
      <c r="N233" s="3239"/>
      <c r="O233" s="3394"/>
      <c r="P233" s="3394"/>
      <c r="Q233" s="3394"/>
      <c r="R233" s="3239"/>
      <c r="S233" s="3239"/>
      <c r="T233" s="3239" t="str">
        <f t="shared" si="4"/>
        <v>有</v>
      </c>
    </row>
    <row r="234" spans="1:20" hidden="1">
      <c r="A234" s="3394">
        <v>232</v>
      </c>
      <c r="B234" s="3394">
        <v>1</v>
      </c>
      <c r="C234" s="3394">
        <v>1</v>
      </c>
      <c r="D234" s="3400">
        <v>731</v>
      </c>
      <c r="E234" s="3237">
        <v>704</v>
      </c>
      <c r="F234" s="3239">
        <v>1</v>
      </c>
      <c r="G234" s="3239">
        <v>0</v>
      </c>
      <c r="H234" s="3239">
        <v>1</v>
      </c>
      <c r="I234" s="3257" t="s">
        <v>3304</v>
      </c>
      <c r="J234" s="3237" t="s">
        <v>3306</v>
      </c>
      <c r="K234" s="3401">
        <v>46.3</v>
      </c>
      <c r="L234" s="3402">
        <v>32.26</v>
      </c>
      <c r="M234" s="3239"/>
      <c r="N234" s="3239"/>
      <c r="O234" s="3394"/>
      <c r="P234" s="3394"/>
      <c r="Q234" s="3394"/>
      <c r="R234" s="3239"/>
      <c r="S234" s="3239"/>
      <c r="T234" s="3239" t="str">
        <f t="shared" si="4"/>
        <v>无</v>
      </c>
    </row>
    <row r="235" spans="1:20">
      <c r="A235" s="3394">
        <v>233</v>
      </c>
      <c r="B235" s="3394">
        <v>1</v>
      </c>
      <c r="C235" s="3394">
        <v>1</v>
      </c>
      <c r="D235" s="3400">
        <v>732</v>
      </c>
      <c r="E235" s="3237">
        <v>735</v>
      </c>
      <c r="F235" s="3239">
        <v>1</v>
      </c>
      <c r="G235" s="3239">
        <v>1</v>
      </c>
      <c r="H235" s="3239">
        <v>1</v>
      </c>
      <c r="I235" s="3237" t="s">
        <v>3295</v>
      </c>
      <c r="J235" s="3237">
        <v>50</v>
      </c>
      <c r="K235" s="3401">
        <v>57.87</v>
      </c>
      <c r="L235" s="3402">
        <v>40.32</v>
      </c>
      <c r="M235" s="3239"/>
      <c r="N235" s="3239"/>
      <c r="O235" s="3394"/>
      <c r="P235" s="3394"/>
      <c r="Q235" s="3394"/>
      <c r="R235" s="3239"/>
      <c r="S235" s="3239"/>
      <c r="T235" s="3239" t="str">
        <f t="shared" si="4"/>
        <v>有</v>
      </c>
    </row>
    <row r="236" spans="1:20" hidden="1">
      <c r="A236" s="3394">
        <v>234</v>
      </c>
      <c r="B236" s="3394">
        <v>1</v>
      </c>
      <c r="C236" s="3394">
        <v>1</v>
      </c>
      <c r="D236" s="3400">
        <v>733</v>
      </c>
      <c r="E236" s="3237">
        <v>703</v>
      </c>
      <c r="F236" s="3239">
        <v>1</v>
      </c>
      <c r="G236" s="3239">
        <v>0</v>
      </c>
      <c r="H236" s="3239">
        <v>1</v>
      </c>
      <c r="I236" s="3257" t="s">
        <v>3304</v>
      </c>
      <c r="J236" s="3237" t="s">
        <v>3305</v>
      </c>
      <c r="K236" s="3401">
        <v>45.27</v>
      </c>
      <c r="L236" s="3402">
        <v>31.54</v>
      </c>
      <c r="M236" s="3239"/>
      <c r="N236" s="3239"/>
      <c r="O236" s="3394"/>
      <c r="P236" s="3394"/>
      <c r="Q236" s="3394"/>
      <c r="R236" s="3239"/>
      <c r="S236" s="3239"/>
      <c r="T236" s="3239" t="str">
        <f t="shared" si="4"/>
        <v>无</v>
      </c>
    </row>
    <row r="237" spans="1:20" hidden="1">
      <c r="A237" s="3394">
        <v>235</v>
      </c>
      <c r="B237" s="3394">
        <v>1</v>
      </c>
      <c r="C237" s="3394">
        <v>1</v>
      </c>
      <c r="D237" s="3400">
        <v>734</v>
      </c>
      <c r="E237" s="3237">
        <v>702</v>
      </c>
      <c r="F237" s="3239">
        <v>1</v>
      </c>
      <c r="G237" s="3239">
        <v>0</v>
      </c>
      <c r="H237" s="3239">
        <v>1</v>
      </c>
      <c r="I237" s="3257" t="s">
        <v>3304</v>
      </c>
      <c r="J237" s="3237" t="s">
        <v>3305</v>
      </c>
      <c r="K237" s="3401">
        <v>45.27</v>
      </c>
      <c r="L237" s="3402">
        <v>31.54</v>
      </c>
      <c r="M237" s="3239"/>
      <c r="N237" s="3239"/>
      <c r="O237" s="3394"/>
      <c r="P237" s="3394"/>
      <c r="Q237" s="3394"/>
      <c r="R237" s="3239"/>
      <c r="S237" s="3239"/>
      <c r="T237" s="3239" t="str">
        <f t="shared" si="4"/>
        <v>无</v>
      </c>
    </row>
    <row r="238" spans="1:20">
      <c r="A238" s="3394">
        <v>236</v>
      </c>
      <c r="B238" s="3394">
        <v>1</v>
      </c>
      <c r="C238" s="3394">
        <v>1</v>
      </c>
      <c r="D238" s="3400">
        <v>735</v>
      </c>
      <c r="E238" s="3237">
        <v>736</v>
      </c>
      <c r="F238" s="3239">
        <v>1</v>
      </c>
      <c r="G238" s="3239">
        <v>1</v>
      </c>
      <c r="H238" s="3239">
        <v>1</v>
      </c>
      <c r="I238" s="3237" t="s">
        <v>3295</v>
      </c>
      <c r="J238" s="3237">
        <v>50</v>
      </c>
      <c r="K238" s="3401">
        <v>57.87</v>
      </c>
      <c r="L238" s="3402">
        <v>40.32</v>
      </c>
      <c r="M238" s="3239"/>
      <c r="N238" s="3239"/>
      <c r="O238" s="3394"/>
      <c r="P238" s="3394"/>
      <c r="Q238" s="3394"/>
      <c r="R238" s="3239"/>
      <c r="S238" s="3239"/>
      <c r="T238" s="3239" t="str">
        <f t="shared" si="4"/>
        <v>有</v>
      </c>
    </row>
    <row r="239" spans="1:20" hidden="1">
      <c r="A239" s="3394">
        <v>237</v>
      </c>
      <c r="B239" s="3394">
        <v>1</v>
      </c>
      <c r="C239" s="3394">
        <v>1</v>
      </c>
      <c r="D239" s="3400">
        <v>736</v>
      </c>
      <c r="E239" s="3237">
        <v>737</v>
      </c>
      <c r="F239" s="3239">
        <v>1</v>
      </c>
      <c r="G239" s="3239">
        <v>0</v>
      </c>
      <c r="H239" s="3239">
        <v>1</v>
      </c>
      <c r="I239" s="3237" t="s">
        <v>3295</v>
      </c>
      <c r="J239" s="3257" t="s">
        <v>3322</v>
      </c>
      <c r="K239" s="3401">
        <v>49.52</v>
      </c>
      <c r="L239" s="3402">
        <v>34.5</v>
      </c>
      <c r="M239" s="3239"/>
      <c r="N239" s="3239"/>
      <c r="O239" s="3394"/>
      <c r="P239" s="3394"/>
      <c r="Q239" s="3394"/>
      <c r="R239" s="3239"/>
      <c r="S239" s="3239"/>
      <c r="T239" s="3239" t="str">
        <f t="shared" si="4"/>
        <v>无</v>
      </c>
    </row>
    <row r="240" spans="1:20">
      <c r="A240" s="3394">
        <v>238</v>
      </c>
      <c r="B240" s="3394">
        <v>1</v>
      </c>
      <c r="C240" s="3394">
        <v>1</v>
      </c>
      <c r="D240" s="3400">
        <v>737</v>
      </c>
      <c r="E240" s="3237">
        <v>701</v>
      </c>
      <c r="F240" s="3239">
        <v>1</v>
      </c>
      <c r="G240" s="3239">
        <v>1</v>
      </c>
      <c r="H240" s="3239">
        <v>1</v>
      </c>
      <c r="I240" s="3237" t="s">
        <v>3302</v>
      </c>
      <c r="J240" s="3237" t="s">
        <v>3303</v>
      </c>
      <c r="K240" s="3401">
        <v>58.16</v>
      </c>
      <c r="L240" s="3402">
        <v>40.520000000000003</v>
      </c>
      <c r="M240" s="3239"/>
      <c r="N240" s="3239"/>
      <c r="O240" s="3394"/>
      <c r="P240" s="3395"/>
      <c r="Q240" s="3395"/>
      <c r="R240" s="3239"/>
      <c r="S240" s="3239"/>
      <c r="T240" s="3239" t="str">
        <f t="shared" si="4"/>
        <v>有</v>
      </c>
    </row>
    <row r="241" spans="1:20" hidden="1">
      <c r="A241" s="3394">
        <v>239</v>
      </c>
      <c r="B241" s="3394">
        <v>1</v>
      </c>
      <c r="C241" s="3394">
        <v>1</v>
      </c>
      <c r="D241" s="3400">
        <v>738</v>
      </c>
      <c r="E241" s="3237">
        <v>739</v>
      </c>
      <c r="F241" s="3239">
        <v>1</v>
      </c>
      <c r="G241" s="3239">
        <v>0</v>
      </c>
      <c r="H241" s="3239">
        <v>1</v>
      </c>
      <c r="I241" s="3237" t="s">
        <v>3300</v>
      </c>
      <c r="J241" s="3237" t="s">
        <v>3323</v>
      </c>
      <c r="K241" s="3401">
        <v>46.53</v>
      </c>
      <c r="L241" s="3402">
        <v>32.42</v>
      </c>
      <c r="M241" s="3239"/>
      <c r="N241" s="3239"/>
      <c r="O241" s="3394"/>
      <c r="P241" s="3394"/>
      <c r="Q241" s="3394"/>
      <c r="R241" s="3239"/>
      <c r="S241" s="3239"/>
      <c r="T241" s="3239" t="str">
        <f t="shared" si="4"/>
        <v>无</v>
      </c>
    </row>
    <row r="242" spans="1:20" hidden="1">
      <c r="A242" s="3394">
        <v>240</v>
      </c>
      <c r="B242" s="3394">
        <v>1</v>
      </c>
      <c r="C242" s="3394">
        <v>1</v>
      </c>
      <c r="D242" s="3400">
        <v>739</v>
      </c>
      <c r="E242" s="3237">
        <v>738</v>
      </c>
      <c r="F242" s="3239">
        <v>1</v>
      </c>
      <c r="G242" s="3239">
        <v>0</v>
      </c>
      <c r="H242" s="3239">
        <v>1</v>
      </c>
      <c r="I242" s="3237" t="s">
        <v>3295</v>
      </c>
      <c r="J242" s="3237" t="s">
        <v>3500</v>
      </c>
      <c r="K242" s="3401">
        <v>50.61</v>
      </c>
      <c r="L242" s="3402">
        <v>35.26</v>
      </c>
      <c r="M242" s="3239"/>
      <c r="N242" s="3239"/>
      <c r="O242" s="3394"/>
      <c r="P242" s="3394"/>
      <c r="Q242" s="3394"/>
      <c r="R242" s="3239"/>
      <c r="S242" s="3239"/>
      <c r="T242" s="3239" t="str">
        <f t="shared" si="4"/>
        <v>无</v>
      </c>
    </row>
    <row r="243" spans="1:20">
      <c r="A243" s="3394">
        <v>241</v>
      </c>
      <c r="B243" s="3394">
        <v>1</v>
      </c>
      <c r="C243" s="3394">
        <v>1</v>
      </c>
      <c r="D243" s="3400">
        <v>801</v>
      </c>
      <c r="E243" s="3237">
        <v>816</v>
      </c>
      <c r="F243" s="3239">
        <v>1</v>
      </c>
      <c r="G243" s="3239">
        <v>1</v>
      </c>
      <c r="H243" s="3239">
        <v>1</v>
      </c>
      <c r="I243" s="3257" t="s">
        <v>3312</v>
      </c>
      <c r="J243" s="3237" t="s">
        <v>3314</v>
      </c>
      <c r="K243" s="3401">
        <v>57.37</v>
      </c>
      <c r="L243" s="3402">
        <v>39.97</v>
      </c>
      <c r="M243" s="3239"/>
      <c r="N243" s="3239"/>
      <c r="O243" s="3394"/>
      <c r="P243" s="3394"/>
      <c r="Q243" s="3394"/>
      <c r="R243" s="3239"/>
      <c r="S243" s="3239"/>
      <c r="T243" s="3239" t="str">
        <f t="shared" si="4"/>
        <v>有</v>
      </c>
    </row>
    <row r="244" spans="1:20">
      <c r="A244" s="3394">
        <v>242</v>
      </c>
      <c r="B244" s="3394">
        <v>1</v>
      </c>
      <c r="C244" s="3394">
        <v>1</v>
      </c>
      <c r="D244" s="3400">
        <v>802</v>
      </c>
      <c r="E244" s="3237">
        <v>817</v>
      </c>
      <c r="F244" s="3239">
        <v>1</v>
      </c>
      <c r="G244" s="3239">
        <v>1</v>
      </c>
      <c r="H244" s="3239">
        <v>1</v>
      </c>
      <c r="I244" s="3257" t="s">
        <v>3312</v>
      </c>
      <c r="J244" s="3237">
        <v>50</v>
      </c>
      <c r="K244" s="3401">
        <v>57.87</v>
      </c>
      <c r="L244" s="3402">
        <v>40.32</v>
      </c>
      <c r="M244" s="3239"/>
      <c r="N244" s="3239"/>
      <c r="O244" s="3394"/>
      <c r="P244" s="3394"/>
      <c r="Q244" s="3394"/>
      <c r="R244" s="3239"/>
      <c r="S244" s="3239"/>
      <c r="T244" s="3239" t="str">
        <f t="shared" si="4"/>
        <v>有</v>
      </c>
    </row>
    <row r="245" spans="1:20">
      <c r="A245" s="3394">
        <v>243</v>
      </c>
      <c r="B245" s="3394">
        <v>1</v>
      </c>
      <c r="C245" s="3394">
        <v>1</v>
      </c>
      <c r="D245" s="3400">
        <v>803</v>
      </c>
      <c r="E245" s="3237">
        <v>818</v>
      </c>
      <c r="F245" s="3239">
        <v>1</v>
      </c>
      <c r="G245" s="3239">
        <v>1</v>
      </c>
      <c r="H245" s="3239">
        <v>1</v>
      </c>
      <c r="I245" s="3257" t="s">
        <v>3312</v>
      </c>
      <c r="J245" s="3237">
        <v>50</v>
      </c>
      <c r="K245" s="3401">
        <v>57.87</v>
      </c>
      <c r="L245" s="3402">
        <v>40.32</v>
      </c>
      <c r="M245" s="3239"/>
      <c r="N245" s="3239"/>
      <c r="O245" s="3394"/>
      <c r="P245" s="3394"/>
      <c r="Q245" s="3394"/>
      <c r="R245" s="3239"/>
      <c r="S245" s="3239"/>
      <c r="T245" s="3239" t="str">
        <f t="shared" si="4"/>
        <v>有</v>
      </c>
    </row>
    <row r="246" spans="1:20">
      <c r="A246" s="3394">
        <v>244</v>
      </c>
      <c r="B246" s="3394">
        <v>1</v>
      </c>
      <c r="C246" s="3394">
        <v>1</v>
      </c>
      <c r="D246" s="3400">
        <v>804</v>
      </c>
      <c r="E246" s="3237">
        <v>819</v>
      </c>
      <c r="F246" s="3239">
        <v>1</v>
      </c>
      <c r="G246" s="3239">
        <v>1</v>
      </c>
      <c r="H246" s="3239">
        <v>1</v>
      </c>
      <c r="I246" s="3257" t="s">
        <v>3312</v>
      </c>
      <c r="J246" s="3237" t="s">
        <v>3308</v>
      </c>
      <c r="K246" s="3401">
        <v>57.23</v>
      </c>
      <c r="L246" s="3402">
        <v>39.869999999999997</v>
      </c>
      <c r="M246" s="3239"/>
      <c r="N246" s="3239"/>
      <c r="O246" s="3394"/>
      <c r="P246" s="3394"/>
      <c r="Q246" s="3394"/>
      <c r="R246" s="3239"/>
      <c r="S246" s="3239"/>
      <c r="T246" s="3239" t="str">
        <f t="shared" si="4"/>
        <v>有</v>
      </c>
    </row>
    <row r="247" spans="1:20">
      <c r="A247" s="3394">
        <v>245</v>
      </c>
      <c r="B247" s="3394">
        <v>1</v>
      </c>
      <c r="C247" s="3394">
        <v>1</v>
      </c>
      <c r="D247" s="3400">
        <v>805</v>
      </c>
      <c r="E247" s="3237">
        <v>820</v>
      </c>
      <c r="F247" s="3239">
        <v>1</v>
      </c>
      <c r="G247" s="3239">
        <v>1</v>
      </c>
      <c r="H247" s="3239">
        <v>1</v>
      </c>
      <c r="I247" s="3257" t="s">
        <v>3312</v>
      </c>
      <c r="J247" s="3257" t="s">
        <v>3315</v>
      </c>
      <c r="K247" s="3401">
        <v>59.16</v>
      </c>
      <c r="L247" s="3402">
        <v>41.22</v>
      </c>
      <c r="M247" s="3239"/>
      <c r="N247" s="3239"/>
      <c r="O247" s="3394"/>
      <c r="P247" s="3394"/>
      <c r="Q247" s="3394"/>
      <c r="R247" s="3239"/>
      <c r="S247" s="3239"/>
      <c r="T247" s="3239" t="str">
        <f t="shared" si="4"/>
        <v>有</v>
      </c>
    </row>
    <row r="248" spans="1:20">
      <c r="A248" s="3394">
        <v>246</v>
      </c>
      <c r="B248" s="3394">
        <v>1</v>
      </c>
      <c r="C248" s="3394">
        <v>1</v>
      </c>
      <c r="D248" s="3400">
        <v>806</v>
      </c>
      <c r="E248" s="3237">
        <v>821</v>
      </c>
      <c r="F248" s="3239">
        <v>4</v>
      </c>
      <c r="G248" s="3239">
        <v>1</v>
      </c>
      <c r="H248" s="3239">
        <v>1</v>
      </c>
      <c r="I248" s="3237" t="s">
        <v>3316</v>
      </c>
      <c r="J248" s="3237" t="s">
        <v>3317</v>
      </c>
      <c r="K248" s="3401">
        <v>108.7</v>
      </c>
      <c r="L248" s="3402">
        <v>75.73</v>
      </c>
      <c r="M248" s="3239"/>
      <c r="N248" s="3239"/>
      <c r="O248" s="3394"/>
      <c r="P248" s="3394"/>
      <c r="Q248" s="3394"/>
      <c r="R248" s="3239"/>
      <c r="S248" s="3239"/>
      <c r="T248" s="3239" t="str">
        <f t="shared" si="4"/>
        <v>有</v>
      </c>
    </row>
    <row r="249" spans="1:20">
      <c r="A249" s="3394">
        <v>247</v>
      </c>
      <c r="B249" s="3394">
        <v>1</v>
      </c>
      <c r="C249" s="3394">
        <v>1</v>
      </c>
      <c r="D249" s="3400">
        <v>807</v>
      </c>
      <c r="E249" s="3237">
        <v>814</v>
      </c>
      <c r="F249" s="3239">
        <v>1</v>
      </c>
      <c r="G249" s="3239">
        <v>1</v>
      </c>
      <c r="H249" s="3239">
        <v>1</v>
      </c>
      <c r="I249" s="3237" t="s">
        <v>3310</v>
      </c>
      <c r="J249" s="3237" t="s">
        <v>3311</v>
      </c>
      <c r="K249" s="3401">
        <v>55.32</v>
      </c>
      <c r="L249" s="3402">
        <v>38.54</v>
      </c>
      <c r="M249" s="3239"/>
      <c r="N249" s="3239"/>
      <c r="O249" s="3394"/>
      <c r="P249" s="3394"/>
      <c r="Q249" s="3394"/>
      <c r="R249" s="3239"/>
      <c r="S249" s="3239"/>
      <c r="T249" s="3239" t="str">
        <f t="shared" si="4"/>
        <v>有</v>
      </c>
    </row>
    <row r="250" spans="1:20">
      <c r="A250" s="3394">
        <v>248</v>
      </c>
      <c r="B250" s="3394">
        <v>1</v>
      </c>
      <c r="C250" s="3394">
        <v>1</v>
      </c>
      <c r="D250" s="3400">
        <v>808</v>
      </c>
      <c r="E250" s="3237">
        <v>815</v>
      </c>
      <c r="F250" s="3239">
        <v>2</v>
      </c>
      <c r="G250" s="3239">
        <v>1</v>
      </c>
      <c r="H250" s="3239">
        <v>1</v>
      </c>
      <c r="I250" s="3257" t="s">
        <v>3312</v>
      </c>
      <c r="J250" s="3237" t="s">
        <v>3313</v>
      </c>
      <c r="K250" s="3401">
        <v>96.55</v>
      </c>
      <c r="L250" s="3402">
        <v>67.27</v>
      </c>
      <c r="M250" s="3239"/>
      <c r="N250" s="3239"/>
      <c r="O250" s="3394"/>
      <c r="P250" s="3394"/>
      <c r="Q250" s="3394"/>
      <c r="R250" s="3239"/>
      <c r="S250" s="3239"/>
      <c r="T250" s="3239" t="str">
        <f t="shared" si="4"/>
        <v>有</v>
      </c>
    </row>
    <row r="251" spans="1:20">
      <c r="A251" s="3394">
        <v>249</v>
      </c>
      <c r="B251" s="3394">
        <v>1</v>
      </c>
      <c r="C251" s="3394">
        <v>1</v>
      </c>
      <c r="D251" s="3400">
        <v>809</v>
      </c>
      <c r="E251" s="3237">
        <v>813</v>
      </c>
      <c r="F251" s="3239">
        <v>1</v>
      </c>
      <c r="G251" s="3239">
        <v>1</v>
      </c>
      <c r="H251" s="3239">
        <v>1</v>
      </c>
      <c r="I251" s="3257" t="s">
        <v>3304</v>
      </c>
      <c r="J251" s="3257" t="s">
        <v>3309</v>
      </c>
      <c r="K251" s="3401">
        <v>57.35</v>
      </c>
      <c r="L251" s="3402">
        <v>39.96</v>
      </c>
      <c r="M251" s="3239"/>
      <c r="N251" s="3239"/>
      <c r="O251" s="3394"/>
      <c r="P251" s="3394"/>
      <c r="Q251" s="3394"/>
      <c r="R251" s="3239"/>
      <c r="S251" s="3239"/>
      <c r="T251" s="3239" t="str">
        <f t="shared" si="4"/>
        <v>有</v>
      </c>
    </row>
    <row r="252" spans="1:20">
      <c r="A252" s="3394">
        <v>250</v>
      </c>
      <c r="B252" s="3394">
        <v>1</v>
      </c>
      <c r="C252" s="3394">
        <v>1</v>
      </c>
      <c r="D252" s="3400">
        <v>810</v>
      </c>
      <c r="E252" s="3237">
        <v>822</v>
      </c>
      <c r="F252" s="3239">
        <v>4</v>
      </c>
      <c r="G252" s="3239">
        <v>1</v>
      </c>
      <c r="H252" s="3239">
        <v>1</v>
      </c>
      <c r="I252" s="3237" t="s">
        <v>3318</v>
      </c>
      <c r="J252" s="3237" t="s">
        <v>3319</v>
      </c>
      <c r="K252" s="3401">
        <v>108.7</v>
      </c>
      <c r="L252" s="3402">
        <v>75.73</v>
      </c>
      <c r="M252" s="3239"/>
      <c r="N252" s="3239"/>
      <c r="O252" s="3394"/>
      <c r="P252" s="3394"/>
      <c r="Q252" s="3394"/>
      <c r="R252" s="3239"/>
      <c r="S252" s="3239"/>
      <c r="T252" s="3239" t="str">
        <f t="shared" si="4"/>
        <v>有</v>
      </c>
    </row>
    <row r="253" spans="1:20">
      <c r="A253" s="3394">
        <v>251</v>
      </c>
      <c r="B253" s="3394">
        <v>1</v>
      </c>
      <c r="C253" s="3394">
        <v>1</v>
      </c>
      <c r="D253" s="3400">
        <v>811</v>
      </c>
      <c r="E253" s="3237">
        <v>824</v>
      </c>
      <c r="F253" s="3239">
        <v>1</v>
      </c>
      <c r="G253" s="3239">
        <v>1</v>
      </c>
      <c r="H253" s="3239">
        <v>1</v>
      </c>
      <c r="I253" s="3237" t="s">
        <v>3300</v>
      </c>
      <c r="J253" s="3237">
        <v>50</v>
      </c>
      <c r="K253" s="3401">
        <v>57.87</v>
      </c>
      <c r="L253" s="3402">
        <v>40.32</v>
      </c>
      <c r="M253" s="3239"/>
      <c r="N253" s="3239"/>
      <c r="O253" s="3394"/>
      <c r="P253" s="3394"/>
      <c r="Q253" s="3394"/>
      <c r="R253" s="3239"/>
      <c r="S253" s="3239"/>
      <c r="T253" s="3239" t="str">
        <f t="shared" si="4"/>
        <v>有</v>
      </c>
    </row>
    <row r="254" spans="1:20">
      <c r="A254" s="3394">
        <v>252</v>
      </c>
      <c r="B254" s="3394">
        <v>1</v>
      </c>
      <c r="C254" s="3394">
        <v>1</v>
      </c>
      <c r="D254" s="3400">
        <v>812</v>
      </c>
      <c r="E254" s="3237">
        <v>823</v>
      </c>
      <c r="F254" s="3239">
        <v>1</v>
      </c>
      <c r="G254" s="3239">
        <v>1</v>
      </c>
      <c r="H254" s="3239">
        <v>1</v>
      </c>
      <c r="I254" s="3237" t="s">
        <v>3300</v>
      </c>
      <c r="J254" s="3237" t="s">
        <v>3308</v>
      </c>
      <c r="K254" s="3401">
        <v>57.23</v>
      </c>
      <c r="L254" s="3402">
        <v>39.869999999999997</v>
      </c>
      <c r="M254" s="3239"/>
      <c r="N254" s="3239"/>
      <c r="O254" s="3394"/>
      <c r="P254" s="3394"/>
      <c r="Q254" s="3394"/>
      <c r="R254" s="3239"/>
      <c r="S254" s="3239"/>
      <c r="T254" s="3239" t="str">
        <f t="shared" si="4"/>
        <v>有</v>
      </c>
    </row>
    <row r="255" spans="1:20">
      <c r="A255" s="3394">
        <v>253</v>
      </c>
      <c r="B255" s="3394">
        <v>1</v>
      </c>
      <c r="C255" s="3394">
        <v>1</v>
      </c>
      <c r="D255" s="3400">
        <v>813</v>
      </c>
      <c r="E255" s="3237">
        <v>825</v>
      </c>
      <c r="F255" s="3239">
        <v>1</v>
      </c>
      <c r="G255" s="3239">
        <v>1</v>
      </c>
      <c r="H255" s="3239">
        <v>1</v>
      </c>
      <c r="I255" s="3237" t="s">
        <v>3300</v>
      </c>
      <c r="J255" s="3237" t="s">
        <v>3320</v>
      </c>
      <c r="K255" s="3401">
        <v>58.02</v>
      </c>
      <c r="L255" s="3402">
        <v>40.42</v>
      </c>
      <c r="M255" s="3239"/>
      <c r="N255" s="3239"/>
      <c r="O255" s="3394"/>
      <c r="P255" s="3394"/>
      <c r="Q255" s="3394"/>
      <c r="R255" s="3239"/>
      <c r="S255" s="3239"/>
      <c r="T255" s="3239" t="str">
        <f t="shared" si="4"/>
        <v>有</v>
      </c>
    </row>
    <row r="256" spans="1:20">
      <c r="A256" s="3394">
        <v>254</v>
      </c>
      <c r="B256" s="3394">
        <v>1</v>
      </c>
      <c r="C256" s="3394">
        <v>1</v>
      </c>
      <c r="D256" s="3400">
        <v>814</v>
      </c>
      <c r="E256" s="3237">
        <v>812</v>
      </c>
      <c r="F256" s="3239">
        <v>1</v>
      </c>
      <c r="G256" s="3239">
        <v>1</v>
      </c>
      <c r="H256" s="3239">
        <v>1</v>
      </c>
      <c r="I256" s="3257" t="s">
        <v>3304</v>
      </c>
      <c r="J256" s="3237" t="s">
        <v>3308</v>
      </c>
      <c r="K256" s="3401">
        <v>57.23</v>
      </c>
      <c r="L256" s="3402">
        <v>39.869999999999997</v>
      </c>
      <c r="M256" s="3239"/>
      <c r="N256" s="3239"/>
      <c r="O256" s="3394"/>
      <c r="P256" s="3394"/>
      <c r="Q256" s="3394"/>
      <c r="R256" s="3239"/>
      <c r="S256" s="3239"/>
      <c r="T256" s="3239" t="str">
        <f t="shared" si="4"/>
        <v>有</v>
      </c>
    </row>
    <row r="257" spans="1:20" hidden="1">
      <c r="A257" s="3394">
        <v>255</v>
      </c>
      <c r="B257" s="3394">
        <v>1</v>
      </c>
      <c r="C257" s="3394">
        <v>1</v>
      </c>
      <c r="D257" s="3400">
        <v>815</v>
      </c>
      <c r="E257" s="3237">
        <v>811</v>
      </c>
      <c r="F257" s="3239">
        <v>1</v>
      </c>
      <c r="G257" s="3239">
        <v>0</v>
      </c>
      <c r="H257" s="3239">
        <v>1</v>
      </c>
      <c r="I257" s="3257" t="s">
        <v>3304</v>
      </c>
      <c r="J257" s="3237" t="s">
        <v>3307</v>
      </c>
      <c r="K257" s="3401">
        <v>45.9</v>
      </c>
      <c r="L257" s="3402">
        <v>31.98</v>
      </c>
      <c r="M257" s="3239"/>
      <c r="N257" s="3239"/>
      <c r="O257" s="3394"/>
      <c r="P257" s="3394"/>
      <c r="Q257" s="3394"/>
      <c r="R257" s="3239"/>
      <c r="S257" s="3239"/>
      <c r="T257" s="3239" t="str">
        <f t="shared" si="4"/>
        <v>无</v>
      </c>
    </row>
    <row r="258" spans="1:20">
      <c r="A258" s="3394">
        <v>256</v>
      </c>
      <c r="B258" s="3394">
        <v>1</v>
      </c>
      <c r="C258" s="3394">
        <v>1</v>
      </c>
      <c r="D258" s="3400">
        <v>816</v>
      </c>
      <c r="E258" s="3237">
        <v>826</v>
      </c>
      <c r="F258" s="3239">
        <v>1</v>
      </c>
      <c r="G258" s="3239">
        <v>1</v>
      </c>
      <c r="H258" s="3239">
        <v>1</v>
      </c>
      <c r="I258" s="3237" t="s">
        <v>3295</v>
      </c>
      <c r="J258" s="3237" t="s">
        <v>3321</v>
      </c>
      <c r="K258" s="3401">
        <v>61.09</v>
      </c>
      <c r="L258" s="3402">
        <v>42.56</v>
      </c>
      <c r="M258" s="3239"/>
      <c r="N258" s="3239"/>
      <c r="O258" s="3394">
        <v>2.9</v>
      </c>
      <c r="P258" s="3394" t="s">
        <v>3363</v>
      </c>
      <c r="Q258" s="3394" t="s">
        <v>3482</v>
      </c>
      <c r="R258" s="3239"/>
      <c r="S258" s="3239"/>
      <c r="T258" s="3239" t="str">
        <f t="shared" si="4"/>
        <v>有</v>
      </c>
    </row>
    <row r="259" spans="1:20" hidden="1">
      <c r="A259" s="3394">
        <v>257</v>
      </c>
      <c r="B259" s="3394">
        <v>1</v>
      </c>
      <c r="C259" s="3394">
        <v>1</v>
      </c>
      <c r="D259" s="3400">
        <v>817</v>
      </c>
      <c r="E259" s="3237">
        <v>810</v>
      </c>
      <c r="F259" s="3239">
        <v>1</v>
      </c>
      <c r="G259" s="3239">
        <v>0</v>
      </c>
      <c r="H259" s="3239">
        <v>1</v>
      </c>
      <c r="I259" s="3257" t="s">
        <v>3304</v>
      </c>
      <c r="J259" s="3237" t="s">
        <v>3305</v>
      </c>
      <c r="K259" s="3401">
        <v>45.27</v>
      </c>
      <c r="L259" s="3402">
        <v>31.54</v>
      </c>
      <c r="M259" s="3239"/>
      <c r="N259" s="3239"/>
      <c r="O259" s="3394"/>
      <c r="P259" s="3394"/>
      <c r="Q259" s="3394"/>
      <c r="R259" s="3239"/>
      <c r="S259" s="3239"/>
      <c r="T259" s="3239" t="str">
        <f t="shared" si="4"/>
        <v>无</v>
      </c>
    </row>
    <row r="260" spans="1:20">
      <c r="A260" s="3394">
        <v>258</v>
      </c>
      <c r="B260" s="3394">
        <v>1</v>
      </c>
      <c r="C260" s="3394">
        <v>1</v>
      </c>
      <c r="D260" s="3400">
        <v>818</v>
      </c>
      <c r="E260" s="3237">
        <v>827</v>
      </c>
      <c r="F260" s="3239">
        <v>1</v>
      </c>
      <c r="G260" s="3239">
        <v>1</v>
      </c>
      <c r="H260" s="3239">
        <v>1</v>
      </c>
      <c r="I260" s="3237" t="s">
        <v>3295</v>
      </c>
      <c r="J260" s="3237">
        <v>50</v>
      </c>
      <c r="K260" s="3401">
        <v>57.87</v>
      </c>
      <c r="L260" s="3402">
        <v>40.32</v>
      </c>
      <c r="M260" s="3239"/>
      <c r="N260" s="3239"/>
      <c r="O260" s="3394"/>
      <c r="P260" s="3394"/>
      <c r="Q260" s="3394"/>
      <c r="R260" s="3239"/>
      <c r="S260" s="3239"/>
      <c r="T260" s="3239" t="str">
        <f t="shared" ref="T260:T323" si="5">IF(OR(J260="无障碍宿舍",J260="无障碍宿舍-01",J260="无障碍宿舍-02",J260="40平",J260="40平-01",J260="40平-02",J260="40平-03",J260="40平-04",J260="40平-06",J260="40平-07",J260="D2"),"无","有")</f>
        <v>有</v>
      </c>
    </row>
    <row r="261" spans="1:20" hidden="1">
      <c r="A261" s="3394">
        <v>259</v>
      </c>
      <c r="B261" s="3394">
        <v>1</v>
      </c>
      <c r="C261" s="3394">
        <v>1</v>
      </c>
      <c r="D261" s="3400">
        <v>819</v>
      </c>
      <c r="E261" s="3237">
        <v>809</v>
      </c>
      <c r="F261" s="3239">
        <v>1</v>
      </c>
      <c r="G261" s="3239">
        <v>0</v>
      </c>
      <c r="H261" s="3239">
        <v>1</v>
      </c>
      <c r="I261" s="3257" t="s">
        <v>3304</v>
      </c>
      <c r="J261" s="3237" t="s">
        <v>3305</v>
      </c>
      <c r="K261" s="3401">
        <v>45.27</v>
      </c>
      <c r="L261" s="3402">
        <v>31.54</v>
      </c>
      <c r="M261" s="3239"/>
      <c r="N261" s="3239"/>
      <c r="O261" s="3394"/>
      <c r="P261" s="3394"/>
      <c r="Q261" s="3394"/>
      <c r="R261" s="3239"/>
      <c r="S261" s="3239"/>
      <c r="T261" s="3239" t="str">
        <f t="shared" si="5"/>
        <v>无</v>
      </c>
    </row>
    <row r="262" spans="1:20">
      <c r="A262" s="3394">
        <v>260</v>
      </c>
      <c r="B262" s="3394">
        <v>1</v>
      </c>
      <c r="C262" s="3394">
        <v>1</v>
      </c>
      <c r="D262" s="3400">
        <v>820</v>
      </c>
      <c r="E262" s="3237">
        <v>828</v>
      </c>
      <c r="F262" s="3239">
        <v>1</v>
      </c>
      <c r="G262" s="3239">
        <v>1</v>
      </c>
      <c r="H262" s="3239">
        <v>1</v>
      </c>
      <c r="I262" s="3237" t="s">
        <v>3295</v>
      </c>
      <c r="J262" s="3237">
        <v>50</v>
      </c>
      <c r="K262" s="3401">
        <v>57.87</v>
      </c>
      <c r="L262" s="3402">
        <v>40.32</v>
      </c>
      <c r="M262" s="3239"/>
      <c r="N262" s="3239"/>
      <c r="O262" s="3394"/>
      <c r="P262" s="3394"/>
      <c r="Q262" s="3394"/>
      <c r="R262" s="3239"/>
      <c r="S262" s="3239"/>
      <c r="T262" s="3239" t="str">
        <f t="shared" si="5"/>
        <v>有</v>
      </c>
    </row>
    <row r="263" spans="1:20" hidden="1">
      <c r="A263" s="3394">
        <v>261</v>
      </c>
      <c r="B263" s="3394">
        <v>1</v>
      </c>
      <c r="C263" s="3394">
        <v>1</v>
      </c>
      <c r="D263" s="3400">
        <v>821</v>
      </c>
      <c r="E263" s="3237">
        <v>808</v>
      </c>
      <c r="F263" s="3239">
        <v>1</v>
      </c>
      <c r="G263" s="3239">
        <v>0</v>
      </c>
      <c r="H263" s="3239">
        <v>1</v>
      </c>
      <c r="I263" s="3257" t="s">
        <v>3304</v>
      </c>
      <c r="J263" s="3237" t="s">
        <v>3305</v>
      </c>
      <c r="K263" s="3401">
        <v>45.27</v>
      </c>
      <c r="L263" s="3402">
        <v>31.54</v>
      </c>
      <c r="M263" s="3239"/>
      <c r="N263" s="3239"/>
      <c r="O263" s="3394"/>
      <c r="P263" s="3394"/>
      <c r="Q263" s="3394"/>
      <c r="R263" s="3239"/>
      <c r="S263" s="3239"/>
      <c r="T263" s="3239" t="str">
        <f t="shared" si="5"/>
        <v>无</v>
      </c>
    </row>
    <row r="264" spans="1:20">
      <c r="A264" s="3394">
        <v>262</v>
      </c>
      <c r="B264" s="3394">
        <v>1</v>
      </c>
      <c r="C264" s="3394">
        <v>1</v>
      </c>
      <c r="D264" s="3400">
        <v>822</v>
      </c>
      <c r="E264" s="3237">
        <v>829</v>
      </c>
      <c r="F264" s="3239">
        <v>1</v>
      </c>
      <c r="G264" s="3239">
        <v>1</v>
      </c>
      <c r="H264" s="3239">
        <v>1</v>
      </c>
      <c r="I264" s="3237" t="s">
        <v>3295</v>
      </c>
      <c r="J264" s="3237">
        <v>50</v>
      </c>
      <c r="K264" s="3401">
        <v>57.87</v>
      </c>
      <c r="L264" s="3402">
        <v>40.32</v>
      </c>
      <c r="M264" s="3239"/>
      <c r="N264" s="3239"/>
      <c r="O264" s="3394"/>
      <c r="P264" s="3394"/>
      <c r="Q264" s="3394"/>
      <c r="R264" s="3239"/>
      <c r="S264" s="3239"/>
      <c r="T264" s="3239" t="str">
        <f t="shared" si="5"/>
        <v>有</v>
      </c>
    </row>
    <row r="265" spans="1:20" hidden="1">
      <c r="A265" s="3394">
        <v>263</v>
      </c>
      <c r="B265" s="3394">
        <v>1</v>
      </c>
      <c r="C265" s="3394">
        <v>1</v>
      </c>
      <c r="D265" s="3400">
        <v>823</v>
      </c>
      <c r="E265" s="3237">
        <v>807</v>
      </c>
      <c r="F265" s="3239">
        <v>1</v>
      </c>
      <c r="G265" s="3239">
        <v>0</v>
      </c>
      <c r="H265" s="3239">
        <v>1</v>
      </c>
      <c r="I265" s="3257" t="s">
        <v>3304</v>
      </c>
      <c r="J265" s="3237" t="s">
        <v>3305</v>
      </c>
      <c r="K265" s="3401">
        <v>45.27</v>
      </c>
      <c r="L265" s="3402">
        <v>31.54</v>
      </c>
      <c r="M265" s="3239"/>
      <c r="N265" s="3239"/>
      <c r="O265" s="3394"/>
      <c r="P265" s="3394"/>
      <c r="Q265" s="3394"/>
      <c r="R265" s="3239"/>
      <c r="S265" s="3239"/>
      <c r="T265" s="3239" t="str">
        <f t="shared" si="5"/>
        <v>无</v>
      </c>
    </row>
    <row r="266" spans="1:20" hidden="1">
      <c r="A266" s="3394">
        <v>264</v>
      </c>
      <c r="B266" s="3394">
        <v>1</v>
      </c>
      <c r="C266" s="3394">
        <v>1</v>
      </c>
      <c r="D266" s="3400">
        <v>824</v>
      </c>
      <c r="E266" s="3237">
        <v>806</v>
      </c>
      <c r="F266" s="3239">
        <v>1</v>
      </c>
      <c r="G266" s="3239">
        <v>0</v>
      </c>
      <c r="H266" s="3239">
        <v>1</v>
      </c>
      <c r="I266" s="3257" t="s">
        <v>3304</v>
      </c>
      <c r="J266" s="3237" t="s">
        <v>3305</v>
      </c>
      <c r="K266" s="3401">
        <v>45.27</v>
      </c>
      <c r="L266" s="3402">
        <v>31.54</v>
      </c>
      <c r="M266" s="3239"/>
      <c r="N266" s="3239"/>
      <c r="O266" s="3394"/>
      <c r="P266" s="3394"/>
      <c r="Q266" s="3394"/>
      <c r="R266" s="3239"/>
      <c r="S266" s="3239"/>
      <c r="T266" s="3239" t="str">
        <f t="shared" si="5"/>
        <v>无</v>
      </c>
    </row>
    <row r="267" spans="1:20">
      <c r="A267" s="3394">
        <v>265</v>
      </c>
      <c r="B267" s="3394">
        <v>1</v>
      </c>
      <c r="C267" s="3394">
        <v>1</v>
      </c>
      <c r="D267" s="3400">
        <v>825</v>
      </c>
      <c r="E267" s="3237">
        <v>830</v>
      </c>
      <c r="F267" s="3239">
        <v>1</v>
      </c>
      <c r="G267" s="3239">
        <v>1</v>
      </c>
      <c r="H267" s="3239">
        <v>1</v>
      </c>
      <c r="I267" s="3237" t="s">
        <v>3295</v>
      </c>
      <c r="J267" s="3237">
        <v>50</v>
      </c>
      <c r="K267" s="3401">
        <v>57.87</v>
      </c>
      <c r="L267" s="3402">
        <v>40.32</v>
      </c>
      <c r="M267" s="3239"/>
      <c r="N267" s="3239"/>
      <c r="O267" s="3394"/>
      <c r="P267" s="3394"/>
      <c r="Q267" s="3394"/>
      <c r="R267" s="3239"/>
      <c r="S267" s="3239"/>
      <c r="T267" s="3239" t="str">
        <f t="shared" si="5"/>
        <v>有</v>
      </c>
    </row>
    <row r="268" spans="1:20" hidden="1">
      <c r="A268" s="3394">
        <v>266</v>
      </c>
      <c r="B268" s="3394">
        <v>1</v>
      </c>
      <c r="C268" s="3394">
        <v>1</v>
      </c>
      <c r="D268" s="3400">
        <v>826</v>
      </c>
      <c r="E268" s="3237">
        <v>805</v>
      </c>
      <c r="F268" s="3239">
        <v>1</v>
      </c>
      <c r="G268" s="3239">
        <v>0</v>
      </c>
      <c r="H268" s="3239">
        <v>1</v>
      </c>
      <c r="I268" s="3257" t="s">
        <v>3304</v>
      </c>
      <c r="J268" s="3237" t="s">
        <v>3306</v>
      </c>
      <c r="K268" s="3401">
        <v>46.3</v>
      </c>
      <c r="L268" s="3402">
        <v>32.26</v>
      </c>
      <c r="M268" s="3239"/>
      <c r="N268" s="3239"/>
      <c r="O268" s="3394"/>
      <c r="P268" s="3394"/>
      <c r="Q268" s="3394"/>
      <c r="R268" s="3239"/>
      <c r="S268" s="3239"/>
      <c r="T268" s="3239" t="str">
        <f t="shared" si="5"/>
        <v>无</v>
      </c>
    </row>
    <row r="269" spans="1:20">
      <c r="A269" s="3394">
        <v>267</v>
      </c>
      <c r="B269" s="3394">
        <v>1</v>
      </c>
      <c r="C269" s="3394">
        <v>1</v>
      </c>
      <c r="D269" s="3400">
        <v>827</v>
      </c>
      <c r="E269" s="3237">
        <v>831</v>
      </c>
      <c r="F269" s="3239">
        <v>1</v>
      </c>
      <c r="G269" s="3239">
        <v>1</v>
      </c>
      <c r="H269" s="3239">
        <v>1</v>
      </c>
      <c r="I269" s="3237" t="s">
        <v>3295</v>
      </c>
      <c r="J269" s="3237">
        <v>50</v>
      </c>
      <c r="K269" s="3401">
        <v>57.87</v>
      </c>
      <c r="L269" s="3402">
        <v>40.32</v>
      </c>
      <c r="M269" s="3239"/>
      <c r="N269" s="3239"/>
      <c r="O269" s="3394"/>
      <c r="P269" s="3394"/>
      <c r="Q269" s="3394"/>
      <c r="R269" s="3239"/>
      <c r="S269" s="3239"/>
      <c r="T269" s="3239" t="str">
        <f t="shared" si="5"/>
        <v>有</v>
      </c>
    </row>
    <row r="270" spans="1:20">
      <c r="A270" s="3394">
        <v>268</v>
      </c>
      <c r="B270" s="3394">
        <v>1</v>
      </c>
      <c r="C270" s="3394">
        <v>1</v>
      </c>
      <c r="D270" s="3400">
        <v>828</v>
      </c>
      <c r="E270" s="3237">
        <v>832</v>
      </c>
      <c r="F270" s="3239">
        <v>1</v>
      </c>
      <c r="G270" s="3239">
        <v>1</v>
      </c>
      <c r="H270" s="3239">
        <v>1</v>
      </c>
      <c r="I270" s="3237" t="s">
        <v>3295</v>
      </c>
      <c r="J270" s="3237">
        <v>50</v>
      </c>
      <c r="K270" s="3401">
        <v>57.87</v>
      </c>
      <c r="L270" s="3402">
        <v>40.32</v>
      </c>
      <c r="M270" s="3239"/>
      <c r="N270" s="3239"/>
      <c r="O270" s="3394"/>
      <c r="P270" s="3394"/>
      <c r="Q270" s="3394"/>
      <c r="R270" s="3239"/>
      <c r="S270" s="3239"/>
      <c r="T270" s="3239" t="str">
        <f t="shared" si="5"/>
        <v>有</v>
      </c>
    </row>
    <row r="271" spans="1:20">
      <c r="A271" s="3394">
        <v>269</v>
      </c>
      <c r="B271" s="3394">
        <v>1</v>
      </c>
      <c r="C271" s="3394">
        <v>1</v>
      </c>
      <c r="D271" s="3400">
        <v>829</v>
      </c>
      <c r="E271" s="3237">
        <v>833</v>
      </c>
      <c r="F271" s="3239">
        <v>1</v>
      </c>
      <c r="G271" s="3239">
        <v>1</v>
      </c>
      <c r="H271" s="3239">
        <v>1</v>
      </c>
      <c r="I271" s="3237" t="s">
        <v>3295</v>
      </c>
      <c r="J271" s="3237">
        <v>50</v>
      </c>
      <c r="K271" s="3401">
        <v>57.87</v>
      </c>
      <c r="L271" s="3402">
        <v>40.32</v>
      </c>
      <c r="M271" s="3239"/>
      <c r="N271" s="3239"/>
      <c r="O271" s="3394"/>
      <c r="P271" s="3394"/>
      <c r="Q271" s="3394"/>
      <c r="R271" s="3239"/>
      <c r="S271" s="3239"/>
      <c r="T271" s="3239" t="str">
        <f t="shared" si="5"/>
        <v>有</v>
      </c>
    </row>
    <row r="272" spans="1:20">
      <c r="A272" s="3394">
        <v>270</v>
      </c>
      <c r="B272" s="3394">
        <v>1</v>
      </c>
      <c r="C272" s="3394">
        <v>1</v>
      </c>
      <c r="D272" s="3400">
        <v>830</v>
      </c>
      <c r="E272" s="3237">
        <v>834</v>
      </c>
      <c r="F272" s="3239">
        <v>1</v>
      </c>
      <c r="G272" s="3239">
        <v>1</v>
      </c>
      <c r="H272" s="3239">
        <v>1</v>
      </c>
      <c r="I272" s="3237" t="s">
        <v>3295</v>
      </c>
      <c r="J272" s="3237">
        <v>50</v>
      </c>
      <c r="K272" s="3401">
        <v>57.87</v>
      </c>
      <c r="L272" s="3402">
        <v>40.32</v>
      </c>
      <c r="M272" s="3239"/>
      <c r="N272" s="3239"/>
      <c r="O272" s="3394"/>
      <c r="P272" s="3394"/>
      <c r="Q272" s="3394"/>
      <c r="R272" s="3239"/>
      <c r="S272" s="3239"/>
      <c r="T272" s="3239" t="str">
        <f t="shared" si="5"/>
        <v>有</v>
      </c>
    </row>
    <row r="273" spans="1:20" hidden="1">
      <c r="A273" s="3394">
        <v>271</v>
      </c>
      <c r="B273" s="3394">
        <v>1</v>
      </c>
      <c r="C273" s="3394">
        <v>1</v>
      </c>
      <c r="D273" s="3400">
        <v>831</v>
      </c>
      <c r="E273" s="3237">
        <v>804</v>
      </c>
      <c r="F273" s="3239">
        <v>1</v>
      </c>
      <c r="G273" s="3239">
        <v>0</v>
      </c>
      <c r="H273" s="3239">
        <v>1</v>
      </c>
      <c r="I273" s="3257" t="s">
        <v>3304</v>
      </c>
      <c r="J273" s="3237" t="s">
        <v>3306</v>
      </c>
      <c r="K273" s="3401">
        <v>46.3</v>
      </c>
      <c r="L273" s="3402">
        <v>32.26</v>
      </c>
      <c r="M273" s="3239"/>
      <c r="N273" s="3239"/>
      <c r="O273" s="3394"/>
      <c r="P273" s="3394"/>
      <c r="Q273" s="3394"/>
      <c r="R273" s="3239"/>
      <c r="S273" s="3239"/>
      <c r="T273" s="3239" t="str">
        <f t="shared" si="5"/>
        <v>无</v>
      </c>
    </row>
    <row r="274" spans="1:20">
      <c r="A274" s="3394">
        <v>272</v>
      </c>
      <c r="B274" s="3394">
        <v>1</v>
      </c>
      <c r="C274" s="3394">
        <v>1</v>
      </c>
      <c r="D274" s="3400">
        <v>832</v>
      </c>
      <c r="E274" s="3237">
        <v>835</v>
      </c>
      <c r="F274" s="3239">
        <v>1</v>
      </c>
      <c r="G274" s="3239">
        <v>1</v>
      </c>
      <c r="H274" s="3239">
        <v>1</v>
      </c>
      <c r="I274" s="3237" t="s">
        <v>3295</v>
      </c>
      <c r="J274" s="3237">
        <v>50</v>
      </c>
      <c r="K274" s="3401">
        <v>57.87</v>
      </c>
      <c r="L274" s="3402">
        <v>40.32</v>
      </c>
      <c r="M274" s="3239"/>
      <c r="N274" s="3239"/>
      <c r="O274" s="3394"/>
      <c r="P274" s="3394"/>
      <c r="Q274" s="3394"/>
      <c r="R274" s="3239"/>
      <c r="S274" s="3239"/>
      <c r="T274" s="3239" t="str">
        <f t="shared" si="5"/>
        <v>有</v>
      </c>
    </row>
    <row r="275" spans="1:20" hidden="1">
      <c r="A275" s="3394">
        <v>273</v>
      </c>
      <c r="B275" s="3394">
        <v>1</v>
      </c>
      <c r="C275" s="3394">
        <v>1</v>
      </c>
      <c r="D275" s="3400">
        <v>833</v>
      </c>
      <c r="E275" s="3237">
        <v>803</v>
      </c>
      <c r="F275" s="3239">
        <v>1</v>
      </c>
      <c r="G275" s="3239">
        <v>0</v>
      </c>
      <c r="H275" s="3239">
        <v>1</v>
      </c>
      <c r="I275" s="3257" t="s">
        <v>3304</v>
      </c>
      <c r="J275" s="3237" t="s">
        <v>3305</v>
      </c>
      <c r="K275" s="3401">
        <v>45.27</v>
      </c>
      <c r="L275" s="3402">
        <v>31.54</v>
      </c>
      <c r="M275" s="3239"/>
      <c r="N275" s="3239"/>
      <c r="O275" s="3394"/>
      <c r="P275" s="3394"/>
      <c r="Q275" s="3394"/>
      <c r="R275" s="3239"/>
      <c r="S275" s="3239"/>
      <c r="T275" s="3239" t="str">
        <f t="shared" si="5"/>
        <v>无</v>
      </c>
    </row>
    <row r="276" spans="1:20" hidden="1">
      <c r="A276" s="3394">
        <v>274</v>
      </c>
      <c r="B276" s="3394">
        <v>1</v>
      </c>
      <c r="C276" s="3394">
        <v>1</v>
      </c>
      <c r="D276" s="3400">
        <v>834</v>
      </c>
      <c r="E276" s="3237">
        <v>802</v>
      </c>
      <c r="F276" s="3239">
        <v>1</v>
      </c>
      <c r="G276" s="3239">
        <v>0</v>
      </c>
      <c r="H276" s="3239">
        <v>1</v>
      </c>
      <c r="I276" s="3257" t="s">
        <v>3304</v>
      </c>
      <c r="J276" s="3237" t="s">
        <v>3305</v>
      </c>
      <c r="K276" s="3401">
        <v>45.27</v>
      </c>
      <c r="L276" s="3402">
        <v>31.54</v>
      </c>
      <c r="M276" s="3239"/>
      <c r="N276" s="3239"/>
      <c r="O276" s="3394"/>
      <c r="P276" s="3394"/>
      <c r="Q276" s="3394"/>
      <c r="R276" s="3239"/>
      <c r="S276" s="3239"/>
      <c r="T276" s="3239" t="str">
        <f t="shared" si="5"/>
        <v>无</v>
      </c>
    </row>
    <row r="277" spans="1:20">
      <c r="A277" s="3394">
        <v>275</v>
      </c>
      <c r="B277" s="3394">
        <v>1</v>
      </c>
      <c r="C277" s="3394">
        <v>1</v>
      </c>
      <c r="D277" s="3400">
        <v>835</v>
      </c>
      <c r="E277" s="3237">
        <v>836</v>
      </c>
      <c r="F277" s="3239">
        <v>1</v>
      </c>
      <c r="G277" s="3239">
        <v>1</v>
      </c>
      <c r="H277" s="3239">
        <v>1</v>
      </c>
      <c r="I277" s="3237" t="s">
        <v>3295</v>
      </c>
      <c r="J277" s="3237">
        <v>50</v>
      </c>
      <c r="K277" s="3401">
        <v>57.87</v>
      </c>
      <c r="L277" s="3402">
        <v>40.32</v>
      </c>
      <c r="M277" s="3239"/>
      <c r="N277" s="3239"/>
      <c r="O277" s="3394"/>
      <c r="P277" s="3394"/>
      <c r="Q277" s="3394"/>
      <c r="R277" s="3239"/>
      <c r="S277" s="3239"/>
      <c r="T277" s="3239" t="str">
        <f t="shared" si="5"/>
        <v>有</v>
      </c>
    </row>
    <row r="278" spans="1:20" hidden="1">
      <c r="A278" s="3394">
        <v>276</v>
      </c>
      <c r="B278" s="3394">
        <v>1</v>
      </c>
      <c r="C278" s="3394">
        <v>1</v>
      </c>
      <c r="D278" s="3400">
        <v>836</v>
      </c>
      <c r="E278" s="3237">
        <v>837</v>
      </c>
      <c r="F278" s="3239">
        <v>1</v>
      </c>
      <c r="G278" s="3239">
        <v>0</v>
      </c>
      <c r="H278" s="3239">
        <v>1</v>
      </c>
      <c r="I278" s="3237" t="s">
        <v>3295</v>
      </c>
      <c r="J278" s="3257" t="s">
        <v>3322</v>
      </c>
      <c r="K278" s="3401">
        <v>49.52</v>
      </c>
      <c r="L278" s="3402">
        <v>34.5</v>
      </c>
      <c r="M278" s="3239"/>
      <c r="N278" s="3239"/>
      <c r="O278" s="3394"/>
      <c r="P278" s="3394"/>
      <c r="Q278" s="3394"/>
      <c r="R278" s="3239"/>
      <c r="S278" s="3239"/>
      <c r="T278" s="3239" t="str">
        <f t="shared" si="5"/>
        <v>无</v>
      </c>
    </row>
    <row r="279" spans="1:20">
      <c r="A279" s="3394">
        <v>277</v>
      </c>
      <c r="B279" s="3394">
        <v>1</v>
      </c>
      <c r="C279" s="3394">
        <v>1</v>
      </c>
      <c r="D279" s="3400">
        <v>837</v>
      </c>
      <c r="E279" s="3237">
        <v>801</v>
      </c>
      <c r="F279" s="3239">
        <v>1</v>
      </c>
      <c r="G279" s="3239">
        <v>1</v>
      </c>
      <c r="H279" s="3239">
        <v>1</v>
      </c>
      <c r="I279" s="3237" t="s">
        <v>3302</v>
      </c>
      <c r="J279" s="3237" t="s">
        <v>3303</v>
      </c>
      <c r="K279" s="3401">
        <v>58.16</v>
      </c>
      <c r="L279" s="3402">
        <v>40.520000000000003</v>
      </c>
      <c r="M279" s="3239"/>
      <c r="N279" s="3239"/>
      <c r="O279" s="3394"/>
      <c r="P279" s="3395"/>
      <c r="Q279" s="3395"/>
      <c r="R279" s="3239"/>
      <c r="S279" s="3239"/>
      <c r="T279" s="3239" t="str">
        <f t="shared" si="5"/>
        <v>有</v>
      </c>
    </row>
    <row r="280" spans="1:20" hidden="1">
      <c r="A280" s="3394">
        <v>278</v>
      </c>
      <c r="B280" s="3394">
        <v>1</v>
      </c>
      <c r="C280" s="3394">
        <v>1</v>
      </c>
      <c r="D280" s="3400">
        <v>838</v>
      </c>
      <c r="E280" s="3237">
        <v>839</v>
      </c>
      <c r="F280" s="3239">
        <v>1</v>
      </c>
      <c r="G280" s="3239">
        <v>0</v>
      </c>
      <c r="H280" s="3239">
        <v>1</v>
      </c>
      <c r="I280" s="3237" t="s">
        <v>3300</v>
      </c>
      <c r="J280" s="3237" t="s">
        <v>3323</v>
      </c>
      <c r="K280" s="3401">
        <v>46.53</v>
      </c>
      <c r="L280" s="3402">
        <v>32.42</v>
      </c>
      <c r="M280" s="3239"/>
      <c r="N280" s="3239"/>
      <c r="O280" s="3394"/>
      <c r="P280" s="3394"/>
      <c r="Q280" s="3394"/>
      <c r="R280" s="3239"/>
      <c r="S280" s="3239"/>
      <c r="T280" s="3239" t="str">
        <f t="shared" si="5"/>
        <v>无</v>
      </c>
    </row>
    <row r="281" spans="1:20" hidden="1">
      <c r="A281" s="3394">
        <v>279</v>
      </c>
      <c r="B281" s="3394">
        <v>1</v>
      </c>
      <c r="C281" s="3394">
        <v>1</v>
      </c>
      <c r="D281" s="3400">
        <v>839</v>
      </c>
      <c r="E281" s="3237">
        <v>838</v>
      </c>
      <c r="F281" s="3239">
        <v>1</v>
      </c>
      <c r="G281" s="3239">
        <v>0</v>
      </c>
      <c r="H281" s="3239">
        <v>1</v>
      </c>
      <c r="I281" s="3237" t="s">
        <v>3295</v>
      </c>
      <c r="J281" s="3237" t="s">
        <v>3500</v>
      </c>
      <c r="K281" s="3401">
        <v>50.61</v>
      </c>
      <c r="L281" s="3402">
        <v>35.26</v>
      </c>
      <c r="M281" s="3239"/>
      <c r="N281" s="3239"/>
      <c r="O281" s="3394"/>
      <c r="P281" s="3394"/>
      <c r="Q281" s="3394"/>
      <c r="R281" s="3239"/>
      <c r="S281" s="3239"/>
      <c r="T281" s="3239" t="str">
        <f t="shared" si="5"/>
        <v>无</v>
      </c>
    </row>
    <row r="282" spans="1:20">
      <c r="A282" s="3394">
        <v>280</v>
      </c>
      <c r="B282" s="3394">
        <v>1</v>
      </c>
      <c r="C282" s="3394">
        <v>1</v>
      </c>
      <c r="D282" s="3400">
        <v>901</v>
      </c>
      <c r="E282" s="3237">
        <v>916</v>
      </c>
      <c r="F282" s="3239">
        <v>1</v>
      </c>
      <c r="G282" s="3239">
        <v>1</v>
      </c>
      <c r="H282" s="3239">
        <v>1</v>
      </c>
      <c r="I282" s="3257" t="s">
        <v>3312</v>
      </c>
      <c r="J282" s="3237" t="s">
        <v>3314</v>
      </c>
      <c r="K282" s="3401">
        <v>57.37</v>
      </c>
      <c r="L282" s="3402">
        <v>39.97</v>
      </c>
      <c r="M282" s="3239"/>
      <c r="N282" s="3239"/>
      <c r="O282" s="3394"/>
      <c r="P282" s="3394"/>
      <c r="Q282" s="3394"/>
      <c r="R282" s="3239"/>
      <c r="S282" s="3239"/>
      <c r="T282" s="3239" t="str">
        <f t="shared" si="5"/>
        <v>有</v>
      </c>
    </row>
    <row r="283" spans="1:20">
      <c r="A283" s="3394">
        <v>281</v>
      </c>
      <c r="B283" s="3394">
        <v>1</v>
      </c>
      <c r="C283" s="3394">
        <v>1</v>
      </c>
      <c r="D283" s="3400">
        <v>902</v>
      </c>
      <c r="E283" s="3237">
        <v>917</v>
      </c>
      <c r="F283" s="3239">
        <v>1</v>
      </c>
      <c r="G283" s="3239">
        <v>1</v>
      </c>
      <c r="H283" s="3239">
        <v>1</v>
      </c>
      <c r="I283" s="3257" t="s">
        <v>3312</v>
      </c>
      <c r="J283" s="3237">
        <v>50</v>
      </c>
      <c r="K283" s="3401">
        <v>57.87</v>
      </c>
      <c r="L283" s="3402">
        <v>40.32</v>
      </c>
      <c r="M283" s="3239"/>
      <c r="N283" s="3239"/>
      <c r="O283" s="3394"/>
      <c r="P283" s="3394"/>
      <c r="Q283" s="3394"/>
      <c r="R283" s="3239"/>
      <c r="S283" s="3239"/>
      <c r="T283" s="3239" t="str">
        <f t="shared" si="5"/>
        <v>有</v>
      </c>
    </row>
    <row r="284" spans="1:20">
      <c r="A284" s="3394">
        <v>282</v>
      </c>
      <c r="B284" s="3394">
        <v>1</v>
      </c>
      <c r="C284" s="3394">
        <v>1</v>
      </c>
      <c r="D284" s="3400">
        <v>903</v>
      </c>
      <c r="E284" s="3237">
        <v>918</v>
      </c>
      <c r="F284" s="3239">
        <v>1</v>
      </c>
      <c r="G284" s="3239">
        <v>1</v>
      </c>
      <c r="H284" s="3239">
        <v>1</v>
      </c>
      <c r="I284" s="3257" t="s">
        <v>3312</v>
      </c>
      <c r="J284" s="3237">
        <v>50</v>
      </c>
      <c r="K284" s="3401">
        <v>57.87</v>
      </c>
      <c r="L284" s="3402">
        <v>40.32</v>
      </c>
      <c r="M284" s="3239"/>
      <c r="N284" s="3239"/>
      <c r="O284" s="3394"/>
      <c r="P284" s="3394"/>
      <c r="Q284" s="3394"/>
      <c r="R284" s="3239"/>
      <c r="S284" s="3239"/>
      <c r="T284" s="3239" t="str">
        <f t="shared" si="5"/>
        <v>有</v>
      </c>
    </row>
    <row r="285" spans="1:20">
      <c r="A285" s="3394">
        <v>283</v>
      </c>
      <c r="B285" s="3394">
        <v>1</v>
      </c>
      <c r="C285" s="3394">
        <v>1</v>
      </c>
      <c r="D285" s="3400">
        <v>904</v>
      </c>
      <c r="E285" s="3237">
        <v>919</v>
      </c>
      <c r="F285" s="3239">
        <v>1</v>
      </c>
      <c r="G285" s="3239">
        <v>1</v>
      </c>
      <c r="H285" s="3239">
        <v>1</v>
      </c>
      <c r="I285" s="3257" t="s">
        <v>3312</v>
      </c>
      <c r="J285" s="3237" t="s">
        <v>3308</v>
      </c>
      <c r="K285" s="3401">
        <v>57.23</v>
      </c>
      <c r="L285" s="3402">
        <v>39.869999999999997</v>
      </c>
      <c r="M285" s="3239"/>
      <c r="N285" s="3239"/>
      <c r="O285" s="3394"/>
      <c r="P285" s="3394"/>
      <c r="Q285" s="3394"/>
      <c r="R285" s="3239"/>
      <c r="S285" s="3239"/>
      <c r="T285" s="3239" t="str">
        <f t="shared" si="5"/>
        <v>有</v>
      </c>
    </row>
    <row r="286" spans="1:20">
      <c r="A286" s="3394">
        <v>284</v>
      </c>
      <c r="B286" s="3394">
        <v>1</v>
      </c>
      <c r="C286" s="3394">
        <v>1</v>
      </c>
      <c r="D286" s="3400">
        <v>905</v>
      </c>
      <c r="E286" s="3237">
        <v>920</v>
      </c>
      <c r="F286" s="3239">
        <v>1</v>
      </c>
      <c r="G286" s="3239">
        <v>1</v>
      </c>
      <c r="H286" s="3239">
        <v>1</v>
      </c>
      <c r="I286" s="3257" t="s">
        <v>3312</v>
      </c>
      <c r="J286" s="3257" t="s">
        <v>3315</v>
      </c>
      <c r="K286" s="3401">
        <v>59.16</v>
      </c>
      <c r="L286" s="3402">
        <v>41.22</v>
      </c>
      <c r="M286" s="3239"/>
      <c r="N286" s="3239"/>
      <c r="O286" s="3394"/>
      <c r="P286" s="3394"/>
      <c r="Q286" s="3394"/>
      <c r="R286" s="3239"/>
      <c r="S286" s="3239"/>
      <c r="T286" s="3239" t="str">
        <f t="shared" si="5"/>
        <v>有</v>
      </c>
    </row>
    <row r="287" spans="1:20">
      <c r="A287" s="3394">
        <v>285</v>
      </c>
      <c r="B287" s="3394">
        <v>1</v>
      </c>
      <c r="C287" s="3394">
        <v>1</v>
      </c>
      <c r="D287" s="3400">
        <v>906</v>
      </c>
      <c r="E287" s="3237">
        <v>921</v>
      </c>
      <c r="F287" s="3239">
        <v>4</v>
      </c>
      <c r="G287" s="3239">
        <v>1</v>
      </c>
      <c r="H287" s="3239">
        <v>1</v>
      </c>
      <c r="I287" s="3237" t="s">
        <v>3316</v>
      </c>
      <c r="J287" s="3237" t="s">
        <v>3317</v>
      </c>
      <c r="K287" s="3401">
        <v>108.7</v>
      </c>
      <c r="L287" s="3402">
        <v>75.73</v>
      </c>
      <c r="M287" s="3239"/>
      <c r="N287" s="3239"/>
      <c r="O287" s="3394"/>
      <c r="P287" s="3394"/>
      <c r="Q287" s="3394"/>
      <c r="R287" s="3239"/>
      <c r="S287" s="3239"/>
      <c r="T287" s="3239" t="str">
        <f t="shared" si="5"/>
        <v>有</v>
      </c>
    </row>
    <row r="288" spans="1:20">
      <c r="A288" s="3394">
        <v>286</v>
      </c>
      <c r="B288" s="3394">
        <v>1</v>
      </c>
      <c r="C288" s="3394">
        <v>1</v>
      </c>
      <c r="D288" s="3400">
        <v>907</v>
      </c>
      <c r="E288" s="3237">
        <v>914</v>
      </c>
      <c r="F288" s="3239">
        <v>1</v>
      </c>
      <c r="G288" s="3239">
        <v>1</v>
      </c>
      <c r="H288" s="3239">
        <v>1</v>
      </c>
      <c r="I288" s="3237" t="s">
        <v>3310</v>
      </c>
      <c r="J288" s="3237" t="s">
        <v>3311</v>
      </c>
      <c r="K288" s="3401">
        <v>55.32</v>
      </c>
      <c r="L288" s="3402">
        <v>38.54</v>
      </c>
      <c r="M288" s="3239"/>
      <c r="N288" s="3239"/>
      <c r="O288" s="3394"/>
      <c r="P288" s="3394"/>
      <c r="Q288" s="3394"/>
      <c r="R288" s="3239"/>
      <c r="S288" s="3239"/>
      <c r="T288" s="3239" t="str">
        <f t="shared" si="5"/>
        <v>有</v>
      </c>
    </row>
    <row r="289" spans="1:20">
      <c r="A289" s="3394">
        <v>287</v>
      </c>
      <c r="B289" s="3394">
        <v>1</v>
      </c>
      <c r="C289" s="3394">
        <v>1</v>
      </c>
      <c r="D289" s="3400">
        <v>908</v>
      </c>
      <c r="E289" s="3237">
        <v>915</v>
      </c>
      <c r="F289" s="3239">
        <v>2</v>
      </c>
      <c r="G289" s="3239">
        <v>1</v>
      </c>
      <c r="H289" s="3239">
        <v>1</v>
      </c>
      <c r="I289" s="3257" t="s">
        <v>3312</v>
      </c>
      <c r="J289" s="3237" t="s">
        <v>3313</v>
      </c>
      <c r="K289" s="3401">
        <v>96.55</v>
      </c>
      <c r="L289" s="3402">
        <v>67.27</v>
      </c>
      <c r="M289" s="3239"/>
      <c r="N289" s="3239"/>
      <c r="O289" s="3394"/>
      <c r="P289" s="3394"/>
      <c r="Q289" s="3394"/>
      <c r="R289" s="3239"/>
      <c r="S289" s="3239"/>
      <c r="T289" s="3239" t="str">
        <f t="shared" si="5"/>
        <v>有</v>
      </c>
    </row>
    <row r="290" spans="1:20">
      <c r="A290" s="3394">
        <v>288</v>
      </c>
      <c r="B290" s="3394">
        <v>1</v>
      </c>
      <c r="C290" s="3394">
        <v>1</v>
      </c>
      <c r="D290" s="3400">
        <v>909</v>
      </c>
      <c r="E290" s="3237">
        <v>913</v>
      </c>
      <c r="F290" s="3239">
        <v>1</v>
      </c>
      <c r="G290" s="3239">
        <v>1</v>
      </c>
      <c r="H290" s="3239">
        <v>1</v>
      </c>
      <c r="I290" s="3257" t="s">
        <v>3304</v>
      </c>
      <c r="J290" s="3257" t="s">
        <v>3309</v>
      </c>
      <c r="K290" s="3401">
        <v>57.35</v>
      </c>
      <c r="L290" s="3402">
        <v>39.96</v>
      </c>
      <c r="M290" s="3239"/>
      <c r="N290" s="3239"/>
      <c r="O290" s="3394"/>
      <c r="P290" s="3394"/>
      <c r="Q290" s="3394"/>
      <c r="R290" s="3239"/>
      <c r="S290" s="3239"/>
      <c r="T290" s="3239" t="str">
        <f t="shared" si="5"/>
        <v>有</v>
      </c>
    </row>
    <row r="291" spans="1:20">
      <c r="A291" s="3394">
        <v>289</v>
      </c>
      <c r="B291" s="3394">
        <v>1</v>
      </c>
      <c r="C291" s="3394">
        <v>1</v>
      </c>
      <c r="D291" s="3400">
        <v>910</v>
      </c>
      <c r="E291" s="3237">
        <v>922</v>
      </c>
      <c r="F291" s="3239">
        <v>4</v>
      </c>
      <c r="G291" s="3239">
        <v>1</v>
      </c>
      <c r="H291" s="3239">
        <v>1</v>
      </c>
      <c r="I291" s="3237" t="s">
        <v>3318</v>
      </c>
      <c r="J291" s="3237" t="s">
        <v>3319</v>
      </c>
      <c r="K291" s="3401">
        <v>108.7</v>
      </c>
      <c r="L291" s="3402">
        <v>75.73</v>
      </c>
      <c r="M291" s="3239"/>
      <c r="N291" s="3239"/>
      <c r="O291" s="3394"/>
      <c r="P291" s="3394"/>
      <c r="Q291" s="3394"/>
      <c r="R291" s="3239"/>
      <c r="S291" s="3239"/>
      <c r="T291" s="3239" t="str">
        <f t="shared" si="5"/>
        <v>有</v>
      </c>
    </row>
    <row r="292" spans="1:20">
      <c r="A292" s="3394">
        <v>290</v>
      </c>
      <c r="B292" s="3394">
        <v>1</v>
      </c>
      <c r="C292" s="3394">
        <v>1</v>
      </c>
      <c r="D292" s="3400">
        <v>911</v>
      </c>
      <c r="E292" s="3237">
        <v>924</v>
      </c>
      <c r="F292" s="3239">
        <v>1</v>
      </c>
      <c r="G292" s="3239">
        <v>1</v>
      </c>
      <c r="H292" s="3239">
        <v>1</v>
      </c>
      <c r="I292" s="3237" t="s">
        <v>3300</v>
      </c>
      <c r="J292" s="3237">
        <v>50</v>
      </c>
      <c r="K292" s="3401">
        <v>57.87</v>
      </c>
      <c r="L292" s="3402">
        <v>40.32</v>
      </c>
      <c r="M292" s="3239"/>
      <c r="N292" s="3239"/>
      <c r="O292" s="3394"/>
      <c r="P292" s="3394"/>
      <c r="Q292" s="3394"/>
      <c r="R292" s="3239"/>
      <c r="S292" s="3239"/>
      <c r="T292" s="3239" t="str">
        <f t="shared" si="5"/>
        <v>有</v>
      </c>
    </row>
    <row r="293" spans="1:20">
      <c r="A293" s="3394">
        <v>291</v>
      </c>
      <c r="B293" s="3394">
        <v>1</v>
      </c>
      <c r="C293" s="3394">
        <v>1</v>
      </c>
      <c r="D293" s="3400">
        <v>912</v>
      </c>
      <c r="E293" s="3237">
        <v>923</v>
      </c>
      <c r="F293" s="3239">
        <v>1</v>
      </c>
      <c r="G293" s="3239">
        <v>1</v>
      </c>
      <c r="H293" s="3239">
        <v>1</v>
      </c>
      <c r="I293" s="3237" t="s">
        <v>3300</v>
      </c>
      <c r="J293" s="3237" t="s">
        <v>3308</v>
      </c>
      <c r="K293" s="3401">
        <v>57.23</v>
      </c>
      <c r="L293" s="3402">
        <v>39.869999999999997</v>
      </c>
      <c r="M293" s="3239"/>
      <c r="N293" s="3239"/>
      <c r="O293" s="3394"/>
      <c r="P293" s="3394"/>
      <c r="Q293" s="3394"/>
      <c r="R293" s="3239"/>
      <c r="S293" s="3239"/>
      <c r="T293" s="3239" t="str">
        <f t="shared" si="5"/>
        <v>有</v>
      </c>
    </row>
    <row r="294" spans="1:20">
      <c r="A294" s="3394">
        <v>292</v>
      </c>
      <c r="B294" s="3394">
        <v>1</v>
      </c>
      <c r="C294" s="3394">
        <v>1</v>
      </c>
      <c r="D294" s="3400">
        <v>913</v>
      </c>
      <c r="E294" s="3237">
        <v>925</v>
      </c>
      <c r="F294" s="3239">
        <v>1</v>
      </c>
      <c r="G294" s="3239">
        <v>1</v>
      </c>
      <c r="H294" s="3239">
        <v>1</v>
      </c>
      <c r="I294" s="3237" t="s">
        <v>3300</v>
      </c>
      <c r="J294" s="3237" t="s">
        <v>3320</v>
      </c>
      <c r="K294" s="3401">
        <v>58.02</v>
      </c>
      <c r="L294" s="3402">
        <v>40.42</v>
      </c>
      <c r="M294" s="3239"/>
      <c r="N294" s="3239"/>
      <c r="O294" s="3394"/>
      <c r="P294" s="3394"/>
      <c r="Q294" s="3394"/>
      <c r="R294" s="3239"/>
      <c r="S294" s="3239"/>
      <c r="T294" s="3239" t="str">
        <f t="shared" si="5"/>
        <v>有</v>
      </c>
    </row>
    <row r="295" spans="1:20">
      <c r="A295" s="3394">
        <v>293</v>
      </c>
      <c r="B295" s="3394">
        <v>1</v>
      </c>
      <c r="C295" s="3394">
        <v>1</v>
      </c>
      <c r="D295" s="3400">
        <v>914</v>
      </c>
      <c r="E295" s="3237">
        <v>912</v>
      </c>
      <c r="F295" s="3239">
        <v>1</v>
      </c>
      <c r="G295" s="3239">
        <v>1</v>
      </c>
      <c r="H295" s="3239">
        <v>1</v>
      </c>
      <c r="I295" s="3257" t="s">
        <v>3304</v>
      </c>
      <c r="J295" s="3237" t="s">
        <v>3308</v>
      </c>
      <c r="K295" s="3401">
        <v>57.23</v>
      </c>
      <c r="L295" s="3402">
        <v>39.869999999999997</v>
      </c>
      <c r="M295" s="3239"/>
      <c r="N295" s="3239"/>
      <c r="O295" s="3394"/>
      <c r="P295" s="3394"/>
      <c r="Q295" s="3394"/>
      <c r="R295" s="3239"/>
      <c r="S295" s="3239"/>
      <c r="T295" s="3239" t="str">
        <f t="shared" si="5"/>
        <v>有</v>
      </c>
    </row>
    <row r="296" spans="1:20" hidden="1">
      <c r="A296" s="3394">
        <v>294</v>
      </c>
      <c r="B296" s="3394">
        <v>1</v>
      </c>
      <c r="C296" s="3394">
        <v>1</v>
      </c>
      <c r="D296" s="3400">
        <v>915</v>
      </c>
      <c r="E296" s="3237">
        <v>911</v>
      </c>
      <c r="F296" s="3239">
        <v>1</v>
      </c>
      <c r="G296" s="3239">
        <v>0</v>
      </c>
      <c r="H296" s="3239">
        <v>1</v>
      </c>
      <c r="I296" s="3257" t="s">
        <v>3304</v>
      </c>
      <c r="J296" s="3237" t="s">
        <v>3307</v>
      </c>
      <c r="K296" s="3401">
        <v>45.9</v>
      </c>
      <c r="L296" s="3402">
        <v>31.98</v>
      </c>
      <c r="M296" s="3239"/>
      <c r="N296" s="3239"/>
      <c r="O296" s="3394"/>
      <c r="P296" s="3394"/>
      <c r="Q296" s="3394"/>
      <c r="R296" s="3239"/>
      <c r="S296" s="3239"/>
      <c r="T296" s="3239" t="str">
        <f t="shared" si="5"/>
        <v>无</v>
      </c>
    </row>
    <row r="297" spans="1:20">
      <c r="A297" s="3394">
        <v>295</v>
      </c>
      <c r="B297" s="3394">
        <v>1</v>
      </c>
      <c r="C297" s="3394">
        <v>1</v>
      </c>
      <c r="D297" s="3400">
        <v>916</v>
      </c>
      <c r="E297" s="3237">
        <v>926</v>
      </c>
      <c r="F297" s="3239">
        <v>1</v>
      </c>
      <c r="G297" s="3239">
        <v>1</v>
      </c>
      <c r="H297" s="3239">
        <v>1</v>
      </c>
      <c r="I297" s="3237" t="s">
        <v>3295</v>
      </c>
      <c r="J297" s="3237" t="s">
        <v>3321</v>
      </c>
      <c r="K297" s="3401">
        <v>61.09</v>
      </c>
      <c r="L297" s="3402">
        <v>42.56</v>
      </c>
      <c r="M297" s="3239"/>
      <c r="N297" s="3239"/>
      <c r="O297" s="3394">
        <v>2.9</v>
      </c>
      <c r="P297" s="3394" t="s">
        <v>3363</v>
      </c>
      <c r="Q297" s="3394" t="s">
        <v>3482</v>
      </c>
      <c r="R297" s="3239"/>
      <c r="S297" s="3239"/>
      <c r="T297" s="3239" t="str">
        <f t="shared" si="5"/>
        <v>有</v>
      </c>
    </row>
    <row r="298" spans="1:20" hidden="1">
      <c r="A298" s="3394">
        <v>296</v>
      </c>
      <c r="B298" s="3394">
        <v>1</v>
      </c>
      <c r="C298" s="3394">
        <v>1</v>
      </c>
      <c r="D298" s="3400">
        <v>917</v>
      </c>
      <c r="E298" s="3237">
        <v>910</v>
      </c>
      <c r="F298" s="3239">
        <v>1</v>
      </c>
      <c r="G298" s="3239">
        <v>0</v>
      </c>
      <c r="H298" s="3239">
        <v>1</v>
      </c>
      <c r="I298" s="3257" t="s">
        <v>3304</v>
      </c>
      <c r="J298" s="3237" t="s">
        <v>3305</v>
      </c>
      <c r="K298" s="3401">
        <v>45.27</v>
      </c>
      <c r="L298" s="3402">
        <v>31.54</v>
      </c>
      <c r="M298" s="3239"/>
      <c r="N298" s="3239"/>
      <c r="O298" s="3394"/>
      <c r="P298" s="3394"/>
      <c r="Q298" s="3394"/>
      <c r="R298" s="3239"/>
      <c r="S298" s="3239"/>
      <c r="T298" s="3239" t="str">
        <f t="shared" si="5"/>
        <v>无</v>
      </c>
    </row>
    <row r="299" spans="1:20">
      <c r="A299" s="3394">
        <v>297</v>
      </c>
      <c r="B299" s="3394">
        <v>1</v>
      </c>
      <c r="C299" s="3394">
        <v>1</v>
      </c>
      <c r="D299" s="3400">
        <v>918</v>
      </c>
      <c r="E299" s="3237">
        <v>927</v>
      </c>
      <c r="F299" s="3239">
        <v>1</v>
      </c>
      <c r="G299" s="3239">
        <v>1</v>
      </c>
      <c r="H299" s="3239">
        <v>1</v>
      </c>
      <c r="I299" s="3237" t="s">
        <v>3295</v>
      </c>
      <c r="J299" s="3237">
        <v>50</v>
      </c>
      <c r="K299" s="3401">
        <v>57.87</v>
      </c>
      <c r="L299" s="3402">
        <v>40.32</v>
      </c>
      <c r="M299" s="3239"/>
      <c r="N299" s="3239"/>
      <c r="O299" s="3394"/>
      <c r="P299" s="3394"/>
      <c r="Q299" s="3394"/>
      <c r="R299" s="3239"/>
      <c r="S299" s="3239"/>
      <c r="T299" s="3239" t="str">
        <f t="shared" si="5"/>
        <v>有</v>
      </c>
    </row>
    <row r="300" spans="1:20" hidden="1">
      <c r="A300" s="3394">
        <v>298</v>
      </c>
      <c r="B300" s="3394">
        <v>1</v>
      </c>
      <c r="C300" s="3394">
        <v>1</v>
      </c>
      <c r="D300" s="3400">
        <v>919</v>
      </c>
      <c r="E300" s="3237">
        <v>909</v>
      </c>
      <c r="F300" s="3239">
        <v>1</v>
      </c>
      <c r="G300" s="3239">
        <v>0</v>
      </c>
      <c r="H300" s="3239">
        <v>1</v>
      </c>
      <c r="I300" s="3257" t="s">
        <v>3304</v>
      </c>
      <c r="J300" s="3237" t="s">
        <v>3305</v>
      </c>
      <c r="K300" s="3401">
        <v>45.27</v>
      </c>
      <c r="L300" s="3402">
        <v>31.54</v>
      </c>
      <c r="M300" s="3239"/>
      <c r="N300" s="3239"/>
      <c r="O300" s="3394"/>
      <c r="P300" s="3394"/>
      <c r="Q300" s="3394"/>
      <c r="R300" s="3239"/>
      <c r="S300" s="3239"/>
      <c r="T300" s="3239" t="str">
        <f t="shared" si="5"/>
        <v>无</v>
      </c>
    </row>
    <row r="301" spans="1:20">
      <c r="A301" s="3394">
        <v>299</v>
      </c>
      <c r="B301" s="3394">
        <v>1</v>
      </c>
      <c r="C301" s="3394">
        <v>1</v>
      </c>
      <c r="D301" s="3400">
        <v>920</v>
      </c>
      <c r="E301" s="3237">
        <v>928</v>
      </c>
      <c r="F301" s="3239">
        <v>1</v>
      </c>
      <c r="G301" s="3239">
        <v>1</v>
      </c>
      <c r="H301" s="3239">
        <v>1</v>
      </c>
      <c r="I301" s="3237" t="s">
        <v>3295</v>
      </c>
      <c r="J301" s="3237">
        <v>50</v>
      </c>
      <c r="K301" s="3401">
        <v>57.87</v>
      </c>
      <c r="L301" s="3402">
        <v>40.32</v>
      </c>
      <c r="M301" s="3239"/>
      <c r="N301" s="3239"/>
      <c r="O301" s="3394"/>
      <c r="P301" s="3394"/>
      <c r="Q301" s="3394"/>
      <c r="R301" s="3239"/>
      <c r="S301" s="3239"/>
      <c r="T301" s="3239" t="str">
        <f t="shared" si="5"/>
        <v>有</v>
      </c>
    </row>
    <row r="302" spans="1:20" hidden="1">
      <c r="A302" s="3394">
        <v>300</v>
      </c>
      <c r="B302" s="3394">
        <v>1</v>
      </c>
      <c r="C302" s="3394">
        <v>1</v>
      </c>
      <c r="D302" s="3400">
        <v>921</v>
      </c>
      <c r="E302" s="3237">
        <v>908</v>
      </c>
      <c r="F302" s="3239">
        <v>1</v>
      </c>
      <c r="G302" s="3239">
        <v>0</v>
      </c>
      <c r="H302" s="3239">
        <v>1</v>
      </c>
      <c r="I302" s="3257" t="s">
        <v>3304</v>
      </c>
      <c r="J302" s="3237" t="s">
        <v>3305</v>
      </c>
      <c r="K302" s="3401">
        <v>45.27</v>
      </c>
      <c r="L302" s="3402">
        <v>31.54</v>
      </c>
      <c r="M302" s="3239"/>
      <c r="N302" s="3239"/>
      <c r="O302" s="3394"/>
      <c r="P302" s="3394"/>
      <c r="Q302" s="3394"/>
      <c r="R302" s="3239"/>
      <c r="S302" s="3239"/>
      <c r="T302" s="3239" t="str">
        <f t="shared" si="5"/>
        <v>无</v>
      </c>
    </row>
    <row r="303" spans="1:20">
      <c r="A303" s="3394">
        <v>301</v>
      </c>
      <c r="B303" s="3394">
        <v>1</v>
      </c>
      <c r="C303" s="3394">
        <v>1</v>
      </c>
      <c r="D303" s="3400">
        <v>922</v>
      </c>
      <c r="E303" s="3237">
        <v>929</v>
      </c>
      <c r="F303" s="3239">
        <v>1</v>
      </c>
      <c r="G303" s="3239">
        <v>1</v>
      </c>
      <c r="H303" s="3239">
        <v>1</v>
      </c>
      <c r="I303" s="3237" t="s">
        <v>3295</v>
      </c>
      <c r="J303" s="3237">
        <v>50</v>
      </c>
      <c r="K303" s="3401">
        <v>57.87</v>
      </c>
      <c r="L303" s="3402">
        <v>40.32</v>
      </c>
      <c r="M303" s="3239"/>
      <c r="N303" s="3239"/>
      <c r="O303" s="3394"/>
      <c r="P303" s="3394"/>
      <c r="Q303" s="3394"/>
      <c r="R303" s="3239"/>
      <c r="S303" s="3239"/>
      <c r="T303" s="3239" t="str">
        <f t="shared" si="5"/>
        <v>有</v>
      </c>
    </row>
    <row r="304" spans="1:20" hidden="1">
      <c r="A304" s="3394">
        <v>302</v>
      </c>
      <c r="B304" s="3394">
        <v>1</v>
      </c>
      <c r="C304" s="3394">
        <v>1</v>
      </c>
      <c r="D304" s="3400">
        <v>923</v>
      </c>
      <c r="E304" s="3237">
        <v>907</v>
      </c>
      <c r="F304" s="3239">
        <v>1</v>
      </c>
      <c r="G304" s="3239">
        <v>0</v>
      </c>
      <c r="H304" s="3239">
        <v>1</v>
      </c>
      <c r="I304" s="3257" t="s">
        <v>3304</v>
      </c>
      <c r="J304" s="3237" t="s">
        <v>3305</v>
      </c>
      <c r="K304" s="3401">
        <v>45.27</v>
      </c>
      <c r="L304" s="3402">
        <v>31.54</v>
      </c>
      <c r="M304" s="3239"/>
      <c r="N304" s="3239"/>
      <c r="O304" s="3394"/>
      <c r="P304" s="3394"/>
      <c r="Q304" s="3394"/>
      <c r="R304" s="3239"/>
      <c r="S304" s="3239"/>
      <c r="T304" s="3239" t="str">
        <f t="shared" si="5"/>
        <v>无</v>
      </c>
    </row>
    <row r="305" spans="1:20" hidden="1">
      <c r="A305" s="3394">
        <v>303</v>
      </c>
      <c r="B305" s="3394">
        <v>1</v>
      </c>
      <c r="C305" s="3394">
        <v>1</v>
      </c>
      <c r="D305" s="3400">
        <v>924</v>
      </c>
      <c r="E305" s="3237">
        <v>906</v>
      </c>
      <c r="F305" s="3239">
        <v>1</v>
      </c>
      <c r="G305" s="3239">
        <v>0</v>
      </c>
      <c r="H305" s="3239">
        <v>1</v>
      </c>
      <c r="I305" s="3257" t="s">
        <v>3304</v>
      </c>
      <c r="J305" s="3237" t="s">
        <v>3305</v>
      </c>
      <c r="K305" s="3401">
        <v>45.27</v>
      </c>
      <c r="L305" s="3402">
        <v>31.54</v>
      </c>
      <c r="M305" s="3239"/>
      <c r="N305" s="3239"/>
      <c r="O305" s="3394"/>
      <c r="P305" s="3394"/>
      <c r="Q305" s="3394"/>
      <c r="R305" s="3239"/>
      <c r="S305" s="3239"/>
      <c r="T305" s="3239" t="str">
        <f t="shared" si="5"/>
        <v>无</v>
      </c>
    </row>
    <row r="306" spans="1:20">
      <c r="A306" s="3394">
        <v>304</v>
      </c>
      <c r="B306" s="3394">
        <v>1</v>
      </c>
      <c r="C306" s="3394">
        <v>1</v>
      </c>
      <c r="D306" s="3400">
        <v>925</v>
      </c>
      <c r="E306" s="3237">
        <v>930</v>
      </c>
      <c r="F306" s="3239">
        <v>1</v>
      </c>
      <c r="G306" s="3239">
        <v>1</v>
      </c>
      <c r="H306" s="3239">
        <v>1</v>
      </c>
      <c r="I306" s="3237" t="s">
        <v>3295</v>
      </c>
      <c r="J306" s="3237">
        <v>50</v>
      </c>
      <c r="K306" s="3401">
        <v>57.87</v>
      </c>
      <c r="L306" s="3402">
        <v>40.32</v>
      </c>
      <c r="M306" s="3239"/>
      <c r="N306" s="3239"/>
      <c r="O306" s="3394"/>
      <c r="P306" s="3394"/>
      <c r="Q306" s="3394"/>
      <c r="R306" s="3239"/>
      <c r="S306" s="3239"/>
      <c r="T306" s="3239" t="str">
        <f t="shared" si="5"/>
        <v>有</v>
      </c>
    </row>
    <row r="307" spans="1:20" hidden="1">
      <c r="A307" s="3394">
        <v>305</v>
      </c>
      <c r="B307" s="3394">
        <v>1</v>
      </c>
      <c r="C307" s="3394">
        <v>1</v>
      </c>
      <c r="D307" s="3400">
        <v>926</v>
      </c>
      <c r="E307" s="3237">
        <v>905</v>
      </c>
      <c r="F307" s="3239">
        <v>1</v>
      </c>
      <c r="G307" s="3239">
        <v>0</v>
      </c>
      <c r="H307" s="3239">
        <v>1</v>
      </c>
      <c r="I307" s="3257" t="s">
        <v>3304</v>
      </c>
      <c r="J307" s="3237" t="s">
        <v>3306</v>
      </c>
      <c r="K307" s="3401">
        <v>46.3</v>
      </c>
      <c r="L307" s="3402">
        <v>32.26</v>
      </c>
      <c r="M307" s="3239"/>
      <c r="N307" s="3239"/>
      <c r="O307" s="3394"/>
      <c r="P307" s="3394"/>
      <c r="Q307" s="3394"/>
      <c r="R307" s="3239"/>
      <c r="S307" s="3239"/>
      <c r="T307" s="3239" t="str">
        <f t="shared" si="5"/>
        <v>无</v>
      </c>
    </row>
    <row r="308" spans="1:20">
      <c r="A308" s="3394">
        <v>306</v>
      </c>
      <c r="B308" s="3394">
        <v>1</v>
      </c>
      <c r="C308" s="3394">
        <v>1</v>
      </c>
      <c r="D308" s="3400">
        <v>927</v>
      </c>
      <c r="E308" s="3237">
        <v>931</v>
      </c>
      <c r="F308" s="3239">
        <v>1</v>
      </c>
      <c r="G308" s="3239">
        <v>1</v>
      </c>
      <c r="H308" s="3239">
        <v>1</v>
      </c>
      <c r="I308" s="3237" t="s">
        <v>3295</v>
      </c>
      <c r="J308" s="3237">
        <v>50</v>
      </c>
      <c r="K308" s="3401">
        <v>57.87</v>
      </c>
      <c r="L308" s="3402">
        <v>40.32</v>
      </c>
      <c r="M308" s="3239"/>
      <c r="N308" s="3239"/>
      <c r="O308" s="3394"/>
      <c r="P308" s="3394"/>
      <c r="Q308" s="3394"/>
      <c r="R308" s="3239"/>
      <c r="S308" s="3239"/>
      <c r="T308" s="3239" t="str">
        <f t="shared" si="5"/>
        <v>有</v>
      </c>
    </row>
    <row r="309" spans="1:20">
      <c r="A309" s="3394">
        <v>307</v>
      </c>
      <c r="B309" s="3394">
        <v>1</v>
      </c>
      <c r="C309" s="3394">
        <v>1</v>
      </c>
      <c r="D309" s="3400">
        <v>928</v>
      </c>
      <c r="E309" s="3237">
        <v>932</v>
      </c>
      <c r="F309" s="3239">
        <v>1</v>
      </c>
      <c r="G309" s="3239">
        <v>1</v>
      </c>
      <c r="H309" s="3239">
        <v>1</v>
      </c>
      <c r="I309" s="3237" t="s">
        <v>3295</v>
      </c>
      <c r="J309" s="3237">
        <v>50</v>
      </c>
      <c r="K309" s="3401">
        <v>57.87</v>
      </c>
      <c r="L309" s="3402">
        <v>40.32</v>
      </c>
      <c r="M309" s="3239"/>
      <c r="N309" s="3239"/>
      <c r="O309" s="3394"/>
      <c r="P309" s="3394"/>
      <c r="Q309" s="3394"/>
      <c r="R309" s="3239"/>
      <c r="S309" s="3239"/>
      <c r="T309" s="3239" t="str">
        <f t="shared" si="5"/>
        <v>有</v>
      </c>
    </row>
    <row r="310" spans="1:20">
      <c r="A310" s="3394">
        <v>308</v>
      </c>
      <c r="B310" s="3394">
        <v>1</v>
      </c>
      <c r="C310" s="3394">
        <v>1</v>
      </c>
      <c r="D310" s="3400">
        <v>929</v>
      </c>
      <c r="E310" s="3237">
        <v>933</v>
      </c>
      <c r="F310" s="3239">
        <v>1</v>
      </c>
      <c r="G310" s="3239">
        <v>1</v>
      </c>
      <c r="H310" s="3239">
        <v>1</v>
      </c>
      <c r="I310" s="3237" t="s">
        <v>3295</v>
      </c>
      <c r="J310" s="3237">
        <v>50</v>
      </c>
      <c r="K310" s="3401">
        <v>57.87</v>
      </c>
      <c r="L310" s="3402">
        <v>40.32</v>
      </c>
      <c r="M310" s="3239"/>
      <c r="N310" s="3239"/>
      <c r="O310" s="3394"/>
      <c r="P310" s="3394"/>
      <c r="Q310" s="3394"/>
      <c r="R310" s="3239"/>
      <c r="S310" s="3239"/>
      <c r="T310" s="3239" t="str">
        <f t="shared" si="5"/>
        <v>有</v>
      </c>
    </row>
    <row r="311" spans="1:20">
      <c r="A311" s="3394">
        <v>309</v>
      </c>
      <c r="B311" s="3394">
        <v>1</v>
      </c>
      <c r="C311" s="3394">
        <v>1</v>
      </c>
      <c r="D311" s="3400">
        <v>930</v>
      </c>
      <c r="E311" s="3237">
        <v>934</v>
      </c>
      <c r="F311" s="3239">
        <v>1</v>
      </c>
      <c r="G311" s="3239">
        <v>1</v>
      </c>
      <c r="H311" s="3239">
        <v>1</v>
      </c>
      <c r="I311" s="3237" t="s">
        <v>3295</v>
      </c>
      <c r="J311" s="3237">
        <v>50</v>
      </c>
      <c r="K311" s="3401">
        <v>57.87</v>
      </c>
      <c r="L311" s="3402">
        <v>40.32</v>
      </c>
      <c r="M311" s="3239"/>
      <c r="N311" s="3239"/>
      <c r="O311" s="3394"/>
      <c r="P311" s="3394"/>
      <c r="Q311" s="3394"/>
      <c r="R311" s="3239"/>
      <c r="S311" s="3239"/>
      <c r="T311" s="3239" t="str">
        <f t="shared" si="5"/>
        <v>有</v>
      </c>
    </row>
    <row r="312" spans="1:20" hidden="1">
      <c r="A312" s="3394">
        <v>310</v>
      </c>
      <c r="B312" s="3394">
        <v>1</v>
      </c>
      <c r="C312" s="3394">
        <v>1</v>
      </c>
      <c r="D312" s="3400">
        <v>931</v>
      </c>
      <c r="E312" s="3237">
        <v>904</v>
      </c>
      <c r="F312" s="3239">
        <v>1</v>
      </c>
      <c r="G312" s="3239">
        <v>0</v>
      </c>
      <c r="H312" s="3239">
        <v>1</v>
      </c>
      <c r="I312" s="3257" t="s">
        <v>3304</v>
      </c>
      <c r="J312" s="3237" t="s">
        <v>3306</v>
      </c>
      <c r="K312" s="3401">
        <v>46.3</v>
      </c>
      <c r="L312" s="3402">
        <v>32.26</v>
      </c>
      <c r="M312" s="3239"/>
      <c r="N312" s="3239"/>
      <c r="O312" s="3394"/>
      <c r="P312" s="3394"/>
      <c r="Q312" s="3394"/>
      <c r="R312" s="3239"/>
      <c r="S312" s="3239"/>
      <c r="T312" s="3239" t="str">
        <f t="shared" si="5"/>
        <v>无</v>
      </c>
    </row>
    <row r="313" spans="1:20">
      <c r="A313" s="3394">
        <v>311</v>
      </c>
      <c r="B313" s="3394">
        <v>1</v>
      </c>
      <c r="C313" s="3394">
        <v>1</v>
      </c>
      <c r="D313" s="3400">
        <v>932</v>
      </c>
      <c r="E313" s="3237">
        <v>935</v>
      </c>
      <c r="F313" s="3239">
        <v>1</v>
      </c>
      <c r="G313" s="3239">
        <v>1</v>
      </c>
      <c r="H313" s="3239">
        <v>1</v>
      </c>
      <c r="I313" s="3237" t="s">
        <v>3295</v>
      </c>
      <c r="J313" s="3237">
        <v>50</v>
      </c>
      <c r="K313" s="3401">
        <v>57.87</v>
      </c>
      <c r="L313" s="3402">
        <v>40.32</v>
      </c>
      <c r="M313" s="3239"/>
      <c r="N313" s="3239"/>
      <c r="O313" s="3394"/>
      <c r="P313" s="3394"/>
      <c r="Q313" s="3394"/>
      <c r="R313" s="3239"/>
      <c r="S313" s="3239"/>
      <c r="T313" s="3239" t="str">
        <f t="shared" si="5"/>
        <v>有</v>
      </c>
    </row>
    <row r="314" spans="1:20" hidden="1">
      <c r="A314" s="3394">
        <v>312</v>
      </c>
      <c r="B314" s="3394">
        <v>1</v>
      </c>
      <c r="C314" s="3394">
        <v>1</v>
      </c>
      <c r="D314" s="3400">
        <v>933</v>
      </c>
      <c r="E314" s="3237">
        <v>903</v>
      </c>
      <c r="F314" s="3239">
        <v>1</v>
      </c>
      <c r="G314" s="3239">
        <v>0</v>
      </c>
      <c r="H314" s="3239">
        <v>1</v>
      </c>
      <c r="I314" s="3257" t="s">
        <v>3304</v>
      </c>
      <c r="J314" s="3237" t="s">
        <v>3305</v>
      </c>
      <c r="K314" s="3401">
        <v>45.27</v>
      </c>
      <c r="L314" s="3402">
        <v>31.54</v>
      </c>
      <c r="M314" s="3239"/>
      <c r="N314" s="3239"/>
      <c r="O314" s="3394"/>
      <c r="P314" s="3394"/>
      <c r="Q314" s="3394"/>
      <c r="R314" s="3239"/>
      <c r="S314" s="3239"/>
      <c r="T314" s="3239" t="str">
        <f t="shared" si="5"/>
        <v>无</v>
      </c>
    </row>
    <row r="315" spans="1:20" hidden="1">
      <c r="A315" s="3394">
        <v>313</v>
      </c>
      <c r="B315" s="3394">
        <v>1</v>
      </c>
      <c r="C315" s="3394">
        <v>1</v>
      </c>
      <c r="D315" s="3400">
        <v>934</v>
      </c>
      <c r="E315" s="3237">
        <v>902</v>
      </c>
      <c r="F315" s="3239">
        <v>1</v>
      </c>
      <c r="G315" s="3239">
        <v>0</v>
      </c>
      <c r="H315" s="3239">
        <v>1</v>
      </c>
      <c r="I315" s="3257" t="s">
        <v>3304</v>
      </c>
      <c r="J315" s="3237" t="s">
        <v>3305</v>
      </c>
      <c r="K315" s="3401">
        <v>45.27</v>
      </c>
      <c r="L315" s="3402">
        <v>31.54</v>
      </c>
      <c r="M315" s="3239"/>
      <c r="N315" s="3239"/>
      <c r="O315" s="3394"/>
      <c r="P315" s="3394"/>
      <c r="Q315" s="3394"/>
      <c r="R315" s="3239"/>
      <c r="S315" s="3239"/>
      <c r="T315" s="3239" t="str">
        <f t="shared" si="5"/>
        <v>无</v>
      </c>
    </row>
    <row r="316" spans="1:20">
      <c r="A316" s="3394">
        <v>314</v>
      </c>
      <c r="B316" s="3394">
        <v>1</v>
      </c>
      <c r="C316" s="3394">
        <v>1</v>
      </c>
      <c r="D316" s="3400">
        <v>935</v>
      </c>
      <c r="E316" s="3237">
        <v>936</v>
      </c>
      <c r="F316" s="3239">
        <v>1</v>
      </c>
      <c r="G316" s="3239">
        <v>1</v>
      </c>
      <c r="H316" s="3239">
        <v>1</v>
      </c>
      <c r="I316" s="3237" t="s">
        <v>3295</v>
      </c>
      <c r="J316" s="3237">
        <v>50</v>
      </c>
      <c r="K316" s="3401">
        <v>57.87</v>
      </c>
      <c r="L316" s="3402">
        <v>40.32</v>
      </c>
      <c r="M316" s="3239"/>
      <c r="N316" s="3239"/>
      <c r="O316" s="3394"/>
      <c r="P316" s="3394"/>
      <c r="Q316" s="3394"/>
      <c r="R316" s="3239"/>
      <c r="S316" s="3239"/>
      <c r="T316" s="3239" t="str">
        <f t="shared" si="5"/>
        <v>有</v>
      </c>
    </row>
    <row r="317" spans="1:20" hidden="1">
      <c r="A317" s="3394">
        <v>315</v>
      </c>
      <c r="B317" s="3394">
        <v>1</v>
      </c>
      <c r="C317" s="3394">
        <v>1</v>
      </c>
      <c r="D317" s="3400">
        <v>936</v>
      </c>
      <c r="E317" s="3237">
        <v>937</v>
      </c>
      <c r="F317" s="3239">
        <v>1</v>
      </c>
      <c r="G317" s="3239">
        <v>0</v>
      </c>
      <c r="H317" s="3239">
        <v>1</v>
      </c>
      <c r="I317" s="3237" t="s">
        <v>3295</v>
      </c>
      <c r="J317" s="3257" t="s">
        <v>3322</v>
      </c>
      <c r="K317" s="3401">
        <v>49.52</v>
      </c>
      <c r="L317" s="3402">
        <v>34.5</v>
      </c>
      <c r="M317" s="3239"/>
      <c r="N317" s="3239"/>
      <c r="O317" s="3394"/>
      <c r="P317" s="3394"/>
      <c r="Q317" s="3394"/>
      <c r="R317" s="3239"/>
      <c r="S317" s="3239"/>
      <c r="T317" s="3239" t="str">
        <f t="shared" si="5"/>
        <v>无</v>
      </c>
    </row>
    <row r="318" spans="1:20">
      <c r="A318" s="3394">
        <v>316</v>
      </c>
      <c r="B318" s="3394">
        <v>1</v>
      </c>
      <c r="C318" s="3394">
        <v>1</v>
      </c>
      <c r="D318" s="3400">
        <v>937</v>
      </c>
      <c r="E318" s="3237">
        <v>901</v>
      </c>
      <c r="F318" s="3239">
        <v>1</v>
      </c>
      <c r="G318" s="3239">
        <v>1</v>
      </c>
      <c r="H318" s="3239">
        <v>1</v>
      </c>
      <c r="I318" s="3237" t="s">
        <v>3302</v>
      </c>
      <c r="J318" s="3237" t="s">
        <v>3303</v>
      </c>
      <c r="K318" s="3401">
        <v>58.16</v>
      </c>
      <c r="L318" s="3402">
        <v>40.520000000000003</v>
      </c>
      <c r="M318" s="3239"/>
      <c r="N318" s="3239"/>
      <c r="O318" s="3394"/>
      <c r="P318" s="3395"/>
      <c r="Q318" s="3395"/>
      <c r="R318" s="3239"/>
      <c r="S318" s="3239"/>
      <c r="T318" s="3239" t="str">
        <f t="shared" si="5"/>
        <v>有</v>
      </c>
    </row>
    <row r="319" spans="1:20" hidden="1">
      <c r="A319" s="3394">
        <v>317</v>
      </c>
      <c r="B319" s="3394">
        <v>1</v>
      </c>
      <c r="C319" s="3394">
        <v>1</v>
      </c>
      <c r="D319" s="3400">
        <v>938</v>
      </c>
      <c r="E319" s="3237">
        <v>939</v>
      </c>
      <c r="F319" s="3239">
        <v>1</v>
      </c>
      <c r="G319" s="3239">
        <v>0</v>
      </c>
      <c r="H319" s="3239">
        <v>1</v>
      </c>
      <c r="I319" s="3237" t="s">
        <v>3300</v>
      </c>
      <c r="J319" s="3237" t="s">
        <v>3323</v>
      </c>
      <c r="K319" s="3401">
        <v>46.53</v>
      </c>
      <c r="L319" s="3402">
        <v>32.42</v>
      </c>
      <c r="M319" s="3239"/>
      <c r="N319" s="3239"/>
      <c r="O319" s="3394"/>
      <c r="P319" s="3394"/>
      <c r="Q319" s="3394"/>
      <c r="R319" s="3239"/>
      <c r="S319" s="3239"/>
      <c r="T319" s="3239" t="str">
        <f t="shared" si="5"/>
        <v>无</v>
      </c>
    </row>
    <row r="320" spans="1:20" hidden="1">
      <c r="A320" s="3394">
        <v>318</v>
      </c>
      <c r="B320" s="3394">
        <v>1</v>
      </c>
      <c r="C320" s="3394">
        <v>1</v>
      </c>
      <c r="D320" s="3400">
        <v>939</v>
      </c>
      <c r="E320" s="3237">
        <v>938</v>
      </c>
      <c r="F320" s="3239">
        <v>1</v>
      </c>
      <c r="G320" s="3239">
        <v>0</v>
      </c>
      <c r="H320" s="3239">
        <v>1</v>
      </c>
      <c r="I320" s="3237" t="s">
        <v>3295</v>
      </c>
      <c r="J320" s="3237" t="s">
        <v>3500</v>
      </c>
      <c r="K320" s="3401">
        <v>50.61</v>
      </c>
      <c r="L320" s="3402">
        <v>35.26</v>
      </c>
      <c r="M320" s="3239"/>
      <c r="N320" s="3239"/>
      <c r="O320" s="3394"/>
      <c r="P320" s="3394"/>
      <c r="Q320" s="3394"/>
      <c r="R320" s="3239"/>
      <c r="S320" s="3239"/>
      <c r="T320" s="3239" t="str">
        <f t="shared" si="5"/>
        <v>无</v>
      </c>
    </row>
    <row r="321" spans="1:20">
      <c r="A321" s="3394">
        <v>319</v>
      </c>
      <c r="B321" s="3394">
        <v>1</v>
      </c>
      <c r="C321" s="3394">
        <v>1</v>
      </c>
      <c r="D321" s="3400">
        <v>1001</v>
      </c>
      <c r="E321" s="3237">
        <v>1016</v>
      </c>
      <c r="F321" s="3239">
        <v>1</v>
      </c>
      <c r="G321" s="3239">
        <v>1</v>
      </c>
      <c r="H321" s="3239">
        <v>1</v>
      </c>
      <c r="I321" s="3257" t="s">
        <v>3312</v>
      </c>
      <c r="J321" s="3237" t="s">
        <v>3314</v>
      </c>
      <c r="K321" s="3401">
        <v>57.37</v>
      </c>
      <c r="L321" s="3402">
        <v>39.97</v>
      </c>
      <c r="M321" s="3239"/>
      <c r="N321" s="3239"/>
      <c r="O321" s="3394"/>
      <c r="P321" s="3394"/>
      <c r="Q321" s="3394"/>
      <c r="R321" s="3239"/>
      <c r="S321" s="3239"/>
      <c r="T321" s="3239" t="str">
        <f t="shared" si="5"/>
        <v>有</v>
      </c>
    </row>
    <row r="322" spans="1:20">
      <c r="A322" s="3394">
        <v>320</v>
      </c>
      <c r="B322" s="3394">
        <v>1</v>
      </c>
      <c r="C322" s="3394">
        <v>1</v>
      </c>
      <c r="D322" s="3400">
        <v>1002</v>
      </c>
      <c r="E322" s="3237">
        <v>1017</v>
      </c>
      <c r="F322" s="3239">
        <v>1</v>
      </c>
      <c r="G322" s="3239">
        <v>1</v>
      </c>
      <c r="H322" s="3239">
        <v>1</v>
      </c>
      <c r="I322" s="3257" t="s">
        <v>3312</v>
      </c>
      <c r="J322" s="3237">
        <v>50</v>
      </c>
      <c r="K322" s="3401">
        <v>57.87</v>
      </c>
      <c r="L322" s="3402">
        <v>40.32</v>
      </c>
      <c r="M322" s="3239"/>
      <c r="N322" s="3239"/>
      <c r="O322" s="3394"/>
      <c r="P322" s="3394"/>
      <c r="Q322" s="3394"/>
      <c r="R322" s="3239"/>
      <c r="S322" s="3239"/>
      <c r="T322" s="3239" t="str">
        <f t="shared" si="5"/>
        <v>有</v>
      </c>
    </row>
    <row r="323" spans="1:20">
      <c r="A323" s="3394">
        <v>321</v>
      </c>
      <c r="B323" s="3394">
        <v>1</v>
      </c>
      <c r="C323" s="3394">
        <v>1</v>
      </c>
      <c r="D323" s="3400">
        <v>1003</v>
      </c>
      <c r="E323" s="3237">
        <v>1018</v>
      </c>
      <c r="F323" s="3239">
        <v>1</v>
      </c>
      <c r="G323" s="3239">
        <v>1</v>
      </c>
      <c r="H323" s="3239">
        <v>1</v>
      </c>
      <c r="I323" s="3257" t="s">
        <v>3312</v>
      </c>
      <c r="J323" s="3237">
        <v>50</v>
      </c>
      <c r="K323" s="3401">
        <v>57.87</v>
      </c>
      <c r="L323" s="3402">
        <v>40.32</v>
      </c>
      <c r="M323" s="3239"/>
      <c r="N323" s="3239"/>
      <c r="O323" s="3394"/>
      <c r="P323" s="3394"/>
      <c r="Q323" s="3394"/>
      <c r="R323" s="3239"/>
      <c r="S323" s="3239"/>
      <c r="T323" s="3239" t="str">
        <f t="shared" si="5"/>
        <v>有</v>
      </c>
    </row>
    <row r="324" spans="1:20">
      <c r="A324" s="3394">
        <v>322</v>
      </c>
      <c r="B324" s="3394">
        <v>1</v>
      </c>
      <c r="C324" s="3394">
        <v>1</v>
      </c>
      <c r="D324" s="3400">
        <v>1004</v>
      </c>
      <c r="E324" s="3237">
        <v>1019</v>
      </c>
      <c r="F324" s="3239">
        <v>1</v>
      </c>
      <c r="G324" s="3239">
        <v>1</v>
      </c>
      <c r="H324" s="3239">
        <v>1</v>
      </c>
      <c r="I324" s="3257" t="s">
        <v>3312</v>
      </c>
      <c r="J324" s="3237" t="s">
        <v>3308</v>
      </c>
      <c r="K324" s="3401">
        <v>57.23</v>
      </c>
      <c r="L324" s="3402">
        <v>39.869999999999997</v>
      </c>
      <c r="M324" s="3239"/>
      <c r="N324" s="3239"/>
      <c r="O324" s="3394"/>
      <c r="P324" s="3394"/>
      <c r="Q324" s="3394"/>
      <c r="R324" s="3239"/>
      <c r="S324" s="3239"/>
      <c r="T324" s="3239" t="str">
        <f t="shared" ref="T324:T387" si="6">IF(OR(J324="无障碍宿舍",J324="无障碍宿舍-01",J324="无障碍宿舍-02",J324="40平",J324="40平-01",J324="40平-02",J324="40平-03",J324="40平-04",J324="40平-06",J324="40平-07",J324="D2"),"无","有")</f>
        <v>有</v>
      </c>
    </row>
    <row r="325" spans="1:20">
      <c r="A325" s="3394">
        <v>323</v>
      </c>
      <c r="B325" s="3394">
        <v>1</v>
      </c>
      <c r="C325" s="3394">
        <v>1</v>
      </c>
      <c r="D325" s="3400">
        <v>1005</v>
      </c>
      <c r="E325" s="3237">
        <v>1020</v>
      </c>
      <c r="F325" s="3239">
        <v>1</v>
      </c>
      <c r="G325" s="3239">
        <v>1</v>
      </c>
      <c r="H325" s="3239">
        <v>1</v>
      </c>
      <c r="I325" s="3257" t="s">
        <v>3312</v>
      </c>
      <c r="J325" s="3257" t="s">
        <v>3315</v>
      </c>
      <c r="K325" s="3401">
        <v>59.16</v>
      </c>
      <c r="L325" s="3402">
        <v>41.22</v>
      </c>
      <c r="M325" s="3239"/>
      <c r="N325" s="3239"/>
      <c r="O325" s="3394"/>
      <c r="P325" s="3394"/>
      <c r="Q325" s="3394"/>
      <c r="R325" s="3239"/>
      <c r="S325" s="3239"/>
      <c r="T325" s="3239" t="str">
        <f t="shared" si="6"/>
        <v>有</v>
      </c>
    </row>
    <row r="326" spans="1:20">
      <c r="A326" s="3394">
        <v>324</v>
      </c>
      <c r="B326" s="3394">
        <v>1</v>
      </c>
      <c r="C326" s="3394">
        <v>1</v>
      </c>
      <c r="D326" s="3400">
        <v>1006</v>
      </c>
      <c r="E326" s="3237">
        <v>1021</v>
      </c>
      <c r="F326" s="3239">
        <v>4</v>
      </c>
      <c r="G326" s="3239">
        <v>1</v>
      </c>
      <c r="H326" s="3239">
        <v>1</v>
      </c>
      <c r="I326" s="3237" t="s">
        <v>3316</v>
      </c>
      <c r="J326" s="3237" t="s">
        <v>3317</v>
      </c>
      <c r="K326" s="3401">
        <v>108.7</v>
      </c>
      <c r="L326" s="3402">
        <v>75.73</v>
      </c>
      <c r="M326" s="3239"/>
      <c r="N326" s="3239"/>
      <c r="O326" s="3394"/>
      <c r="P326" s="3394"/>
      <c r="Q326" s="3394"/>
      <c r="R326" s="3239"/>
      <c r="S326" s="3239"/>
      <c r="T326" s="3239" t="str">
        <f t="shared" si="6"/>
        <v>有</v>
      </c>
    </row>
    <row r="327" spans="1:20">
      <c r="A327" s="3394">
        <v>325</v>
      </c>
      <c r="B327" s="3394">
        <v>1</v>
      </c>
      <c r="C327" s="3394">
        <v>1</v>
      </c>
      <c r="D327" s="3400">
        <v>1007</v>
      </c>
      <c r="E327" s="3237">
        <v>1014</v>
      </c>
      <c r="F327" s="3239">
        <v>1</v>
      </c>
      <c r="G327" s="3239">
        <v>1</v>
      </c>
      <c r="H327" s="3239">
        <v>1</v>
      </c>
      <c r="I327" s="3237" t="s">
        <v>3310</v>
      </c>
      <c r="J327" s="3237" t="s">
        <v>3311</v>
      </c>
      <c r="K327" s="3401">
        <v>55.32</v>
      </c>
      <c r="L327" s="3402">
        <v>38.54</v>
      </c>
      <c r="M327" s="3239"/>
      <c r="N327" s="3239"/>
      <c r="O327" s="3394"/>
      <c r="P327" s="3394"/>
      <c r="Q327" s="3394"/>
      <c r="R327" s="3239"/>
      <c r="S327" s="3239"/>
      <c r="T327" s="3239" t="str">
        <f t="shared" si="6"/>
        <v>有</v>
      </c>
    </row>
    <row r="328" spans="1:20">
      <c r="A328" s="3394">
        <v>326</v>
      </c>
      <c r="B328" s="3394">
        <v>1</v>
      </c>
      <c r="C328" s="3394">
        <v>1</v>
      </c>
      <c r="D328" s="3400">
        <v>1008</v>
      </c>
      <c r="E328" s="3237">
        <v>1015</v>
      </c>
      <c r="F328" s="3239">
        <v>2</v>
      </c>
      <c r="G328" s="3239">
        <v>1</v>
      </c>
      <c r="H328" s="3239">
        <v>1</v>
      </c>
      <c r="I328" s="3257" t="s">
        <v>3312</v>
      </c>
      <c r="J328" s="3237" t="s">
        <v>3313</v>
      </c>
      <c r="K328" s="3401">
        <v>96.55</v>
      </c>
      <c r="L328" s="3402">
        <v>67.27</v>
      </c>
      <c r="M328" s="3239"/>
      <c r="N328" s="3239"/>
      <c r="O328" s="3394"/>
      <c r="P328" s="3394"/>
      <c r="Q328" s="3394"/>
      <c r="R328" s="3239"/>
      <c r="S328" s="3239"/>
      <c r="T328" s="3239" t="str">
        <f t="shared" si="6"/>
        <v>有</v>
      </c>
    </row>
    <row r="329" spans="1:20">
      <c r="A329" s="3394">
        <v>327</v>
      </c>
      <c r="B329" s="3394">
        <v>1</v>
      </c>
      <c r="C329" s="3394">
        <v>1</v>
      </c>
      <c r="D329" s="3400">
        <v>1009</v>
      </c>
      <c r="E329" s="3237">
        <v>1013</v>
      </c>
      <c r="F329" s="3239">
        <v>1</v>
      </c>
      <c r="G329" s="3239">
        <v>1</v>
      </c>
      <c r="H329" s="3239">
        <v>1</v>
      </c>
      <c r="I329" s="3257" t="s">
        <v>3304</v>
      </c>
      <c r="J329" s="3257" t="s">
        <v>3309</v>
      </c>
      <c r="K329" s="3401">
        <v>57.35</v>
      </c>
      <c r="L329" s="3402">
        <v>39.96</v>
      </c>
      <c r="M329" s="3239"/>
      <c r="N329" s="3239"/>
      <c r="O329" s="3394"/>
      <c r="P329" s="3394"/>
      <c r="Q329" s="3394"/>
      <c r="R329" s="3239"/>
      <c r="S329" s="3239"/>
      <c r="T329" s="3239" t="str">
        <f t="shared" si="6"/>
        <v>有</v>
      </c>
    </row>
    <row r="330" spans="1:20">
      <c r="A330" s="3394">
        <v>328</v>
      </c>
      <c r="B330" s="3394">
        <v>1</v>
      </c>
      <c r="C330" s="3394">
        <v>1</v>
      </c>
      <c r="D330" s="3400">
        <v>1010</v>
      </c>
      <c r="E330" s="3237">
        <v>1022</v>
      </c>
      <c r="F330" s="3239">
        <v>4</v>
      </c>
      <c r="G330" s="3239">
        <v>1</v>
      </c>
      <c r="H330" s="3239">
        <v>1</v>
      </c>
      <c r="I330" s="3237" t="s">
        <v>3318</v>
      </c>
      <c r="J330" s="3237" t="s">
        <v>3319</v>
      </c>
      <c r="K330" s="3401">
        <v>108.7</v>
      </c>
      <c r="L330" s="3402">
        <v>75.73</v>
      </c>
      <c r="M330" s="3239"/>
      <c r="N330" s="3239"/>
      <c r="O330" s="3394"/>
      <c r="P330" s="3394"/>
      <c r="Q330" s="3394"/>
      <c r="R330" s="3239"/>
      <c r="S330" s="3239"/>
      <c r="T330" s="3239" t="str">
        <f t="shared" si="6"/>
        <v>有</v>
      </c>
    </row>
    <row r="331" spans="1:20">
      <c r="A331" s="3394">
        <v>329</v>
      </c>
      <c r="B331" s="3394">
        <v>1</v>
      </c>
      <c r="C331" s="3394">
        <v>1</v>
      </c>
      <c r="D331" s="3400">
        <v>1011</v>
      </c>
      <c r="E331" s="3237">
        <v>1024</v>
      </c>
      <c r="F331" s="3239">
        <v>1</v>
      </c>
      <c r="G331" s="3239">
        <v>1</v>
      </c>
      <c r="H331" s="3239">
        <v>1</v>
      </c>
      <c r="I331" s="3237" t="s">
        <v>3300</v>
      </c>
      <c r="J331" s="3237">
        <v>50</v>
      </c>
      <c r="K331" s="3401">
        <v>57.87</v>
      </c>
      <c r="L331" s="3402">
        <v>40.32</v>
      </c>
      <c r="M331" s="3239"/>
      <c r="N331" s="3239"/>
      <c r="O331" s="3394"/>
      <c r="P331" s="3394"/>
      <c r="Q331" s="3394"/>
      <c r="R331" s="3239"/>
      <c r="S331" s="3239"/>
      <c r="T331" s="3239" t="str">
        <f t="shared" si="6"/>
        <v>有</v>
      </c>
    </row>
    <row r="332" spans="1:20">
      <c r="A332" s="3394">
        <v>330</v>
      </c>
      <c r="B332" s="3394">
        <v>1</v>
      </c>
      <c r="C332" s="3394">
        <v>1</v>
      </c>
      <c r="D332" s="3400">
        <v>1012</v>
      </c>
      <c r="E332" s="3237">
        <v>1023</v>
      </c>
      <c r="F332" s="3239">
        <v>1</v>
      </c>
      <c r="G332" s="3239">
        <v>1</v>
      </c>
      <c r="H332" s="3239">
        <v>1</v>
      </c>
      <c r="I332" s="3237" t="s">
        <v>3300</v>
      </c>
      <c r="J332" s="3237" t="s">
        <v>3308</v>
      </c>
      <c r="K332" s="3401">
        <v>57.23</v>
      </c>
      <c r="L332" s="3402">
        <v>39.869999999999997</v>
      </c>
      <c r="M332" s="3239"/>
      <c r="N332" s="3239"/>
      <c r="O332" s="3394"/>
      <c r="P332" s="3394"/>
      <c r="Q332" s="3394"/>
      <c r="R332" s="3239"/>
      <c r="S332" s="3239"/>
      <c r="T332" s="3239" t="str">
        <f t="shared" si="6"/>
        <v>有</v>
      </c>
    </row>
    <row r="333" spans="1:20">
      <c r="A333" s="3394">
        <v>331</v>
      </c>
      <c r="B333" s="3394">
        <v>1</v>
      </c>
      <c r="C333" s="3394">
        <v>1</v>
      </c>
      <c r="D333" s="3400">
        <v>1013</v>
      </c>
      <c r="E333" s="3237">
        <v>1025</v>
      </c>
      <c r="F333" s="3239">
        <v>1</v>
      </c>
      <c r="G333" s="3239">
        <v>1</v>
      </c>
      <c r="H333" s="3239">
        <v>1</v>
      </c>
      <c r="I333" s="3237" t="s">
        <v>3300</v>
      </c>
      <c r="J333" s="3237" t="s">
        <v>3320</v>
      </c>
      <c r="K333" s="3401">
        <v>58.02</v>
      </c>
      <c r="L333" s="3402">
        <v>40.42</v>
      </c>
      <c r="M333" s="3239"/>
      <c r="N333" s="3239"/>
      <c r="O333" s="3394"/>
      <c r="P333" s="3394"/>
      <c r="Q333" s="3394"/>
      <c r="R333" s="3239"/>
      <c r="S333" s="3239"/>
      <c r="T333" s="3239" t="str">
        <f t="shared" si="6"/>
        <v>有</v>
      </c>
    </row>
    <row r="334" spans="1:20">
      <c r="A334" s="3394">
        <v>332</v>
      </c>
      <c r="B334" s="3394">
        <v>1</v>
      </c>
      <c r="C334" s="3394">
        <v>1</v>
      </c>
      <c r="D334" s="3400">
        <v>1014</v>
      </c>
      <c r="E334" s="3237">
        <v>1012</v>
      </c>
      <c r="F334" s="3239">
        <v>1</v>
      </c>
      <c r="G334" s="3239">
        <v>1</v>
      </c>
      <c r="H334" s="3239">
        <v>1</v>
      </c>
      <c r="I334" s="3257" t="s">
        <v>3304</v>
      </c>
      <c r="J334" s="3237" t="s">
        <v>3308</v>
      </c>
      <c r="K334" s="3401">
        <v>57.23</v>
      </c>
      <c r="L334" s="3402">
        <v>39.869999999999997</v>
      </c>
      <c r="M334" s="3239"/>
      <c r="N334" s="3239"/>
      <c r="O334" s="3394"/>
      <c r="P334" s="3394"/>
      <c r="Q334" s="3394"/>
      <c r="R334" s="3239"/>
      <c r="S334" s="3239"/>
      <c r="T334" s="3239" t="str">
        <f t="shared" si="6"/>
        <v>有</v>
      </c>
    </row>
    <row r="335" spans="1:20" hidden="1">
      <c r="A335" s="3394">
        <v>333</v>
      </c>
      <c r="B335" s="3394">
        <v>1</v>
      </c>
      <c r="C335" s="3394">
        <v>1</v>
      </c>
      <c r="D335" s="3400">
        <v>1015</v>
      </c>
      <c r="E335" s="3237">
        <v>1011</v>
      </c>
      <c r="F335" s="3239">
        <v>1</v>
      </c>
      <c r="G335" s="3239">
        <v>0</v>
      </c>
      <c r="H335" s="3239">
        <v>1</v>
      </c>
      <c r="I335" s="3257" t="s">
        <v>3304</v>
      </c>
      <c r="J335" s="3237" t="s">
        <v>3307</v>
      </c>
      <c r="K335" s="3401">
        <v>45.9</v>
      </c>
      <c r="L335" s="3402">
        <v>31.98</v>
      </c>
      <c r="M335" s="3239"/>
      <c r="N335" s="3239"/>
      <c r="O335" s="3394"/>
      <c r="P335" s="3394"/>
      <c r="Q335" s="3394"/>
      <c r="R335" s="3239"/>
      <c r="S335" s="3239"/>
      <c r="T335" s="3239" t="str">
        <f t="shared" si="6"/>
        <v>无</v>
      </c>
    </row>
    <row r="336" spans="1:20">
      <c r="A336" s="3394">
        <v>334</v>
      </c>
      <c r="B336" s="3394">
        <v>1</v>
      </c>
      <c r="C336" s="3394">
        <v>1</v>
      </c>
      <c r="D336" s="3400">
        <v>1016</v>
      </c>
      <c r="E336" s="3237">
        <v>1026</v>
      </c>
      <c r="F336" s="3239">
        <v>1</v>
      </c>
      <c r="G336" s="3239">
        <v>1</v>
      </c>
      <c r="H336" s="3239">
        <v>1</v>
      </c>
      <c r="I336" s="3237" t="s">
        <v>3295</v>
      </c>
      <c r="J336" s="3237" t="s">
        <v>3321</v>
      </c>
      <c r="K336" s="3401">
        <v>61.09</v>
      </c>
      <c r="L336" s="3402">
        <v>42.56</v>
      </c>
      <c r="M336" s="3239"/>
      <c r="N336" s="3239"/>
      <c r="O336" s="3394">
        <v>2.9</v>
      </c>
      <c r="P336" s="3394" t="s">
        <v>3363</v>
      </c>
      <c r="Q336" s="3394" t="s">
        <v>3482</v>
      </c>
      <c r="R336" s="3239"/>
      <c r="S336" s="3239"/>
      <c r="T336" s="3239" t="str">
        <f t="shared" si="6"/>
        <v>有</v>
      </c>
    </row>
    <row r="337" spans="1:20" hidden="1">
      <c r="A337" s="3394">
        <v>335</v>
      </c>
      <c r="B337" s="3394">
        <v>1</v>
      </c>
      <c r="C337" s="3394">
        <v>1</v>
      </c>
      <c r="D337" s="3400">
        <v>1017</v>
      </c>
      <c r="E337" s="3237">
        <v>1010</v>
      </c>
      <c r="F337" s="3239">
        <v>1</v>
      </c>
      <c r="G337" s="3239">
        <v>0</v>
      </c>
      <c r="H337" s="3239">
        <v>1</v>
      </c>
      <c r="I337" s="3257" t="s">
        <v>3304</v>
      </c>
      <c r="J337" s="3237" t="s">
        <v>3305</v>
      </c>
      <c r="K337" s="3401">
        <v>45.27</v>
      </c>
      <c r="L337" s="3402">
        <v>31.54</v>
      </c>
      <c r="M337" s="3239"/>
      <c r="N337" s="3239"/>
      <c r="O337" s="3394"/>
      <c r="P337" s="3394"/>
      <c r="Q337" s="3394"/>
      <c r="R337" s="3239"/>
      <c r="S337" s="3239"/>
      <c r="T337" s="3239" t="str">
        <f t="shared" si="6"/>
        <v>无</v>
      </c>
    </row>
    <row r="338" spans="1:20">
      <c r="A338" s="3394">
        <v>336</v>
      </c>
      <c r="B338" s="3394">
        <v>1</v>
      </c>
      <c r="C338" s="3394">
        <v>1</v>
      </c>
      <c r="D338" s="3400">
        <v>1018</v>
      </c>
      <c r="E338" s="3237">
        <v>1027</v>
      </c>
      <c r="F338" s="3239">
        <v>1</v>
      </c>
      <c r="G338" s="3239">
        <v>1</v>
      </c>
      <c r="H338" s="3239">
        <v>1</v>
      </c>
      <c r="I338" s="3237" t="s">
        <v>3295</v>
      </c>
      <c r="J338" s="3237">
        <v>50</v>
      </c>
      <c r="K338" s="3401">
        <v>57.87</v>
      </c>
      <c r="L338" s="3402">
        <v>40.32</v>
      </c>
      <c r="M338" s="3239"/>
      <c r="N338" s="3239"/>
      <c r="O338" s="3394"/>
      <c r="P338" s="3394"/>
      <c r="Q338" s="3394"/>
      <c r="R338" s="3239"/>
      <c r="S338" s="3239"/>
      <c r="T338" s="3239" t="str">
        <f t="shared" si="6"/>
        <v>有</v>
      </c>
    </row>
    <row r="339" spans="1:20" hidden="1">
      <c r="A339" s="3394">
        <v>337</v>
      </c>
      <c r="B339" s="3394">
        <v>1</v>
      </c>
      <c r="C339" s="3394">
        <v>1</v>
      </c>
      <c r="D339" s="3400">
        <v>1019</v>
      </c>
      <c r="E339" s="3237">
        <v>1009</v>
      </c>
      <c r="F339" s="3239">
        <v>1</v>
      </c>
      <c r="G339" s="3239">
        <v>0</v>
      </c>
      <c r="H339" s="3239">
        <v>1</v>
      </c>
      <c r="I339" s="3257" t="s">
        <v>3304</v>
      </c>
      <c r="J339" s="3237" t="s">
        <v>3305</v>
      </c>
      <c r="K339" s="3401">
        <v>45.27</v>
      </c>
      <c r="L339" s="3402">
        <v>31.54</v>
      </c>
      <c r="M339" s="3239"/>
      <c r="N339" s="3239"/>
      <c r="O339" s="3394"/>
      <c r="P339" s="3394"/>
      <c r="Q339" s="3394"/>
      <c r="R339" s="3239"/>
      <c r="S339" s="3239"/>
      <c r="T339" s="3239" t="str">
        <f t="shared" si="6"/>
        <v>无</v>
      </c>
    </row>
    <row r="340" spans="1:20">
      <c r="A340" s="3394">
        <v>338</v>
      </c>
      <c r="B340" s="3394">
        <v>1</v>
      </c>
      <c r="C340" s="3394">
        <v>1</v>
      </c>
      <c r="D340" s="3400">
        <v>1020</v>
      </c>
      <c r="E340" s="3237">
        <v>1028</v>
      </c>
      <c r="F340" s="3239">
        <v>1</v>
      </c>
      <c r="G340" s="3239">
        <v>1</v>
      </c>
      <c r="H340" s="3239">
        <v>1</v>
      </c>
      <c r="I340" s="3237" t="s">
        <v>3295</v>
      </c>
      <c r="J340" s="3237">
        <v>50</v>
      </c>
      <c r="K340" s="3401">
        <v>57.87</v>
      </c>
      <c r="L340" s="3402">
        <v>40.32</v>
      </c>
      <c r="M340" s="3239"/>
      <c r="N340" s="3239"/>
      <c r="O340" s="3394"/>
      <c r="P340" s="3394"/>
      <c r="Q340" s="3394"/>
      <c r="R340" s="3239"/>
      <c r="S340" s="3239"/>
      <c r="T340" s="3239" t="str">
        <f t="shared" si="6"/>
        <v>有</v>
      </c>
    </row>
    <row r="341" spans="1:20" hidden="1">
      <c r="A341" s="3394">
        <v>339</v>
      </c>
      <c r="B341" s="3394">
        <v>1</v>
      </c>
      <c r="C341" s="3394">
        <v>1</v>
      </c>
      <c r="D341" s="3400">
        <v>1021</v>
      </c>
      <c r="E341" s="3237">
        <v>1008</v>
      </c>
      <c r="F341" s="3239">
        <v>1</v>
      </c>
      <c r="G341" s="3239">
        <v>0</v>
      </c>
      <c r="H341" s="3239">
        <v>1</v>
      </c>
      <c r="I341" s="3257" t="s">
        <v>3304</v>
      </c>
      <c r="J341" s="3237" t="s">
        <v>3305</v>
      </c>
      <c r="K341" s="3401">
        <v>45.27</v>
      </c>
      <c r="L341" s="3402">
        <v>31.54</v>
      </c>
      <c r="M341" s="3239"/>
      <c r="N341" s="3239"/>
      <c r="O341" s="3394"/>
      <c r="P341" s="3394"/>
      <c r="Q341" s="3394"/>
      <c r="R341" s="3239"/>
      <c r="S341" s="3239"/>
      <c r="T341" s="3239" t="str">
        <f t="shared" si="6"/>
        <v>无</v>
      </c>
    </row>
    <row r="342" spans="1:20">
      <c r="A342" s="3394">
        <v>340</v>
      </c>
      <c r="B342" s="3394">
        <v>1</v>
      </c>
      <c r="C342" s="3394">
        <v>1</v>
      </c>
      <c r="D342" s="3400">
        <v>1022</v>
      </c>
      <c r="E342" s="3237">
        <v>1029</v>
      </c>
      <c r="F342" s="3239">
        <v>1</v>
      </c>
      <c r="G342" s="3239">
        <v>1</v>
      </c>
      <c r="H342" s="3239">
        <v>1</v>
      </c>
      <c r="I342" s="3237" t="s">
        <v>3295</v>
      </c>
      <c r="J342" s="3237">
        <v>50</v>
      </c>
      <c r="K342" s="3401">
        <v>57.87</v>
      </c>
      <c r="L342" s="3402">
        <v>40.32</v>
      </c>
      <c r="M342" s="3239"/>
      <c r="N342" s="3239"/>
      <c r="O342" s="3394"/>
      <c r="P342" s="3394"/>
      <c r="Q342" s="3394"/>
      <c r="R342" s="3239"/>
      <c r="S342" s="3239"/>
      <c r="T342" s="3239" t="str">
        <f t="shared" si="6"/>
        <v>有</v>
      </c>
    </row>
    <row r="343" spans="1:20" hidden="1">
      <c r="A343" s="3394">
        <v>341</v>
      </c>
      <c r="B343" s="3394">
        <v>1</v>
      </c>
      <c r="C343" s="3394">
        <v>1</v>
      </c>
      <c r="D343" s="3400">
        <v>1023</v>
      </c>
      <c r="E343" s="3237">
        <v>1007</v>
      </c>
      <c r="F343" s="3239">
        <v>1</v>
      </c>
      <c r="G343" s="3239">
        <v>0</v>
      </c>
      <c r="H343" s="3239">
        <v>1</v>
      </c>
      <c r="I343" s="3257" t="s">
        <v>3304</v>
      </c>
      <c r="J343" s="3237" t="s">
        <v>3305</v>
      </c>
      <c r="K343" s="3401">
        <v>45.27</v>
      </c>
      <c r="L343" s="3402">
        <v>31.54</v>
      </c>
      <c r="M343" s="3239"/>
      <c r="N343" s="3239"/>
      <c r="O343" s="3394"/>
      <c r="P343" s="3394"/>
      <c r="Q343" s="3394"/>
      <c r="R343" s="3239"/>
      <c r="S343" s="3239"/>
      <c r="T343" s="3239" t="str">
        <f t="shared" si="6"/>
        <v>无</v>
      </c>
    </row>
    <row r="344" spans="1:20" hidden="1">
      <c r="A344" s="3394">
        <v>342</v>
      </c>
      <c r="B344" s="3394">
        <v>1</v>
      </c>
      <c r="C344" s="3394">
        <v>1</v>
      </c>
      <c r="D344" s="3400">
        <v>1024</v>
      </c>
      <c r="E344" s="3237">
        <v>1006</v>
      </c>
      <c r="F344" s="3239">
        <v>1</v>
      </c>
      <c r="G344" s="3239">
        <v>0</v>
      </c>
      <c r="H344" s="3239">
        <v>1</v>
      </c>
      <c r="I344" s="3257" t="s">
        <v>3304</v>
      </c>
      <c r="J344" s="3237" t="s">
        <v>3305</v>
      </c>
      <c r="K344" s="3401">
        <v>45.27</v>
      </c>
      <c r="L344" s="3402">
        <v>31.54</v>
      </c>
      <c r="M344" s="3239"/>
      <c r="N344" s="3239"/>
      <c r="O344" s="3394"/>
      <c r="P344" s="3394"/>
      <c r="Q344" s="3394"/>
      <c r="R344" s="3239"/>
      <c r="S344" s="3239"/>
      <c r="T344" s="3239" t="str">
        <f t="shared" si="6"/>
        <v>无</v>
      </c>
    </row>
    <row r="345" spans="1:20">
      <c r="A345" s="3394">
        <v>343</v>
      </c>
      <c r="B345" s="3394">
        <v>1</v>
      </c>
      <c r="C345" s="3394">
        <v>1</v>
      </c>
      <c r="D345" s="3400">
        <v>1025</v>
      </c>
      <c r="E345" s="3237">
        <v>1030</v>
      </c>
      <c r="F345" s="3239">
        <v>1</v>
      </c>
      <c r="G345" s="3239">
        <v>1</v>
      </c>
      <c r="H345" s="3239">
        <v>1</v>
      </c>
      <c r="I345" s="3237" t="s">
        <v>3295</v>
      </c>
      <c r="J345" s="3237">
        <v>50</v>
      </c>
      <c r="K345" s="3401">
        <v>57.87</v>
      </c>
      <c r="L345" s="3402">
        <v>40.32</v>
      </c>
      <c r="M345" s="3239"/>
      <c r="N345" s="3239"/>
      <c r="O345" s="3394"/>
      <c r="P345" s="3394"/>
      <c r="Q345" s="3394"/>
      <c r="R345" s="3239"/>
      <c r="S345" s="3239"/>
      <c r="T345" s="3239" t="str">
        <f t="shared" si="6"/>
        <v>有</v>
      </c>
    </row>
    <row r="346" spans="1:20" hidden="1">
      <c r="A346" s="3394">
        <v>344</v>
      </c>
      <c r="B346" s="3394">
        <v>1</v>
      </c>
      <c r="C346" s="3394">
        <v>1</v>
      </c>
      <c r="D346" s="3400">
        <v>1026</v>
      </c>
      <c r="E346" s="3237">
        <v>1005</v>
      </c>
      <c r="F346" s="3239">
        <v>1</v>
      </c>
      <c r="G346" s="3239">
        <v>0</v>
      </c>
      <c r="H346" s="3239">
        <v>1</v>
      </c>
      <c r="I346" s="3257" t="s">
        <v>3304</v>
      </c>
      <c r="J346" s="3237" t="s">
        <v>3306</v>
      </c>
      <c r="K346" s="3401">
        <v>46.3</v>
      </c>
      <c r="L346" s="3402">
        <v>32.26</v>
      </c>
      <c r="M346" s="3239"/>
      <c r="N346" s="3239"/>
      <c r="O346" s="3394"/>
      <c r="P346" s="3394"/>
      <c r="Q346" s="3394"/>
      <c r="R346" s="3239"/>
      <c r="S346" s="3239"/>
      <c r="T346" s="3239" t="str">
        <f t="shared" si="6"/>
        <v>无</v>
      </c>
    </row>
    <row r="347" spans="1:20">
      <c r="A347" s="3394">
        <v>345</v>
      </c>
      <c r="B347" s="3394">
        <v>1</v>
      </c>
      <c r="C347" s="3394">
        <v>1</v>
      </c>
      <c r="D347" s="3400">
        <v>1027</v>
      </c>
      <c r="E347" s="3237">
        <v>1031</v>
      </c>
      <c r="F347" s="3239">
        <v>1</v>
      </c>
      <c r="G347" s="3239">
        <v>1</v>
      </c>
      <c r="H347" s="3239">
        <v>1</v>
      </c>
      <c r="I347" s="3237" t="s">
        <v>3295</v>
      </c>
      <c r="J347" s="3237">
        <v>50</v>
      </c>
      <c r="K347" s="3401">
        <v>57.87</v>
      </c>
      <c r="L347" s="3402">
        <v>40.32</v>
      </c>
      <c r="M347" s="3239"/>
      <c r="N347" s="3239"/>
      <c r="O347" s="3394"/>
      <c r="P347" s="3394"/>
      <c r="Q347" s="3394"/>
      <c r="R347" s="3239"/>
      <c r="S347" s="3239"/>
      <c r="T347" s="3239" t="str">
        <f t="shared" si="6"/>
        <v>有</v>
      </c>
    </row>
    <row r="348" spans="1:20">
      <c r="A348" s="3394">
        <v>346</v>
      </c>
      <c r="B348" s="3394">
        <v>1</v>
      </c>
      <c r="C348" s="3394">
        <v>1</v>
      </c>
      <c r="D348" s="3400">
        <v>1028</v>
      </c>
      <c r="E348" s="3237">
        <v>1032</v>
      </c>
      <c r="F348" s="3239">
        <v>1</v>
      </c>
      <c r="G348" s="3239">
        <v>1</v>
      </c>
      <c r="H348" s="3239">
        <v>1</v>
      </c>
      <c r="I348" s="3237" t="s">
        <v>3295</v>
      </c>
      <c r="J348" s="3237">
        <v>50</v>
      </c>
      <c r="K348" s="3401">
        <v>57.87</v>
      </c>
      <c r="L348" s="3402">
        <v>40.32</v>
      </c>
      <c r="M348" s="3239"/>
      <c r="N348" s="3239"/>
      <c r="O348" s="3394"/>
      <c r="P348" s="3394"/>
      <c r="Q348" s="3394"/>
      <c r="R348" s="3239"/>
      <c r="S348" s="3239"/>
      <c r="T348" s="3239" t="str">
        <f t="shared" si="6"/>
        <v>有</v>
      </c>
    </row>
    <row r="349" spans="1:20">
      <c r="A349" s="3394">
        <v>347</v>
      </c>
      <c r="B349" s="3394">
        <v>1</v>
      </c>
      <c r="C349" s="3394">
        <v>1</v>
      </c>
      <c r="D349" s="3400">
        <v>1029</v>
      </c>
      <c r="E349" s="3237">
        <v>1033</v>
      </c>
      <c r="F349" s="3239">
        <v>1</v>
      </c>
      <c r="G349" s="3239">
        <v>1</v>
      </c>
      <c r="H349" s="3239">
        <v>1</v>
      </c>
      <c r="I349" s="3237" t="s">
        <v>3295</v>
      </c>
      <c r="J349" s="3237">
        <v>50</v>
      </c>
      <c r="K349" s="3401">
        <v>57.87</v>
      </c>
      <c r="L349" s="3402">
        <v>40.32</v>
      </c>
      <c r="M349" s="3239"/>
      <c r="N349" s="3239"/>
      <c r="O349" s="3394"/>
      <c r="P349" s="3394"/>
      <c r="Q349" s="3394"/>
      <c r="R349" s="3239"/>
      <c r="S349" s="3239"/>
      <c r="T349" s="3239" t="str">
        <f t="shared" si="6"/>
        <v>有</v>
      </c>
    </row>
    <row r="350" spans="1:20">
      <c r="A350" s="3394">
        <v>348</v>
      </c>
      <c r="B350" s="3394">
        <v>1</v>
      </c>
      <c r="C350" s="3394">
        <v>1</v>
      </c>
      <c r="D350" s="3400">
        <v>1030</v>
      </c>
      <c r="E350" s="3237">
        <v>1034</v>
      </c>
      <c r="F350" s="3239">
        <v>1</v>
      </c>
      <c r="G350" s="3239">
        <v>1</v>
      </c>
      <c r="H350" s="3239">
        <v>1</v>
      </c>
      <c r="I350" s="3237" t="s">
        <v>3295</v>
      </c>
      <c r="J350" s="3237">
        <v>50</v>
      </c>
      <c r="K350" s="3401">
        <v>57.87</v>
      </c>
      <c r="L350" s="3402">
        <v>40.32</v>
      </c>
      <c r="M350" s="3239"/>
      <c r="N350" s="3239"/>
      <c r="O350" s="3394"/>
      <c r="P350" s="3394"/>
      <c r="Q350" s="3394"/>
      <c r="R350" s="3239"/>
      <c r="S350" s="3239"/>
      <c r="T350" s="3239" t="str">
        <f t="shared" si="6"/>
        <v>有</v>
      </c>
    </row>
    <row r="351" spans="1:20" hidden="1">
      <c r="A351" s="3394">
        <v>349</v>
      </c>
      <c r="B351" s="3394">
        <v>1</v>
      </c>
      <c r="C351" s="3394">
        <v>1</v>
      </c>
      <c r="D351" s="3400">
        <v>1031</v>
      </c>
      <c r="E351" s="3237">
        <v>1004</v>
      </c>
      <c r="F351" s="3239">
        <v>1</v>
      </c>
      <c r="G351" s="3239">
        <v>0</v>
      </c>
      <c r="H351" s="3239">
        <v>1</v>
      </c>
      <c r="I351" s="3257" t="s">
        <v>3304</v>
      </c>
      <c r="J351" s="3237" t="s">
        <v>3306</v>
      </c>
      <c r="K351" s="3401">
        <v>46.3</v>
      </c>
      <c r="L351" s="3402">
        <v>32.26</v>
      </c>
      <c r="M351" s="3239"/>
      <c r="N351" s="3239"/>
      <c r="O351" s="3394"/>
      <c r="P351" s="3394"/>
      <c r="Q351" s="3394"/>
      <c r="R351" s="3239"/>
      <c r="S351" s="3239"/>
      <c r="T351" s="3239" t="str">
        <f t="shared" si="6"/>
        <v>无</v>
      </c>
    </row>
    <row r="352" spans="1:20">
      <c r="A352" s="3394">
        <v>350</v>
      </c>
      <c r="B352" s="3394">
        <v>1</v>
      </c>
      <c r="C352" s="3394">
        <v>1</v>
      </c>
      <c r="D352" s="3400">
        <v>1032</v>
      </c>
      <c r="E352" s="3237">
        <v>1035</v>
      </c>
      <c r="F352" s="3239">
        <v>1</v>
      </c>
      <c r="G352" s="3239">
        <v>1</v>
      </c>
      <c r="H352" s="3239">
        <v>1</v>
      </c>
      <c r="I352" s="3237" t="s">
        <v>3295</v>
      </c>
      <c r="J352" s="3237">
        <v>50</v>
      </c>
      <c r="K352" s="3401">
        <v>57.87</v>
      </c>
      <c r="L352" s="3402">
        <v>40.32</v>
      </c>
      <c r="M352" s="3239"/>
      <c r="N352" s="3239"/>
      <c r="O352" s="3394"/>
      <c r="P352" s="3394"/>
      <c r="Q352" s="3394"/>
      <c r="R352" s="3239"/>
      <c r="S352" s="3239"/>
      <c r="T352" s="3239" t="str">
        <f t="shared" si="6"/>
        <v>有</v>
      </c>
    </row>
    <row r="353" spans="1:20" hidden="1">
      <c r="A353" s="3394">
        <v>351</v>
      </c>
      <c r="B353" s="3394">
        <v>1</v>
      </c>
      <c r="C353" s="3394">
        <v>1</v>
      </c>
      <c r="D353" s="3400">
        <v>1033</v>
      </c>
      <c r="E353" s="3237">
        <v>1003</v>
      </c>
      <c r="F353" s="3239">
        <v>1</v>
      </c>
      <c r="G353" s="3239">
        <v>0</v>
      </c>
      <c r="H353" s="3239">
        <v>1</v>
      </c>
      <c r="I353" s="3257" t="s">
        <v>3304</v>
      </c>
      <c r="J353" s="3237" t="s">
        <v>3305</v>
      </c>
      <c r="K353" s="3401">
        <v>45.27</v>
      </c>
      <c r="L353" s="3402">
        <v>31.54</v>
      </c>
      <c r="M353" s="3239"/>
      <c r="N353" s="3239"/>
      <c r="O353" s="3394"/>
      <c r="P353" s="3394"/>
      <c r="Q353" s="3394"/>
      <c r="R353" s="3239"/>
      <c r="S353" s="3239"/>
      <c r="T353" s="3239" t="str">
        <f t="shared" si="6"/>
        <v>无</v>
      </c>
    </row>
    <row r="354" spans="1:20" hidden="1">
      <c r="A354" s="3394">
        <v>352</v>
      </c>
      <c r="B354" s="3394">
        <v>1</v>
      </c>
      <c r="C354" s="3394">
        <v>1</v>
      </c>
      <c r="D354" s="3400">
        <v>1034</v>
      </c>
      <c r="E354" s="3237">
        <v>1002</v>
      </c>
      <c r="F354" s="3239">
        <v>1</v>
      </c>
      <c r="G354" s="3239">
        <v>0</v>
      </c>
      <c r="H354" s="3239">
        <v>1</v>
      </c>
      <c r="I354" s="3257" t="s">
        <v>3304</v>
      </c>
      <c r="J354" s="3237" t="s">
        <v>3305</v>
      </c>
      <c r="K354" s="3401">
        <v>45.27</v>
      </c>
      <c r="L354" s="3402">
        <v>31.54</v>
      </c>
      <c r="M354" s="3239"/>
      <c r="N354" s="3239"/>
      <c r="O354" s="3394"/>
      <c r="P354" s="3394"/>
      <c r="Q354" s="3394"/>
      <c r="R354" s="3239"/>
      <c r="S354" s="3239"/>
      <c r="T354" s="3239" t="str">
        <f t="shared" si="6"/>
        <v>无</v>
      </c>
    </row>
    <row r="355" spans="1:20">
      <c r="A355" s="3394">
        <v>353</v>
      </c>
      <c r="B355" s="3394">
        <v>1</v>
      </c>
      <c r="C355" s="3394">
        <v>1</v>
      </c>
      <c r="D355" s="3400">
        <v>1035</v>
      </c>
      <c r="E355" s="3237">
        <v>1036</v>
      </c>
      <c r="F355" s="3239">
        <v>1</v>
      </c>
      <c r="G355" s="3239">
        <v>1</v>
      </c>
      <c r="H355" s="3239">
        <v>1</v>
      </c>
      <c r="I355" s="3237" t="s">
        <v>3295</v>
      </c>
      <c r="J355" s="3237">
        <v>50</v>
      </c>
      <c r="K355" s="3401">
        <v>57.87</v>
      </c>
      <c r="L355" s="3402">
        <v>40.32</v>
      </c>
      <c r="M355" s="3239"/>
      <c r="N355" s="3239"/>
      <c r="O355" s="3394"/>
      <c r="P355" s="3394"/>
      <c r="Q355" s="3394"/>
      <c r="R355" s="3239"/>
      <c r="S355" s="3239"/>
      <c r="T355" s="3239" t="str">
        <f t="shared" si="6"/>
        <v>有</v>
      </c>
    </row>
    <row r="356" spans="1:20" hidden="1">
      <c r="A356" s="3394">
        <v>354</v>
      </c>
      <c r="B356" s="3394">
        <v>1</v>
      </c>
      <c r="C356" s="3394">
        <v>1</v>
      </c>
      <c r="D356" s="3400">
        <v>1036</v>
      </c>
      <c r="E356" s="3237">
        <v>1037</v>
      </c>
      <c r="F356" s="3239">
        <v>1</v>
      </c>
      <c r="G356" s="3239">
        <v>0</v>
      </c>
      <c r="H356" s="3239">
        <v>1</v>
      </c>
      <c r="I356" s="3237" t="s">
        <v>3295</v>
      </c>
      <c r="J356" s="3257" t="s">
        <v>3322</v>
      </c>
      <c r="K356" s="3401">
        <v>49.52</v>
      </c>
      <c r="L356" s="3402">
        <v>34.5</v>
      </c>
      <c r="M356" s="3239"/>
      <c r="N356" s="3239"/>
      <c r="O356" s="3394"/>
      <c r="P356" s="3394"/>
      <c r="Q356" s="3394"/>
      <c r="R356" s="3239"/>
      <c r="S356" s="3239"/>
      <c r="T356" s="3239" t="str">
        <f t="shared" si="6"/>
        <v>无</v>
      </c>
    </row>
    <row r="357" spans="1:20">
      <c r="A357" s="3394">
        <v>355</v>
      </c>
      <c r="B357" s="3394">
        <v>1</v>
      </c>
      <c r="C357" s="3394">
        <v>1</v>
      </c>
      <c r="D357" s="3400">
        <v>1037</v>
      </c>
      <c r="E357" s="3237">
        <v>1001</v>
      </c>
      <c r="F357" s="3239">
        <v>1</v>
      </c>
      <c r="G357" s="3239">
        <v>1</v>
      </c>
      <c r="H357" s="3239">
        <v>1</v>
      </c>
      <c r="I357" s="3237" t="s">
        <v>3302</v>
      </c>
      <c r="J357" s="3237" t="s">
        <v>3303</v>
      </c>
      <c r="K357" s="3401">
        <v>58.16</v>
      </c>
      <c r="L357" s="3402">
        <v>40.520000000000003</v>
      </c>
      <c r="M357" s="3239"/>
      <c r="N357" s="3239"/>
      <c r="O357" s="3394"/>
      <c r="P357" s="3395"/>
      <c r="Q357" s="3395"/>
      <c r="R357" s="3239"/>
      <c r="S357" s="3239"/>
      <c r="T357" s="3239" t="str">
        <f t="shared" si="6"/>
        <v>有</v>
      </c>
    </row>
    <row r="358" spans="1:20" hidden="1">
      <c r="A358" s="3394">
        <v>356</v>
      </c>
      <c r="B358" s="3394">
        <v>1</v>
      </c>
      <c r="C358" s="3394">
        <v>1</v>
      </c>
      <c r="D358" s="3400">
        <v>1038</v>
      </c>
      <c r="E358" s="3237">
        <v>1039</v>
      </c>
      <c r="F358" s="3239">
        <v>1</v>
      </c>
      <c r="G358" s="3239">
        <v>0</v>
      </c>
      <c r="H358" s="3239">
        <v>1</v>
      </c>
      <c r="I358" s="3237" t="s">
        <v>3300</v>
      </c>
      <c r="J358" s="3237" t="s">
        <v>3323</v>
      </c>
      <c r="K358" s="3401">
        <v>46.53</v>
      </c>
      <c r="L358" s="3402">
        <v>32.42</v>
      </c>
      <c r="M358" s="3239"/>
      <c r="N358" s="3239"/>
      <c r="O358" s="3394"/>
      <c r="P358" s="3394"/>
      <c r="Q358" s="3394"/>
      <c r="R358" s="3239"/>
      <c r="S358" s="3239"/>
      <c r="T358" s="3239" t="str">
        <f t="shared" si="6"/>
        <v>无</v>
      </c>
    </row>
    <row r="359" spans="1:20" hidden="1">
      <c r="A359" s="3394">
        <v>357</v>
      </c>
      <c r="B359" s="3394">
        <v>1</v>
      </c>
      <c r="C359" s="3394">
        <v>1</v>
      </c>
      <c r="D359" s="3400">
        <v>1039</v>
      </c>
      <c r="E359" s="3237">
        <v>1038</v>
      </c>
      <c r="F359" s="3239">
        <v>1</v>
      </c>
      <c r="G359" s="3239">
        <v>0</v>
      </c>
      <c r="H359" s="3239">
        <v>1</v>
      </c>
      <c r="I359" s="3237" t="s">
        <v>3295</v>
      </c>
      <c r="J359" s="3237" t="s">
        <v>3500</v>
      </c>
      <c r="K359" s="3401">
        <v>50.61</v>
      </c>
      <c r="L359" s="3402">
        <v>35.26</v>
      </c>
      <c r="M359" s="3239"/>
      <c r="N359" s="3239"/>
      <c r="O359" s="3394"/>
      <c r="P359" s="3394"/>
      <c r="Q359" s="3394"/>
      <c r="R359" s="3239"/>
      <c r="S359" s="3239"/>
      <c r="T359" s="3239" t="str">
        <f t="shared" si="6"/>
        <v>无</v>
      </c>
    </row>
    <row r="360" spans="1:20">
      <c r="A360" s="3394">
        <v>358</v>
      </c>
      <c r="B360" s="3394">
        <v>1</v>
      </c>
      <c r="C360" s="3394">
        <v>1</v>
      </c>
      <c r="D360" s="3400">
        <v>1101</v>
      </c>
      <c r="E360" s="3237">
        <v>1116</v>
      </c>
      <c r="F360" s="3239">
        <v>1</v>
      </c>
      <c r="G360" s="3239">
        <v>1</v>
      </c>
      <c r="H360" s="3239">
        <v>1</v>
      </c>
      <c r="I360" s="3257" t="s">
        <v>3312</v>
      </c>
      <c r="J360" s="3237" t="s">
        <v>3314</v>
      </c>
      <c r="K360" s="3401">
        <v>57.37</v>
      </c>
      <c r="L360" s="3402">
        <v>39.97</v>
      </c>
      <c r="M360" s="3239"/>
      <c r="N360" s="3239"/>
      <c r="O360" s="3394"/>
      <c r="P360" s="3394"/>
      <c r="Q360" s="3394"/>
      <c r="R360" s="3239"/>
      <c r="S360" s="3239"/>
      <c r="T360" s="3239" t="str">
        <f t="shared" si="6"/>
        <v>有</v>
      </c>
    </row>
    <row r="361" spans="1:20">
      <c r="A361" s="3394">
        <v>359</v>
      </c>
      <c r="B361" s="3394">
        <v>1</v>
      </c>
      <c r="C361" s="3394">
        <v>1</v>
      </c>
      <c r="D361" s="3400">
        <v>1102</v>
      </c>
      <c r="E361" s="3237">
        <v>1118</v>
      </c>
      <c r="F361" s="3239">
        <v>1</v>
      </c>
      <c r="G361" s="3239">
        <v>1</v>
      </c>
      <c r="H361" s="3239">
        <v>1</v>
      </c>
      <c r="I361" s="3257" t="s">
        <v>3312</v>
      </c>
      <c r="J361" s="3237">
        <v>50</v>
      </c>
      <c r="K361" s="3401">
        <v>57.87</v>
      </c>
      <c r="L361" s="3402">
        <v>40.32</v>
      </c>
      <c r="M361" s="3239"/>
      <c r="N361" s="3239"/>
      <c r="O361" s="3394"/>
      <c r="P361" s="3394"/>
      <c r="Q361" s="3394"/>
      <c r="R361" s="3239"/>
      <c r="S361" s="3239"/>
      <c r="T361" s="3239" t="str">
        <f t="shared" si="6"/>
        <v>有</v>
      </c>
    </row>
    <row r="362" spans="1:20">
      <c r="A362" s="3394">
        <v>360</v>
      </c>
      <c r="B362" s="3394">
        <v>1</v>
      </c>
      <c r="C362" s="3394">
        <v>1</v>
      </c>
      <c r="D362" s="3400">
        <v>1103</v>
      </c>
      <c r="E362" s="3237">
        <v>1117</v>
      </c>
      <c r="F362" s="3239">
        <v>1</v>
      </c>
      <c r="G362" s="3239">
        <v>1</v>
      </c>
      <c r="H362" s="3239">
        <v>1</v>
      </c>
      <c r="I362" s="3257" t="s">
        <v>3312</v>
      </c>
      <c r="J362" s="3237">
        <v>50</v>
      </c>
      <c r="K362" s="3401">
        <v>57.87</v>
      </c>
      <c r="L362" s="3402">
        <v>40.32</v>
      </c>
      <c r="M362" s="3239"/>
      <c r="N362" s="3239"/>
      <c r="O362" s="3394"/>
      <c r="P362" s="3394"/>
      <c r="Q362" s="3394"/>
      <c r="R362" s="3239"/>
      <c r="S362" s="3239"/>
      <c r="T362" s="3239" t="str">
        <f t="shared" si="6"/>
        <v>有</v>
      </c>
    </row>
    <row r="363" spans="1:20">
      <c r="A363" s="3394">
        <v>361</v>
      </c>
      <c r="B363" s="3394">
        <v>1</v>
      </c>
      <c r="C363" s="3394">
        <v>1</v>
      </c>
      <c r="D363" s="3400">
        <v>1104</v>
      </c>
      <c r="E363" s="3237">
        <v>1119</v>
      </c>
      <c r="F363" s="3239">
        <v>1</v>
      </c>
      <c r="G363" s="3239">
        <v>1</v>
      </c>
      <c r="H363" s="3239">
        <v>1</v>
      </c>
      <c r="I363" s="3257" t="s">
        <v>3312</v>
      </c>
      <c r="J363" s="3237" t="s">
        <v>3308</v>
      </c>
      <c r="K363" s="3401">
        <v>57.23</v>
      </c>
      <c r="L363" s="3402">
        <v>39.869999999999997</v>
      </c>
      <c r="M363" s="3239"/>
      <c r="N363" s="3239"/>
      <c r="O363" s="3394"/>
      <c r="P363" s="3394"/>
      <c r="Q363" s="3394"/>
      <c r="R363" s="3239"/>
      <c r="S363" s="3239"/>
      <c r="T363" s="3239" t="str">
        <f t="shared" si="6"/>
        <v>有</v>
      </c>
    </row>
    <row r="364" spans="1:20">
      <c r="A364" s="3394">
        <v>362</v>
      </c>
      <c r="B364" s="3394">
        <v>1</v>
      </c>
      <c r="C364" s="3394">
        <v>1</v>
      </c>
      <c r="D364" s="3400">
        <v>1105</v>
      </c>
      <c r="E364" s="3237">
        <v>1120</v>
      </c>
      <c r="F364" s="3239">
        <v>1</v>
      </c>
      <c r="G364" s="3239">
        <v>1</v>
      </c>
      <c r="H364" s="3239">
        <v>1</v>
      </c>
      <c r="I364" s="3257" t="s">
        <v>3312</v>
      </c>
      <c r="J364" s="3257" t="s">
        <v>3315</v>
      </c>
      <c r="K364" s="3401">
        <v>59.16</v>
      </c>
      <c r="L364" s="3402">
        <v>41.22</v>
      </c>
      <c r="M364" s="3239"/>
      <c r="N364" s="3239"/>
      <c r="O364" s="3394"/>
      <c r="P364" s="3394"/>
      <c r="Q364" s="3394"/>
      <c r="R364" s="3239"/>
      <c r="S364" s="3239"/>
      <c r="T364" s="3239" t="str">
        <f t="shared" si="6"/>
        <v>有</v>
      </c>
    </row>
    <row r="365" spans="1:20">
      <c r="A365" s="3394">
        <v>363</v>
      </c>
      <c r="B365" s="3394">
        <v>1</v>
      </c>
      <c r="C365" s="3394">
        <v>1</v>
      </c>
      <c r="D365" s="3400">
        <v>1106</v>
      </c>
      <c r="E365" s="3237">
        <v>1121</v>
      </c>
      <c r="F365" s="3239">
        <v>4</v>
      </c>
      <c r="G365" s="3239">
        <v>1</v>
      </c>
      <c r="H365" s="3239">
        <v>1</v>
      </c>
      <c r="I365" s="3237" t="s">
        <v>3316</v>
      </c>
      <c r="J365" s="3237" t="s">
        <v>3317</v>
      </c>
      <c r="K365" s="3401">
        <v>108.7</v>
      </c>
      <c r="L365" s="3402">
        <v>75.73</v>
      </c>
      <c r="M365" s="3239"/>
      <c r="N365" s="3239"/>
      <c r="O365" s="3394"/>
      <c r="P365" s="3394"/>
      <c r="Q365" s="3394"/>
      <c r="R365" s="3239"/>
      <c r="S365" s="3239"/>
      <c r="T365" s="3239" t="str">
        <f t="shared" si="6"/>
        <v>有</v>
      </c>
    </row>
    <row r="366" spans="1:20">
      <c r="A366" s="3394">
        <v>364</v>
      </c>
      <c r="B366" s="3394">
        <v>1</v>
      </c>
      <c r="C366" s="3394">
        <v>1</v>
      </c>
      <c r="D366" s="3400">
        <v>1107</v>
      </c>
      <c r="E366" s="3237">
        <v>1114</v>
      </c>
      <c r="F366" s="3239">
        <v>1</v>
      </c>
      <c r="G366" s="3239">
        <v>1</v>
      </c>
      <c r="H366" s="3239">
        <v>1</v>
      </c>
      <c r="I366" s="3237" t="s">
        <v>3310</v>
      </c>
      <c r="J366" s="3237" t="s">
        <v>3311</v>
      </c>
      <c r="K366" s="3401">
        <v>55.32</v>
      </c>
      <c r="L366" s="3402">
        <v>38.54</v>
      </c>
      <c r="M366" s="3239"/>
      <c r="N366" s="3239"/>
      <c r="O366" s="3394"/>
      <c r="P366" s="3394"/>
      <c r="Q366" s="3394"/>
      <c r="R366" s="3239"/>
      <c r="S366" s="3239"/>
      <c r="T366" s="3239" t="str">
        <f t="shared" si="6"/>
        <v>有</v>
      </c>
    </row>
    <row r="367" spans="1:20">
      <c r="A367" s="3394">
        <v>365</v>
      </c>
      <c r="B367" s="3394">
        <v>1</v>
      </c>
      <c r="C367" s="3394">
        <v>1</v>
      </c>
      <c r="D367" s="3400">
        <v>1108</v>
      </c>
      <c r="E367" s="3237">
        <v>1115</v>
      </c>
      <c r="F367" s="3239">
        <v>2</v>
      </c>
      <c r="G367" s="3239">
        <v>1</v>
      </c>
      <c r="H367" s="3239">
        <v>1</v>
      </c>
      <c r="I367" s="3257" t="s">
        <v>3312</v>
      </c>
      <c r="J367" s="3237" t="s">
        <v>3313</v>
      </c>
      <c r="K367" s="3401">
        <v>96.55</v>
      </c>
      <c r="L367" s="3402">
        <v>67.27</v>
      </c>
      <c r="M367" s="3239"/>
      <c r="N367" s="3239"/>
      <c r="O367" s="3394"/>
      <c r="P367" s="3394"/>
      <c r="Q367" s="3394"/>
      <c r="R367" s="3239"/>
      <c r="S367" s="3239"/>
      <c r="T367" s="3239" t="str">
        <f t="shared" si="6"/>
        <v>有</v>
      </c>
    </row>
    <row r="368" spans="1:20">
      <c r="A368" s="3394">
        <v>366</v>
      </c>
      <c r="B368" s="3394">
        <v>1</v>
      </c>
      <c r="C368" s="3394">
        <v>1</v>
      </c>
      <c r="D368" s="3400">
        <v>1109</v>
      </c>
      <c r="E368" s="3237">
        <v>1113</v>
      </c>
      <c r="F368" s="3239">
        <v>1</v>
      </c>
      <c r="G368" s="3239">
        <v>1</v>
      </c>
      <c r="H368" s="3239">
        <v>1</v>
      </c>
      <c r="I368" s="3257" t="s">
        <v>3304</v>
      </c>
      <c r="J368" s="3257" t="s">
        <v>3309</v>
      </c>
      <c r="K368" s="3401">
        <v>57.35</v>
      </c>
      <c r="L368" s="3402">
        <v>39.96</v>
      </c>
      <c r="M368" s="3239"/>
      <c r="N368" s="3239"/>
      <c r="O368" s="3394"/>
      <c r="P368" s="3394"/>
      <c r="Q368" s="3394"/>
      <c r="R368" s="3239"/>
      <c r="S368" s="3239"/>
      <c r="T368" s="3239" t="str">
        <f t="shared" si="6"/>
        <v>有</v>
      </c>
    </row>
    <row r="369" spans="1:20">
      <c r="A369" s="3394">
        <v>367</v>
      </c>
      <c r="B369" s="3394">
        <v>1</v>
      </c>
      <c r="C369" s="3394">
        <v>1</v>
      </c>
      <c r="D369" s="3400">
        <v>1110</v>
      </c>
      <c r="E369" s="3237">
        <v>1122</v>
      </c>
      <c r="F369" s="3239">
        <v>4</v>
      </c>
      <c r="G369" s="3239">
        <v>1</v>
      </c>
      <c r="H369" s="3239">
        <v>1</v>
      </c>
      <c r="I369" s="3237" t="s">
        <v>3318</v>
      </c>
      <c r="J369" s="3237" t="s">
        <v>3319</v>
      </c>
      <c r="K369" s="3401">
        <v>108.7</v>
      </c>
      <c r="L369" s="3402">
        <v>75.73</v>
      </c>
      <c r="M369" s="3239"/>
      <c r="N369" s="3239"/>
      <c r="O369" s="3394"/>
      <c r="P369" s="3394"/>
      <c r="Q369" s="3394"/>
      <c r="R369" s="3239"/>
      <c r="S369" s="3239"/>
      <c r="T369" s="3239" t="str">
        <f t="shared" si="6"/>
        <v>有</v>
      </c>
    </row>
    <row r="370" spans="1:20">
      <c r="A370" s="3394">
        <v>368</v>
      </c>
      <c r="B370" s="3394">
        <v>1</v>
      </c>
      <c r="C370" s="3394">
        <v>1</v>
      </c>
      <c r="D370" s="3400">
        <v>1111</v>
      </c>
      <c r="E370" s="3237">
        <v>1124</v>
      </c>
      <c r="F370" s="3239">
        <v>1</v>
      </c>
      <c r="G370" s="3239">
        <v>1</v>
      </c>
      <c r="H370" s="3239">
        <v>1</v>
      </c>
      <c r="I370" s="3237" t="s">
        <v>3300</v>
      </c>
      <c r="J370" s="3237">
        <v>50</v>
      </c>
      <c r="K370" s="3401">
        <v>57.87</v>
      </c>
      <c r="L370" s="3402">
        <v>40.32</v>
      </c>
      <c r="M370" s="3239"/>
      <c r="N370" s="3239"/>
      <c r="O370" s="3394"/>
      <c r="P370" s="3394"/>
      <c r="Q370" s="3394"/>
      <c r="R370" s="3239"/>
      <c r="S370" s="3239"/>
      <c r="T370" s="3239" t="str">
        <f t="shared" si="6"/>
        <v>有</v>
      </c>
    </row>
    <row r="371" spans="1:20">
      <c r="A371" s="3394">
        <v>369</v>
      </c>
      <c r="B371" s="3394">
        <v>1</v>
      </c>
      <c r="C371" s="3394">
        <v>1</v>
      </c>
      <c r="D371" s="3400">
        <v>1112</v>
      </c>
      <c r="E371" s="3237">
        <v>1123</v>
      </c>
      <c r="F371" s="3239">
        <v>1</v>
      </c>
      <c r="G371" s="3239">
        <v>1</v>
      </c>
      <c r="H371" s="3239">
        <v>1</v>
      </c>
      <c r="I371" s="3237" t="s">
        <v>3300</v>
      </c>
      <c r="J371" s="3237" t="s">
        <v>3308</v>
      </c>
      <c r="K371" s="3401">
        <v>57.23</v>
      </c>
      <c r="L371" s="3402">
        <v>39.869999999999997</v>
      </c>
      <c r="M371" s="3239"/>
      <c r="N371" s="3239"/>
      <c r="O371" s="3394"/>
      <c r="P371" s="3394"/>
      <c r="Q371" s="3394"/>
      <c r="R371" s="3239"/>
      <c r="S371" s="3239"/>
      <c r="T371" s="3239" t="str">
        <f t="shared" si="6"/>
        <v>有</v>
      </c>
    </row>
    <row r="372" spans="1:20">
      <c r="A372" s="3394">
        <v>370</v>
      </c>
      <c r="B372" s="3394">
        <v>1</v>
      </c>
      <c r="C372" s="3394">
        <v>1</v>
      </c>
      <c r="D372" s="3400">
        <v>1113</v>
      </c>
      <c r="E372" s="3237">
        <v>1125</v>
      </c>
      <c r="F372" s="3239">
        <v>1</v>
      </c>
      <c r="G372" s="3239">
        <v>1</v>
      </c>
      <c r="H372" s="3239">
        <v>1</v>
      </c>
      <c r="I372" s="3237" t="s">
        <v>3300</v>
      </c>
      <c r="J372" s="3237" t="s">
        <v>3320</v>
      </c>
      <c r="K372" s="3401">
        <v>58.02</v>
      </c>
      <c r="L372" s="3402">
        <v>40.42</v>
      </c>
      <c r="M372" s="3239"/>
      <c r="N372" s="3239"/>
      <c r="O372" s="3394"/>
      <c r="P372" s="3394"/>
      <c r="Q372" s="3394"/>
      <c r="R372" s="3239"/>
      <c r="S372" s="3239"/>
      <c r="T372" s="3239" t="str">
        <f t="shared" si="6"/>
        <v>有</v>
      </c>
    </row>
    <row r="373" spans="1:20">
      <c r="A373" s="3394">
        <v>371</v>
      </c>
      <c r="B373" s="3394">
        <v>1</v>
      </c>
      <c r="C373" s="3394">
        <v>1</v>
      </c>
      <c r="D373" s="3400">
        <v>1114</v>
      </c>
      <c r="E373" s="3237">
        <v>1112</v>
      </c>
      <c r="F373" s="3239">
        <v>1</v>
      </c>
      <c r="G373" s="3239">
        <v>1</v>
      </c>
      <c r="H373" s="3239">
        <v>1</v>
      </c>
      <c r="I373" s="3257" t="s">
        <v>3304</v>
      </c>
      <c r="J373" s="3237" t="s">
        <v>3308</v>
      </c>
      <c r="K373" s="3401">
        <v>57.23</v>
      </c>
      <c r="L373" s="3402">
        <v>39.869999999999997</v>
      </c>
      <c r="M373" s="3239"/>
      <c r="N373" s="3239"/>
      <c r="O373" s="3394"/>
      <c r="P373" s="3394"/>
      <c r="Q373" s="3394"/>
      <c r="R373" s="3239"/>
      <c r="S373" s="3239"/>
      <c r="T373" s="3239" t="str">
        <f t="shared" si="6"/>
        <v>有</v>
      </c>
    </row>
    <row r="374" spans="1:20" hidden="1">
      <c r="A374" s="3394">
        <v>372</v>
      </c>
      <c r="B374" s="3394">
        <v>1</v>
      </c>
      <c r="C374" s="3394">
        <v>1</v>
      </c>
      <c r="D374" s="3400">
        <v>1115</v>
      </c>
      <c r="E374" s="3237">
        <v>1111</v>
      </c>
      <c r="F374" s="3239">
        <v>1</v>
      </c>
      <c r="G374" s="3239">
        <v>0</v>
      </c>
      <c r="H374" s="3239">
        <v>1</v>
      </c>
      <c r="I374" s="3257" t="s">
        <v>3304</v>
      </c>
      <c r="J374" s="3237" t="s">
        <v>3307</v>
      </c>
      <c r="K374" s="3401">
        <v>45.9</v>
      </c>
      <c r="L374" s="3402">
        <v>31.98</v>
      </c>
      <c r="M374" s="3239"/>
      <c r="N374" s="3239"/>
      <c r="O374" s="3394"/>
      <c r="P374" s="3394"/>
      <c r="Q374" s="3394"/>
      <c r="R374" s="3239"/>
      <c r="S374" s="3239"/>
      <c r="T374" s="3239" t="str">
        <f t="shared" si="6"/>
        <v>无</v>
      </c>
    </row>
    <row r="375" spans="1:20">
      <c r="A375" s="3394">
        <v>373</v>
      </c>
      <c r="B375" s="3394">
        <v>1</v>
      </c>
      <c r="C375" s="3394">
        <v>1</v>
      </c>
      <c r="D375" s="3400">
        <v>1116</v>
      </c>
      <c r="E375" s="3237">
        <v>1126</v>
      </c>
      <c r="F375" s="3239">
        <v>1</v>
      </c>
      <c r="G375" s="3239">
        <v>1</v>
      </c>
      <c r="H375" s="3239">
        <v>1</v>
      </c>
      <c r="I375" s="3237" t="s">
        <v>3295</v>
      </c>
      <c r="J375" s="3237" t="s">
        <v>3321</v>
      </c>
      <c r="K375" s="3401">
        <v>61.09</v>
      </c>
      <c r="L375" s="3402">
        <v>42.56</v>
      </c>
      <c r="M375" s="3239"/>
      <c r="N375" s="3239"/>
      <c r="O375" s="3394"/>
      <c r="P375" s="3394"/>
      <c r="Q375" s="3394"/>
      <c r="R375" s="3239"/>
      <c r="S375" s="3239"/>
      <c r="T375" s="3239" t="str">
        <f t="shared" si="6"/>
        <v>有</v>
      </c>
    </row>
    <row r="376" spans="1:20" hidden="1">
      <c r="A376" s="3394">
        <v>374</v>
      </c>
      <c r="B376" s="3394">
        <v>1</v>
      </c>
      <c r="C376" s="3394">
        <v>1</v>
      </c>
      <c r="D376" s="3400">
        <v>1117</v>
      </c>
      <c r="E376" s="3237">
        <v>1110</v>
      </c>
      <c r="F376" s="3239">
        <v>1</v>
      </c>
      <c r="G376" s="3239">
        <v>0</v>
      </c>
      <c r="H376" s="3239">
        <v>1</v>
      </c>
      <c r="I376" s="3257" t="s">
        <v>3304</v>
      </c>
      <c r="J376" s="3237" t="s">
        <v>3305</v>
      </c>
      <c r="K376" s="3401">
        <v>45.27</v>
      </c>
      <c r="L376" s="3402">
        <v>31.54</v>
      </c>
      <c r="M376" s="3239"/>
      <c r="N376" s="3239"/>
      <c r="O376" s="3394">
        <v>2.9</v>
      </c>
      <c r="P376" s="3394" t="s">
        <v>3363</v>
      </c>
      <c r="Q376" s="3394" t="s">
        <v>3482</v>
      </c>
      <c r="R376" s="3239"/>
      <c r="S376" s="3239"/>
      <c r="T376" s="3239" t="str">
        <f t="shared" si="6"/>
        <v>无</v>
      </c>
    </row>
    <row r="377" spans="1:20">
      <c r="A377" s="3394">
        <v>375</v>
      </c>
      <c r="B377" s="3394">
        <v>1</v>
      </c>
      <c r="C377" s="3394">
        <v>1</v>
      </c>
      <c r="D377" s="3400">
        <v>1118</v>
      </c>
      <c r="E377" s="3237">
        <v>1127</v>
      </c>
      <c r="F377" s="3239">
        <v>1</v>
      </c>
      <c r="G377" s="3239">
        <v>1</v>
      </c>
      <c r="H377" s="3239">
        <v>1</v>
      </c>
      <c r="I377" s="3237" t="s">
        <v>3295</v>
      </c>
      <c r="J377" s="3237">
        <v>50</v>
      </c>
      <c r="K377" s="3401">
        <v>57.87</v>
      </c>
      <c r="L377" s="3402">
        <v>40.32</v>
      </c>
      <c r="M377" s="3239"/>
      <c r="N377" s="3239"/>
      <c r="O377" s="3394"/>
      <c r="P377" s="3394"/>
      <c r="Q377" s="3394"/>
      <c r="R377" s="3239"/>
      <c r="S377" s="3239"/>
      <c r="T377" s="3239" t="str">
        <f t="shared" si="6"/>
        <v>有</v>
      </c>
    </row>
    <row r="378" spans="1:20" hidden="1">
      <c r="A378" s="3394">
        <v>376</v>
      </c>
      <c r="B378" s="3394">
        <v>1</v>
      </c>
      <c r="C378" s="3394">
        <v>1</v>
      </c>
      <c r="D378" s="3400">
        <v>1119</v>
      </c>
      <c r="E378" s="3237">
        <v>1109</v>
      </c>
      <c r="F378" s="3239">
        <v>1</v>
      </c>
      <c r="G378" s="3239">
        <v>0</v>
      </c>
      <c r="H378" s="3239">
        <v>1</v>
      </c>
      <c r="I378" s="3257" t="s">
        <v>3304</v>
      </c>
      <c r="J378" s="3237" t="s">
        <v>3305</v>
      </c>
      <c r="K378" s="3401">
        <v>45.27</v>
      </c>
      <c r="L378" s="3402">
        <v>31.54</v>
      </c>
      <c r="M378" s="3239"/>
      <c r="N378" s="3239"/>
      <c r="O378" s="3394"/>
      <c r="P378" s="3394"/>
      <c r="Q378" s="3394"/>
      <c r="R378" s="3239"/>
      <c r="S378" s="3239"/>
      <c r="T378" s="3239" t="str">
        <f t="shared" si="6"/>
        <v>无</v>
      </c>
    </row>
    <row r="379" spans="1:20">
      <c r="A379" s="3394">
        <v>377</v>
      </c>
      <c r="B379" s="3394">
        <v>1</v>
      </c>
      <c r="C379" s="3394">
        <v>1</v>
      </c>
      <c r="D379" s="3400">
        <v>1120</v>
      </c>
      <c r="E379" s="3237">
        <v>1128</v>
      </c>
      <c r="F379" s="3239">
        <v>1</v>
      </c>
      <c r="G379" s="3239">
        <v>1</v>
      </c>
      <c r="H379" s="3239">
        <v>1</v>
      </c>
      <c r="I379" s="3237" t="s">
        <v>3295</v>
      </c>
      <c r="J379" s="3237">
        <v>50</v>
      </c>
      <c r="K379" s="3401">
        <v>57.87</v>
      </c>
      <c r="L379" s="3402">
        <v>40.32</v>
      </c>
      <c r="M379" s="3239"/>
      <c r="N379" s="3239"/>
      <c r="O379" s="3394"/>
      <c r="P379" s="3394"/>
      <c r="Q379" s="3394"/>
      <c r="R379" s="3239"/>
      <c r="S379" s="3239"/>
      <c r="T379" s="3239" t="str">
        <f t="shared" si="6"/>
        <v>有</v>
      </c>
    </row>
    <row r="380" spans="1:20" hidden="1">
      <c r="A380" s="3394">
        <v>378</v>
      </c>
      <c r="B380" s="3394">
        <v>1</v>
      </c>
      <c r="C380" s="3394">
        <v>1</v>
      </c>
      <c r="D380" s="3400">
        <v>1121</v>
      </c>
      <c r="E380" s="3237">
        <v>1108</v>
      </c>
      <c r="F380" s="3239">
        <v>1</v>
      </c>
      <c r="G380" s="3239">
        <v>0</v>
      </c>
      <c r="H380" s="3239">
        <v>1</v>
      </c>
      <c r="I380" s="3257" t="s">
        <v>3304</v>
      </c>
      <c r="J380" s="3237" t="s">
        <v>3305</v>
      </c>
      <c r="K380" s="3401">
        <v>45.27</v>
      </c>
      <c r="L380" s="3402">
        <v>31.54</v>
      </c>
      <c r="M380" s="3239"/>
      <c r="N380" s="3239"/>
      <c r="O380" s="3394"/>
      <c r="P380" s="3394"/>
      <c r="Q380" s="3394"/>
      <c r="R380" s="3239"/>
      <c r="S380" s="3239"/>
      <c r="T380" s="3239" t="str">
        <f t="shared" si="6"/>
        <v>无</v>
      </c>
    </row>
    <row r="381" spans="1:20">
      <c r="A381" s="3394">
        <v>379</v>
      </c>
      <c r="B381" s="3394">
        <v>1</v>
      </c>
      <c r="C381" s="3394">
        <v>1</v>
      </c>
      <c r="D381" s="3400">
        <v>1122</v>
      </c>
      <c r="E381" s="3237">
        <v>1129</v>
      </c>
      <c r="F381" s="3239">
        <v>1</v>
      </c>
      <c r="G381" s="3239">
        <v>1</v>
      </c>
      <c r="H381" s="3239">
        <v>1</v>
      </c>
      <c r="I381" s="3237" t="s">
        <v>3295</v>
      </c>
      <c r="J381" s="3237">
        <v>50</v>
      </c>
      <c r="K381" s="3401">
        <v>57.87</v>
      </c>
      <c r="L381" s="3402">
        <v>40.32</v>
      </c>
      <c r="M381" s="3239"/>
      <c r="N381" s="3239"/>
      <c r="O381" s="3394"/>
      <c r="P381" s="3394"/>
      <c r="Q381" s="3394"/>
      <c r="R381" s="3239"/>
      <c r="S381" s="3239"/>
      <c r="T381" s="3239" t="str">
        <f t="shared" si="6"/>
        <v>有</v>
      </c>
    </row>
    <row r="382" spans="1:20" hidden="1">
      <c r="A382" s="3394">
        <v>380</v>
      </c>
      <c r="B382" s="3394">
        <v>1</v>
      </c>
      <c r="C382" s="3394">
        <v>1</v>
      </c>
      <c r="D382" s="3400">
        <v>1123</v>
      </c>
      <c r="E382" s="3237">
        <v>1107</v>
      </c>
      <c r="F382" s="3239">
        <v>1</v>
      </c>
      <c r="G382" s="3239">
        <v>0</v>
      </c>
      <c r="H382" s="3239">
        <v>1</v>
      </c>
      <c r="I382" s="3257" t="s">
        <v>3304</v>
      </c>
      <c r="J382" s="3237" t="s">
        <v>3305</v>
      </c>
      <c r="K382" s="3401">
        <v>45.27</v>
      </c>
      <c r="L382" s="3402">
        <v>31.54</v>
      </c>
      <c r="M382" s="3239"/>
      <c r="N382" s="3239"/>
      <c r="O382" s="3394"/>
      <c r="P382" s="3394"/>
      <c r="Q382" s="3394"/>
      <c r="R382" s="3239"/>
      <c r="S382" s="3239"/>
      <c r="T382" s="3239" t="str">
        <f t="shared" si="6"/>
        <v>无</v>
      </c>
    </row>
    <row r="383" spans="1:20" hidden="1">
      <c r="A383" s="3394">
        <v>381</v>
      </c>
      <c r="B383" s="3394">
        <v>1</v>
      </c>
      <c r="C383" s="3394">
        <v>1</v>
      </c>
      <c r="D383" s="3400">
        <v>1124</v>
      </c>
      <c r="E383" s="3237">
        <v>1106</v>
      </c>
      <c r="F383" s="3239">
        <v>1</v>
      </c>
      <c r="G383" s="3239">
        <v>0</v>
      </c>
      <c r="H383" s="3239">
        <v>1</v>
      </c>
      <c r="I383" s="3257" t="s">
        <v>3304</v>
      </c>
      <c r="J383" s="3237" t="s">
        <v>3305</v>
      </c>
      <c r="K383" s="3401">
        <v>45.27</v>
      </c>
      <c r="L383" s="3402">
        <v>31.54</v>
      </c>
      <c r="M383" s="3239"/>
      <c r="N383" s="3239"/>
      <c r="O383" s="3394"/>
      <c r="P383" s="3394"/>
      <c r="Q383" s="3394"/>
      <c r="R383" s="3239"/>
      <c r="S383" s="3239"/>
      <c r="T383" s="3239" t="str">
        <f t="shared" si="6"/>
        <v>无</v>
      </c>
    </row>
    <row r="384" spans="1:20">
      <c r="A384" s="3394">
        <v>382</v>
      </c>
      <c r="B384" s="3394">
        <v>1</v>
      </c>
      <c r="C384" s="3394">
        <v>1</v>
      </c>
      <c r="D384" s="3400">
        <v>1125</v>
      </c>
      <c r="E384" s="3237">
        <v>1130</v>
      </c>
      <c r="F384" s="3239">
        <v>1</v>
      </c>
      <c r="G384" s="3239">
        <v>1</v>
      </c>
      <c r="H384" s="3239">
        <v>1</v>
      </c>
      <c r="I384" s="3237" t="s">
        <v>3295</v>
      </c>
      <c r="J384" s="3237">
        <v>50</v>
      </c>
      <c r="K384" s="3401">
        <v>57.87</v>
      </c>
      <c r="L384" s="3402">
        <v>40.32</v>
      </c>
      <c r="M384" s="3239"/>
      <c r="N384" s="3239"/>
      <c r="O384" s="3394"/>
      <c r="P384" s="3394"/>
      <c r="Q384" s="3394"/>
      <c r="R384" s="3239"/>
      <c r="S384" s="3239"/>
      <c r="T384" s="3239" t="str">
        <f t="shared" si="6"/>
        <v>有</v>
      </c>
    </row>
    <row r="385" spans="1:21" hidden="1">
      <c r="A385" s="3394">
        <v>383</v>
      </c>
      <c r="B385" s="3394">
        <v>1</v>
      </c>
      <c r="C385" s="3394">
        <v>1</v>
      </c>
      <c r="D385" s="3400">
        <v>1126</v>
      </c>
      <c r="E385" s="3394">
        <v>1105</v>
      </c>
      <c r="F385" s="3239">
        <v>1</v>
      </c>
      <c r="G385" s="3239">
        <v>0</v>
      </c>
      <c r="H385" s="3239">
        <v>1</v>
      </c>
      <c r="I385" s="3257" t="s">
        <v>3304</v>
      </c>
      <c r="J385" s="3237" t="s">
        <v>3306</v>
      </c>
      <c r="K385" s="3401">
        <v>46.3</v>
      </c>
      <c r="L385" s="3402">
        <v>32.26</v>
      </c>
      <c r="M385" s="3239"/>
      <c r="N385" s="3239"/>
      <c r="O385" s="3394"/>
      <c r="P385" s="3394"/>
      <c r="Q385" s="3394"/>
      <c r="R385" s="3239"/>
      <c r="S385" s="3239"/>
      <c r="T385" s="3239" t="str">
        <f t="shared" si="6"/>
        <v>无</v>
      </c>
    </row>
    <row r="386" spans="1:21">
      <c r="A386" s="3394">
        <v>384</v>
      </c>
      <c r="B386" s="3394">
        <v>1</v>
      </c>
      <c r="C386" s="3394">
        <v>1</v>
      </c>
      <c r="D386" s="3400">
        <v>1127</v>
      </c>
      <c r="E386" s="3237">
        <v>1131</v>
      </c>
      <c r="F386" s="3239">
        <v>1</v>
      </c>
      <c r="G386" s="3239">
        <v>1</v>
      </c>
      <c r="H386" s="3239">
        <v>1</v>
      </c>
      <c r="I386" s="3237" t="s">
        <v>3295</v>
      </c>
      <c r="J386" s="3237">
        <v>50</v>
      </c>
      <c r="K386" s="3401">
        <v>57.87</v>
      </c>
      <c r="L386" s="3402">
        <v>40.32</v>
      </c>
      <c r="M386" s="3239"/>
      <c r="N386" s="3239"/>
      <c r="O386" s="3394"/>
      <c r="P386" s="3394"/>
      <c r="Q386" s="3394"/>
      <c r="R386" s="3239"/>
      <c r="S386" s="3239"/>
      <c r="T386" s="3239" t="str">
        <f t="shared" si="6"/>
        <v>有</v>
      </c>
    </row>
    <row r="387" spans="1:21">
      <c r="A387" s="3394">
        <v>385</v>
      </c>
      <c r="B387" s="3394">
        <v>1</v>
      </c>
      <c r="C387" s="3394">
        <v>1</v>
      </c>
      <c r="D387" s="3400">
        <v>1129</v>
      </c>
      <c r="E387" s="3237">
        <v>1132</v>
      </c>
      <c r="F387" s="3239">
        <v>1</v>
      </c>
      <c r="G387" s="3239">
        <v>1</v>
      </c>
      <c r="H387" s="3239">
        <v>1</v>
      </c>
      <c r="I387" s="3237" t="s">
        <v>3295</v>
      </c>
      <c r="J387" s="3237">
        <v>50</v>
      </c>
      <c r="K387" s="3401">
        <v>57.87</v>
      </c>
      <c r="L387" s="3402">
        <v>40.32</v>
      </c>
      <c r="M387" s="3239"/>
      <c r="N387" s="3239"/>
      <c r="O387" s="3394"/>
      <c r="P387" s="3394"/>
      <c r="Q387" s="3394"/>
      <c r="R387" s="3239"/>
      <c r="S387" s="3239"/>
      <c r="T387" s="3239" t="str">
        <f t="shared" si="6"/>
        <v>有</v>
      </c>
    </row>
    <row r="388" spans="1:21">
      <c r="A388" s="3394">
        <v>386</v>
      </c>
      <c r="B388" s="3394">
        <v>1</v>
      </c>
      <c r="C388" s="3394">
        <v>1</v>
      </c>
      <c r="D388" s="3400">
        <v>1130</v>
      </c>
      <c r="E388" s="3237">
        <v>1133</v>
      </c>
      <c r="F388" s="3239">
        <v>1</v>
      </c>
      <c r="G388" s="3239">
        <v>1</v>
      </c>
      <c r="H388" s="3239">
        <v>1</v>
      </c>
      <c r="I388" s="3237" t="s">
        <v>3295</v>
      </c>
      <c r="J388" s="3237">
        <v>50</v>
      </c>
      <c r="K388" s="3401">
        <v>57.87</v>
      </c>
      <c r="L388" s="3402">
        <v>40.32</v>
      </c>
      <c r="M388" s="3239"/>
      <c r="N388" s="3239"/>
      <c r="O388" s="3394"/>
      <c r="P388" s="3394"/>
      <c r="Q388" s="3394"/>
      <c r="R388" s="3239"/>
      <c r="S388" s="3239"/>
      <c r="T388" s="3239" t="str">
        <f t="shared" ref="T388:T451" si="7">IF(OR(J388="无障碍宿舍",J388="无障碍宿舍-01",J388="无障碍宿舍-02",J388="40平",J388="40平-01",J388="40平-02",J388="40平-03",J388="40平-04",J388="40平-06",J388="40平-07",J388="D2"),"无","有")</f>
        <v>有</v>
      </c>
    </row>
    <row r="389" spans="1:21">
      <c r="A389" s="3394">
        <v>387</v>
      </c>
      <c r="B389" s="3394">
        <v>1</v>
      </c>
      <c r="C389" s="3394">
        <v>1</v>
      </c>
      <c r="D389" s="3400">
        <v>1131</v>
      </c>
      <c r="E389" s="3237">
        <v>1134</v>
      </c>
      <c r="F389" s="3239">
        <v>1</v>
      </c>
      <c r="G389" s="3239">
        <v>1</v>
      </c>
      <c r="H389" s="3239">
        <v>1</v>
      </c>
      <c r="I389" s="3237" t="s">
        <v>3295</v>
      </c>
      <c r="J389" s="3237">
        <v>50</v>
      </c>
      <c r="K389" s="3401">
        <v>57.87</v>
      </c>
      <c r="L389" s="3402">
        <v>40.32</v>
      </c>
      <c r="M389" s="3239"/>
      <c r="N389" s="3239"/>
      <c r="O389" s="3394"/>
      <c r="P389" s="3394"/>
      <c r="Q389" s="3394"/>
      <c r="R389" s="3239"/>
      <c r="S389" s="3239"/>
      <c r="T389" s="3239" t="str">
        <f t="shared" si="7"/>
        <v>有</v>
      </c>
    </row>
    <row r="390" spans="1:21" hidden="1">
      <c r="A390" s="3394">
        <v>388</v>
      </c>
      <c r="B390" s="3394">
        <v>1</v>
      </c>
      <c r="C390" s="3394">
        <v>1</v>
      </c>
      <c r="D390" s="3400">
        <v>1132</v>
      </c>
      <c r="E390" s="3237">
        <v>1104</v>
      </c>
      <c r="F390" s="3239">
        <v>1</v>
      </c>
      <c r="G390" s="3239">
        <v>0</v>
      </c>
      <c r="H390" s="3239">
        <v>1</v>
      </c>
      <c r="I390" s="3257" t="s">
        <v>3304</v>
      </c>
      <c r="J390" s="3237" t="s">
        <v>3306</v>
      </c>
      <c r="K390" s="3401">
        <v>46.3</v>
      </c>
      <c r="L390" s="3402">
        <v>32.26</v>
      </c>
      <c r="M390" s="3239"/>
      <c r="N390" s="3239"/>
      <c r="O390" s="3394"/>
      <c r="P390" s="3394"/>
      <c r="Q390" s="3394"/>
      <c r="R390" s="3239"/>
      <c r="S390" s="3239"/>
      <c r="T390" s="3239" t="str">
        <f t="shared" si="7"/>
        <v>无</v>
      </c>
    </row>
    <row r="391" spans="1:21">
      <c r="A391" s="3394">
        <v>389</v>
      </c>
      <c r="B391" s="3394">
        <v>1</v>
      </c>
      <c r="C391" s="3394">
        <v>1</v>
      </c>
      <c r="D391" s="3400">
        <v>1133</v>
      </c>
      <c r="E391" s="3237">
        <v>1135</v>
      </c>
      <c r="F391" s="3239">
        <v>1</v>
      </c>
      <c r="G391" s="3239">
        <v>1</v>
      </c>
      <c r="H391" s="3239">
        <v>1</v>
      </c>
      <c r="I391" s="3237" t="s">
        <v>3295</v>
      </c>
      <c r="J391" s="3237">
        <v>50</v>
      </c>
      <c r="K391" s="3401">
        <v>58.32</v>
      </c>
      <c r="L391" s="3402">
        <v>40.630000000000003</v>
      </c>
      <c r="M391" s="3239"/>
      <c r="N391" s="3239"/>
      <c r="O391" s="3394"/>
      <c r="P391" s="3394"/>
      <c r="Q391" s="3394"/>
      <c r="R391" s="3239"/>
      <c r="S391" s="3239"/>
      <c r="T391" s="3239" t="str">
        <f t="shared" si="7"/>
        <v>有</v>
      </c>
    </row>
    <row r="392" spans="1:21" hidden="1">
      <c r="A392" s="3394">
        <v>390</v>
      </c>
      <c r="B392" s="3394">
        <v>1</v>
      </c>
      <c r="C392" s="3394">
        <v>1</v>
      </c>
      <c r="D392" s="3400">
        <v>1134</v>
      </c>
      <c r="E392" s="3237">
        <v>1103</v>
      </c>
      <c r="F392" s="3239">
        <v>1</v>
      </c>
      <c r="G392" s="3239">
        <v>0</v>
      </c>
      <c r="H392" s="3239">
        <v>1</v>
      </c>
      <c r="I392" s="3257" t="s">
        <v>3304</v>
      </c>
      <c r="J392" s="3237" t="s">
        <v>3305</v>
      </c>
      <c r="K392" s="3401">
        <v>47.95</v>
      </c>
      <c r="L392" s="3402">
        <v>33.409999999999997</v>
      </c>
      <c r="M392" s="3239"/>
      <c r="N392" s="3239"/>
      <c r="O392" s="3394"/>
      <c r="P392" s="3395"/>
      <c r="Q392" s="3395"/>
      <c r="R392" s="3239"/>
      <c r="S392" s="3239"/>
      <c r="T392" s="3239" t="str">
        <f t="shared" si="7"/>
        <v>无</v>
      </c>
    </row>
    <row r="393" spans="1:21" hidden="1">
      <c r="A393" s="3393">
        <v>391</v>
      </c>
      <c r="B393" s="3393">
        <v>2</v>
      </c>
      <c r="C393" s="3393">
        <v>1</v>
      </c>
      <c r="D393" s="3393">
        <v>203</v>
      </c>
      <c r="E393" s="3275">
        <v>223</v>
      </c>
      <c r="F393" s="3276">
        <v>1</v>
      </c>
      <c r="G393" s="3276">
        <v>0</v>
      </c>
      <c r="H393" s="3276">
        <v>1</v>
      </c>
      <c r="I393" s="3275" t="s">
        <v>3332</v>
      </c>
      <c r="J393" s="3275" t="s">
        <v>3500</v>
      </c>
      <c r="K393" s="3409">
        <v>48.16</v>
      </c>
      <c r="L393" s="3412">
        <v>35.26</v>
      </c>
      <c r="M393" s="3276"/>
      <c r="N393" s="3276"/>
      <c r="O393" s="3392"/>
      <c r="P393" s="3393"/>
      <c r="Q393" s="3393"/>
      <c r="R393" s="3276"/>
      <c r="S393" s="3276"/>
      <c r="T393" s="3239" t="str">
        <f t="shared" si="7"/>
        <v>无</v>
      </c>
      <c r="U393">
        <f>SUM(K393:K782)</f>
        <v>21377.599999999969</v>
      </c>
    </row>
    <row r="394" spans="1:21" hidden="1">
      <c r="A394" s="3393">
        <v>392</v>
      </c>
      <c r="B394" s="3393">
        <v>2</v>
      </c>
      <c r="C394" s="3393">
        <v>1</v>
      </c>
      <c r="D394" s="3393">
        <v>204</v>
      </c>
      <c r="E394" s="3275">
        <v>222</v>
      </c>
      <c r="F394" s="3276">
        <v>1</v>
      </c>
      <c r="G394" s="3276">
        <v>0</v>
      </c>
      <c r="H394" s="3276">
        <v>1</v>
      </c>
      <c r="I394" s="3275" t="s">
        <v>3312</v>
      </c>
      <c r="J394" s="3275" t="s">
        <v>3323</v>
      </c>
      <c r="K394" s="3409">
        <v>44.28</v>
      </c>
      <c r="L394" s="3412">
        <v>32.42</v>
      </c>
      <c r="M394" s="3276"/>
      <c r="N394" s="3276"/>
      <c r="O394" s="3392"/>
      <c r="P394" s="3393"/>
      <c r="Q394" s="3393"/>
      <c r="R394" s="3276"/>
      <c r="S394" s="3276"/>
      <c r="T394" s="3239" t="str">
        <f t="shared" si="7"/>
        <v>无</v>
      </c>
    </row>
    <row r="395" spans="1:21">
      <c r="A395" s="3393">
        <v>393</v>
      </c>
      <c r="B395" s="3393">
        <v>2</v>
      </c>
      <c r="C395" s="3393">
        <v>1</v>
      </c>
      <c r="D395" s="3393">
        <v>205</v>
      </c>
      <c r="E395" s="3275">
        <v>221</v>
      </c>
      <c r="F395" s="3276">
        <v>1</v>
      </c>
      <c r="G395" s="3276">
        <v>1</v>
      </c>
      <c r="H395" s="3276">
        <v>1</v>
      </c>
      <c r="I395" s="3275" t="s">
        <v>3310</v>
      </c>
      <c r="J395" s="3275" t="s">
        <v>3303</v>
      </c>
      <c r="K395" s="3409">
        <v>55.34</v>
      </c>
      <c r="L395" s="3412">
        <v>40.520000000000003</v>
      </c>
      <c r="M395" s="3276"/>
      <c r="N395" s="3276"/>
      <c r="O395" s="3392"/>
      <c r="P395" s="3393"/>
      <c r="Q395" s="3393"/>
      <c r="R395" s="3276"/>
      <c r="S395" s="3276"/>
      <c r="T395" s="3239" t="str">
        <f t="shared" si="7"/>
        <v>有</v>
      </c>
    </row>
    <row r="396" spans="1:21" hidden="1">
      <c r="A396" s="3393">
        <v>394</v>
      </c>
      <c r="B396" s="3393">
        <v>2</v>
      </c>
      <c r="C396" s="3393">
        <v>1</v>
      </c>
      <c r="D396" s="3393">
        <v>206</v>
      </c>
      <c r="E396" s="3275">
        <v>224</v>
      </c>
      <c r="F396" s="3276">
        <v>1</v>
      </c>
      <c r="G396" s="3276">
        <v>0</v>
      </c>
      <c r="H396" s="3276">
        <v>1</v>
      </c>
      <c r="I396" s="3275" t="s">
        <v>3332</v>
      </c>
      <c r="J396" s="3275" t="s">
        <v>3501</v>
      </c>
      <c r="K396" s="3409">
        <v>47.12</v>
      </c>
      <c r="L396" s="3412">
        <v>34.5</v>
      </c>
      <c r="M396" s="3276"/>
      <c r="N396" s="3276"/>
      <c r="O396" s="3392"/>
      <c r="P396" s="3393"/>
      <c r="Q396" s="3393"/>
      <c r="R396" s="3276"/>
      <c r="S396" s="3276"/>
      <c r="T396" s="3239" t="str">
        <f t="shared" si="7"/>
        <v>无</v>
      </c>
    </row>
    <row r="397" spans="1:21">
      <c r="A397" s="3393">
        <v>395</v>
      </c>
      <c r="B397" s="3393">
        <v>2</v>
      </c>
      <c r="C397" s="3393">
        <v>1</v>
      </c>
      <c r="D397" s="3393">
        <v>207</v>
      </c>
      <c r="E397" s="3275">
        <v>225</v>
      </c>
      <c r="F397" s="3276">
        <v>1</v>
      </c>
      <c r="G397" s="3276">
        <v>1</v>
      </c>
      <c r="H397" s="3276">
        <v>1</v>
      </c>
      <c r="I397" s="3275" t="s">
        <v>3332</v>
      </c>
      <c r="J397" s="3275" t="s">
        <v>3335</v>
      </c>
      <c r="K397" s="3409">
        <v>55.07</v>
      </c>
      <c r="L397" s="3412">
        <v>40.32</v>
      </c>
      <c r="M397" s="3276"/>
      <c r="N397" s="3276"/>
      <c r="O397" s="3392"/>
      <c r="P397" s="3393"/>
      <c r="Q397" s="3393"/>
      <c r="R397" s="3276"/>
      <c r="S397" s="3276"/>
      <c r="T397" s="3239" t="str">
        <f t="shared" si="7"/>
        <v>有</v>
      </c>
    </row>
    <row r="398" spans="1:21" hidden="1">
      <c r="A398" s="3393">
        <v>396</v>
      </c>
      <c r="B398" s="3393">
        <v>2</v>
      </c>
      <c r="C398" s="3393">
        <v>1</v>
      </c>
      <c r="D398" s="3393">
        <v>208</v>
      </c>
      <c r="E398" s="3275">
        <v>220</v>
      </c>
      <c r="F398" s="3276">
        <v>1</v>
      </c>
      <c r="G398" s="3276">
        <v>0</v>
      </c>
      <c r="H398" s="3276">
        <v>1</v>
      </c>
      <c r="I398" s="3278" t="s">
        <v>3304</v>
      </c>
      <c r="J398" s="3275" t="s">
        <v>3305</v>
      </c>
      <c r="K398" s="3409">
        <v>43.08</v>
      </c>
      <c r="L398" s="3412">
        <v>31.54</v>
      </c>
      <c r="M398" s="3276"/>
      <c r="N398" s="3276"/>
      <c r="O398" s="3392"/>
      <c r="P398" s="3393"/>
      <c r="Q398" s="3393"/>
      <c r="R398" s="3276"/>
      <c r="S398" s="3276"/>
      <c r="T398" s="3239" t="str">
        <f t="shared" si="7"/>
        <v>无</v>
      </c>
    </row>
    <row r="399" spans="1:21" hidden="1">
      <c r="A399" s="3393">
        <v>397</v>
      </c>
      <c r="B399" s="3393">
        <v>2</v>
      </c>
      <c r="C399" s="3393">
        <v>1</v>
      </c>
      <c r="D399" s="3393">
        <v>209</v>
      </c>
      <c r="E399" s="3275">
        <v>219</v>
      </c>
      <c r="F399" s="3276">
        <v>1</v>
      </c>
      <c r="G399" s="3276">
        <v>0</v>
      </c>
      <c r="H399" s="3276">
        <v>1</v>
      </c>
      <c r="I399" s="3278" t="s">
        <v>3304</v>
      </c>
      <c r="J399" s="3275" t="s">
        <v>3305</v>
      </c>
      <c r="K399" s="3409">
        <v>43.08</v>
      </c>
      <c r="L399" s="3412">
        <v>31.54</v>
      </c>
      <c r="M399" s="3276"/>
      <c r="N399" s="3276"/>
      <c r="O399" s="3392"/>
      <c r="P399" s="3393"/>
      <c r="Q399" s="3393"/>
      <c r="R399" s="3276"/>
      <c r="S399" s="3276"/>
      <c r="T399" s="3239" t="str">
        <f t="shared" si="7"/>
        <v>无</v>
      </c>
    </row>
    <row r="400" spans="1:21">
      <c r="A400" s="3393">
        <v>398</v>
      </c>
      <c r="B400" s="3393">
        <v>2</v>
      </c>
      <c r="C400" s="3393">
        <v>1</v>
      </c>
      <c r="D400" s="3393">
        <v>210</v>
      </c>
      <c r="E400" s="3275">
        <v>226</v>
      </c>
      <c r="F400" s="3276">
        <v>1</v>
      </c>
      <c r="G400" s="3276">
        <v>1</v>
      </c>
      <c r="H400" s="3276">
        <v>1</v>
      </c>
      <c r="I400" s="3275" t="s">
        <v>3332</v>
      </c>
      <c r="J400" s="3275" t="s">
        <v>3335</v>
      </c>
      <c r="K400" s="3409">
        <v>55.07</v>
      </c>
      <c r="L400" s="3412">
        <v>40.32</v>
      </c>
      <c r="M400" s="3276"/>
      <c r="N400" s="3276"/>
      <c r="O400" s="3392"/>
      <c r="P400" s="3393"/>
      <c r="Q400" s="3393"/>
      <c r="R400" s="3276"/>
      <c r="S400" s="3276"/>
      <c r="T400" s="3239" t="str">
        <f t="shared" si="7"/>
        <v>有</v>
      </c>
    </row>
    <row r="401" spans="1:20" hidden="1">
      <c r="A401" s="3393">
        <v>399</v>
      </c>
      <c r="B401" s="3393">
        <v>2</v>
      </c>
      <c r="C401" s="3393">
        <v>1</v>
      </c>
      <c r="D401" s="3393">
        <v>211</v>
      </c>
      <c r="E401" s="3275">
        <v>218</v>
      </c>
      <c r="F401" s="3276">
        <v>1</v>
      </c>
      <c r="G401" s="3276">
        <v>0</v>
      </c>
      <c r="H401" s="3276">
        <v>1</v>
      </c>
      <c r="I401" s="3278" t="s">
        <v>3304</v>
      </c>
      <c r="J401" s="3275" t="s">
        <v>3306</v>
      </c>
      <c r="K401" s="3409">
        <v>44.06</v>
      </c>
      <c r="L401" s="3412">
        <v>32.26</v>
      </c>
      <c r="M401" s="3276"/>
      <c r="N401" s="3276"/>
      <c r="O401" s="3392"/>
      <c r="P401" s="3393"/>
      <c r="Q401" s="3393"/>
      <c r="R401" s="3276"/>
      <c r="S401" s="3276"/>
      <c r="T401" s="3239" t="str">
        <f t="shared" si="7"/>
        <v>无</v>
      </c>
    </row>
    <row r="402" spans="1:20">
      <c r="A402" s="3393">
        <v>400</v>
      </c>
      <c r="B402" s="3393">
        <v>2</v>
      </c>
      <c r="C402" s="3393">
        <v>1</v>
      </c>
      <c r="D402" s="3393">
        <v>212</v>
      </c>
      <c r="E402" s="3275">
        <v>227</v>
      </c>
      <c r="F402" s="3276">
        <v>1</v>
      </c>
      <c r="G402" s="3276">
        <v>1</v>
      </c>
      <c r="H402" s="3276">
        <v>1</v>
      </c>
      <c r="I402" s="3275" t="s">
        <v>3332</v>
      </c>
      <c r="J402" s="3275" t="s">
        <v>3335</v>
      </c>
      <c r="K402" s="3409">
        <v>55.07</v>
      </c>
      <c r="L402" s="3412">
        <v>40.32</v>
      </c>
      <c r="M402" s="3276"/>
      <c r="N402" s="3276"/>
      <c r="O402" s="3392"/>
      <c r="P402" s="3393"/>
      <c r="Q402" s="3393"/>
      <c r="R402" s="3276"/>
      <c r="S402" s="3276"/>
      <c r="T402" s="3239" t="str">
        <f t="shared" si="7"/>
        <v>有</v>
      </c>
    </row>
    <row r="403" spans="1:20">
      <c r="A403" s="3393">
        <v>401</v>
      </c>
      <c r="B403" s="3393">
        <v>2</v>
      </c>
      <c r="C403" s="3393">
        <v>1</v>
      </c>
      <c r="D403" s="3393">
        <v>213</v>
      </c>
      <c r="E403" s="3275">
        <v>228</v>
      </c>
      <c r="F403" s="3276">
        <v>1</v>
      </c>
      <c r="G403" s="3276">
        <v>1</v>
      </c>
      <c r="H403" s="3276">
        <v>1</v>
      </c>
      <c r="I403" s="3275" t="s">
        <v>3332</v>
      </c>
      <c r="J403" s="3275" t="s">
        <v>3335</v>
      </c>
      <c r="K403" s="3409">
        <v>55.07</v>
      </c>
      <c r="L403" s="3412">
        <v>40.32</v>
      </c>
      <c r="M403" s="3276"/>
      <c r="N403" s="3276"/>
      <c r="O403" s="3392"/>
      <c r="P403" s="3393"/>
      <c r="Q403" s="3393"/>
      <c r="R403" s="3276"/>
      <c r="S403" s="3276"/>
      <c r="T403" s="3239" t="str">
        <f t="shared" si="7"/>
        <v>有</v>
      </c>
    </row>
    <row r="404" spans="1:20">
      <c r="A404" s="3393">
        <v>402</v>
      </c>
      <c r="B404" s="3393">
        <v>2</v>
      </c>
      <c r="C404" s="3393">
        <v>1</v>
      </c>
      <c r="D404" s="3393">
        <v>214</v>
      </c>
      <c r="E404" s="3275">
        <v>229</v>
      </c>
      <c r="F404" s="3276">
        <v>1</v>
      </c>
      <c r="G404" s="3276">
        <v>1</v>
      </c>
      <c r="H404" s="3276">
        <v>1</v>
      </c>
      <c r="I404" s="3275" t="s">
        <v>3332</v>
      </c>
      <c r="J404" s="3275" t="s">
        <v>3335</v>
      </c>
      <c r="K404" s="3409">
        <v>55.07</v>
      </c>
      <c r="L404" s="3412">
        <v>40.32</v>
      </c>
      <c r="M404" s="3276"/>
      <c r="N404" s="3276"/>
      <c r="O404" s="3392"/>
      <c r="P404" s="3393"/>
      <c r="Q404" s="3393"/>
      <c r="R404" s="3276"/>
      <c r="S404" s="3276"/>
      <c r="T404" s="3239" t="str">
        <f t="shared" si="7"/>
        <v>有</v>
      </c>
    </row>
    <row r="405" spans="1:20">
      <c r="A405" s="3393">
        <v>403</v>
      </c>
      <c r="B405" s="3393">
        <v>2</v>
      </c>
      <c r="C405" s="3393">
        <v>1</v>
      </c>
      <c r="D405" s="3393">
        <v>216</v>
      </c>
      <c r="E405" s="3275">
        <v>230</v>
      </c>
      <c r="F405" s="3276">
        <v>1</v>
      </c>
      <c r="G405" s="3276">
        <v>1</v>
      </c>
      <c r="H405" s="3276">
        <v>1</v>
      </c>
      <c r="I405" s="3275" t="s">
        <v>3332</v>
      </c>
      <c r="J405" s="3275" t="s">
        <v>3335</v>
      </c>
      <c r="K405" s="3409">
        <v>55.07</v>
      </c>
      <c r="L405" s="3412">
        <v>40.32</v>
      </c>
      <c r="M405" s="3276"/>
      <c r="N405" s="3276"/>
      <c r="O405" s="3392"/>
      <c r="P405" s="3393"/>
      <c r="Q405" s="3393"/>
      <c r="R405" s="3276"/>
      <c r="S405" s="3276"/>
      <c r="T405" s="3239" t="str">
        <f t="shared" si="7"/>
        <v>有</v>
      </c>
    </row>
    <row r="406" spans="1:20" hidden="1">
      <c r="A406" s="3393">
        <v>404</v>
      </c>
      <c r="B406" s="3393">
        <v>2</v>
      </c>
      <c r="C406" s="3393">
        <v>1</v>
      </c>
      <c r="D406" s="3393">
        <v>217</v>
      </c>
      <c r="E406" s="3275">
        <v>217</v>
      </c>
      <c r="F406" s="3276">
        <v>1</v>
      </c>
      <c r="G406" s="3276">
        <v>0</v>
      </c>
      <c r="H406" s="3276">
        <v>1</v>
      </c>
      <c r="I406" s="3278" t="s">
        <v>3304</v>
      </c>
      <c r="J406" s="3275" t="s">
        <v>3306</v>
      </c>
      <c r="K406" s="3409">
        <v>44.06</v>
      </c>
      <c r="L406" s="3412">
        <v>32.26</v>
      </c>
      <c r="M406" s="3276"/>
      <c r="N406" s="3276"/>
      <c r="O406" s="3392"/>
      <c r="P406" s="3393"/>
      <c r="Q406" s="3393"/>
      <c r="R406" s="3276"/>
      <c r="S406" s="3276"/>
      <c r="T406" s="3239" t="str">
        <f t="shared" si="7"/>
        <v>无</v>
      </c>
    </row>
    <row r="407" spans="1:20">
      <c r="A407" s="3393">
        <v>405</v>
      </c>
      <c r="B407" s="3393">
        <v>2</v>
      </c>
      <c r="C407" s="3393">
        <v>1</v>
      </c>
      <c r="D407" s="3393">
        <v>218</v>
      </c>
      <c r="E407" s="3275">
        <v>231</v>
      </c>
      <c r="F407" s="3276">
        <v>1</v>
      </c>
      <c r="G407" s="3276">
        <v>1</v>
      </c>
      <c r="H407" s="3276">
        <v>1</v>
      </c>
      <c r="I407" s="3275" t="s">
        <v>3332</v>
      </c>
      <c r="J407" s="3275" t="s">
        <v>3335</v>
      </c>
      <c r="K407" s="3409">
        <v>55.07</v>
      </c>
      <c r="L407" s="3412">
        <v>40.32</v>
      </c>
      <c r="M407" s="3276"/>
      <c r="N407" s="3276"/>
      <c r="O407" s="3392"/>
      <c r="P407" s="3393"/>
      <c r="Q407" s="3393"/>
      <c r="R407" s="3276"/>
      <c r="S407" s="3276"/>
      <c r="T407" s="3239" t="str">
        <f t="shared" si="7"/>
        <v>有</v>
      </c>
    </row>
    <row r="408" spans="1:20" hidden="1">
      <c r="A408" s="3393">
        <v>406</v>
      </c>
      <c r="B408" s="3393">
        <v>2</v>
      </c>
      <c r="C408" s="3393">
        <v>1</v>
      </c>
      <c r="D408" s="3393">
        <v>219</v>
      </c>
      <c r="E408" s="3275">
        <v>216</v>
      </c>
      <c r="F408" s="3276">
        <v>1</v>
      </c>
      <c r="G408" s="3276">
        <v>0</v>
      </c>
      <c r="H408" s="3276">
        <v>1</v>
      </c>
      <c r="I408" s="3278" t="s">
        <v>3304</v>
      </c>
      <c r="J408" s="3275" t="s">
        <v>3305</v>
      </c>
      <c r="K408" s="3409">
        <v>43.08</v>
      </c>
      <c r="L408" s="3412">
        <v>31.54</v>
      </c>
      <c r="M408" s="3276"/>
      <c r="N408" s="3276"/>
      <c r="O408" s="3392"/>
      <c r="P408" s="3393"/>
      <c r="Q408" s="3393"/>
      <c r="R408" s="3276"/>
      <c r="S408" s="3276"/>
      <c r="T408" s="3239" t="str">
        <f t="shared" si="7"/>
        <v>无</v>
      </c>
    </row>
    <row r="409" spans="1:20" hidden="1">
      <c r="A409" s="3393">
        <v>407</v>
      </c>
      <c r="B409" s="3393">
        <v>2</v>
      </c>
      <c r="C409" s="3393">
        <v>1</v>
      </c>
      <c r="D409" s="3393">
        <v>220</v>
      </c>
      <c r="E409" s="3275">
        <v>215</v>
      </c>
      <c r="F409" s="3276">
        <v>1</v>
      </c>
      <c r="G409" s="3276">
        <v>0</v>
      </c>
      <c r="H409" s="3276">
        <v>1</v>
      </c>
      <c r="I409" s="3275" t="s">
        <v>3304</v>
      </c>
      <c r="J409" s="3275" t="s">
        <v>3305</v>
      </c>
      <c r="K409" s="3409">
        <v>43.08</v>
      </c>
      <c r="L409" s="3412">
        <v>31.54</v>
      </c>
      <c r="M409" s="3276"/>
      <c r="N409" s="3276"/>
      <c r="O409" s="3392">
        <v>2.9</v>
      </c>
      <c r="P409" s="3392" t="s">
        <v>3297</v>
      </c>
      <c r="Q409" s="3392" t="s">
        <v>3298</v>
      </c>
      <c r="R409" s="3276"/>
      <c r="S409" s="3276"/>
      <c r="T409" s="3239" t="str">
        <f t="shared" si="7"/>
        <v>无</v>
      </c>
    </row>
    <row r="410" spans="1:20">
      <c r="A410" s="3393">
        <v>408</v>
      </c>
      <c r="B410" s="3393">
        <v>2</v>
      </c>
      <c r="C410" s="3393">
        <v>1</v>
      </c>
      <c r="D410" s="3393">
        <v>221</v>
      </c>
      <c r="E410" s="3275">
        <v>232</v>
      </c>
      <c r="F410" s="3276">
        <v>1</v>
      </c>
      <c r="G410" s="3276">
        <v>1</v>
      </c>
      <c r="H410" s="3276">
        <v>1</v>
      </c>
      <c r="I410" s="3275" t="s">
        <v>3332</v>
      </c>
      <c r="J410" s="3275" t="s">
        <v>3335</v>
      </c>
      <c r="K410" s="3409">
        <v>55.07</v>
      </c>
      <c r="L410" s="3412">
        <v>40.32</v>
      </c>
      <c r="M410" s="3276"/>
      <c r="N410" s="3276"/>
      <c r="O410" s="3392"/>
      <c r="P410" s="3393"/>
      <c r="Q410" s="3393"/>
      <c r="R410" s="3276"/>
      <c r="S410" s="3276"/>
      <c r="T410" s="3239" t="str">
        <f t="shared" si="7"/>
        <v>有</v>
      </c>
    </row>
    <row r="411" spans="1:20" hidden="1">
      <c r="A411" s="3393">
        <v>409</v>
      </c>
      <c r="B411" s="3393">
        <v>2</v>
      </c>
      <c r="C411" s="3393">
        <v>1</v>
      </c>
      <c r="D411" s="3393">
        <v>222</v>
      </c>
      <c r="E411" s="3275">
        <v>214</v>
      </c>
      <c r="F411" s="3276">
        <v>1</v>
      </c>
      <c r="G411" s="3276">
        <v>0</v>
      </c>
      <c r="H411" s="3276">
        <v>1</v>
      </c>
      <c r="I411" s="3275" t="s">
        <v>3304</v>
      </c>
      <c r="J411" s="3275" t="s">
        <v>3305</v>
      </c>
      <c r="K411" s="3409">
        <v>43.08</v>
      </c>
      <c r="L411" s="3412">
        <v>31.54</v>
      </c>
      <c r="M411" s="3276"/>
      <c r="N411" s="3276"/>
      <c r="O411" s="3392"/>
      <c r="P411" s="3393"/>
      <c r="Q411" s="3393"/>
      <c r="R411" s="3276"/>
      <c r="S411" s="3276"/>
      <c r="T411" s="3239" t="str">
        <f t="shared" si="7"/>
        <v>无</v>
      </c>
    </row>
    <row r="412" spans="1:20">
      <c r="A412" s="3393">
        <v>410</v>
      </c>
      <c r="B412" s="3393">
        <v>2</v>
      </c>
      <c r="C412" s="3393">
        <v>1</v>
      </c>
      <c r="D412" s="3393">
        <v>223</v>
      </c>
      <c r="E412" s="3275">
        <v>233</v>
      </c>
      <c r="F412" s="3276">
        <v>1</v>
      </c>
      <c r="G412" s="3276">
        <v>1</v>
      </c>
      <c r="H412" s="3276">
        <v>1</v>
      </c>
      <c r="I412" s="3275" t="s">
        <v>3332</v>
      </c>
      <c r="J412" s="3275" t="s">
        <v>3335</v>
      </c>
      <c r="K412" s="3409">
        <v>55.07</v>
      </c>
      <c r="L412" s="3412">
        <v>40.32</v>
      </c>
      <c r="M412" s="3276"/>
      <c r="N412" s="3276"/>
      <c r="O412" s="3392"/>
      <c r="P412" s="3393"/>
      <c r="Q412" s="3393"/>
      <c r="R412" s="3276"/>
      <c r="S412" s="3276"/>
      <c r="T412" s="3239" t="str">
        <f t="shared" si="7"/>
        <v>有</v>
      </c>
    </row>
    <row r="413" spans="1:20" hidden="1">
      <c r="A413" s="3393">
        <v>411</v>
      </c>
      <c r="B413" s="3393">
        <v>2</v>
      </c>
      <c r="C413" s="3393">
        <v>1</v>
      </c>
      <c r="D413" s="3393">
        <v>224</v>
      </c>
      <c r="E413" s="3275">
        <v>213</v>
      </c>
      <c r="F413" s="3276">
        <v>1</v>
      </c>
      <c r="G413" s="3276">
        <v>0</v>
      </c>
      <c r="H413" s="3276">
        <v>1</v>
      </c>
      <c r="I413" s="3275" t="s">
        <v>3304</v>
      </c>
      <c r="J413" s="3275" t="s">
        <v>3305</v>
      </c>
      <c r="K413" s="3409">
        <v>43.08</v>
      </c>
      <c r="L413" s="3412">
        <v>31.54</v>
      </c>
      <c r="M413" s="3276"/>
      <c r="N413" s="3276"/>
      <c r="O413" s="3392"/>
      <c r="P413" s="3393"/>
      <c r="Q413" s="3393"/>
      <c r="R413" s="3276"/>
      <c r="S413" s="3276"/>
      <c r="T413" s="3239" t="str">
        <f t="shared" si="7"/>
        <v>无</v>
      </c>
    </row>
    <row r="414" spans="1:20">
      <c r="A414" s="3393">
        <v>412</v>
      </c>
      <c r="B414" s="3393">
        <v>2</v>
      </c>
      <c r="C414" s="3393">
        <v>1</v>
      </c>
      <c r="D414" s="3393">
        <v>225</v>
      </c>
      <c r="E414" s="3275">
        <v>234</v>
      </c>
      <c r="F414" s="3276">
        <v>1</v>
      </c>
      <c r="G414" s="3276">
        <v>1</v>
      </c>
      <c r="H414" s="3276">
        <v>1</v>
      </c>
      <c r="I414" s="3275" t="s">
        <v>3332</v>
      </c>
      <c r="J414" s="3275" t="s">
        <v>3335</v>
      </c>
      <c r="K414" s="3409">
        <v>55.07</v>
      </c>
      <c r="L414" s="3412">
        <v>40.32</v>
      </c>
      <c r="M414" s="3276"/>
      <c r="N414" s="3276"/>
      <c r="O414" s="3392"/>
      <c r="P414" s="3393"/>
      <c r="Q414" s="3393"/>
      <c r="R414" s="3276"/>
      <c r="S414" s="3276"/>
      <c r="T414" s="3239" t="str">
        <f t="shared" si="7"/>
        <v>有</v>
      </c>
    </row>
    <row r="415" spans="1:20" hidden="1">
      <c r="A415" s="3393">
        <v>413</v>
      </c>
      <c r="B415" s="3393">
        <v>2</v>
      </c>
      <c r="C415" s="3393">
        <v>1</v>
      </c>
      <c r="D415" s="3393">
        <v>226</v>
      </c>
      <c r="E415" s="3275">
        <v>212</v>
      </c>
      <c r="F415" s="3276">
        <v>1</v>
      </c>
      <c r="G415" s="3276">
        <v>0</v>
      </c>
      <c r="H415" s="3276">
        <v>1</v>
      </c>
      <c r="I415" s="3275" t="s">
        <v>3304</v>
      </c>
      <c r="J415" s="3275" t="s">
        <v>3305</v>
      </c>
      <c r="K415" s="3409">
        <v>43.08</v>
      </c>
      <c r="L415" s="3412">
        <v>31.54</v>
      </c>
      <c r="M415" s="3276"/>
      <c r="N415" s="3276"/>
      <c r="O415" s="3392"/>
      <c r="P415" s="3393"/>
      <c r="Q415" s="3393"/>
      <c r="R415" s="3276"/>
      <c r="S415" s="3276"/>
      <c r="T415" s="3239" t="str">
        <f t="shared" si="7"/>
        <v>无</v>
      </c>
    </row>
    <row r="416" spans="1:20">
      <c r="A416" s="3393">
        <v>414</v>
      </c>
      <c r="B416" s="3393">
        <v>2</v>
      </c>
      <c r="C416" s="3393">
        <v>1</v>
      </c>
      <c r="D416" s="3393">
        <v>227</v>
      </c>
      <c r="E416" s="3275">
        <v>235</v>
      </c>
      <c r="F416" s="3276">
        <v>1</v>
      </c>
      <c r="G416" s="3276">
        <v>1</v>
      </c>
      <c r="H416" s="3276">
        <v>1</v>
      </c>
      <c r="I416" s="3275" t="s">
        <v>3332</v>
      </c>
      <c r="J416" s="3275" t="s">
        <v>3336</v>
      </c>
      <c r="K416" s="3409">
        <v>58.13</v>
      </c>
      <c r="L416" s="3412">
        <v>42.56</v>
      </c>
      <c r="M416" s="3276"/>
      <c r="N416" s="3276"/>
      <c r="O416" s="3392"/>
      <c r="P416" s="3393"/>
      <c r="Q416" s="3393"/>
      <c r="R416" s="3276"/>
      <c r="S416" s="3276"/>
      <c r="T416" s="3239" t="str">
        <f t="shared" si="7"/>
        <v>有</v>
      </c>
    </row>
    <row r="417" spans="1:22" hidden="1">
      <c r="A417" s="3393">
        <v>415</v>
      </c>
      <c r="B417" s="3393">
        <v>2</v>
      </c>
      <c r="C417" s="3393">
        <v>1</v>
      </c>
      <c r="D417" s="3393">
        <v>228</v>
      </c>
      <c r="E417" s="3275">
        <v>211</v>
      </c>
      <c r="F417" s="3276">
        <v>1</v>
      </c>
      <c r="G417" s="3276">
        <v>0</v>
      </c>
      <c r="H417" s="3276">
        <v>1</v>
      </c>
      <c r="I417" s="3275" t="s">
        <v>3304</v>
      </c>
      <c r="J417" s="3275" t="s">
        <v>3502</v>
      </c>
      <c r="K417" s="3409">
        <v>43.68</v>
      </c>
      <c r="L417" s="3412">
        <v>31.98</v>
      </c>
      <c r="M417" s="3276"/>
      <c r="N417" s="3276"/>
      <c r="O417" s="3392"/>
      <c r="P417" s="3393"/>
      <c r="Q417" s="3393"/>
      <c r="R417" s="3276"/>
      <c r="S417" s="3276"/>
      <c r="T417" s="3239" t="str">
        <f t="shared" si="7"/>
        <v>无</v>
      </c>
    </row>
    <row r="418" spans="1:22">
      <c r="A418" s="3393">
        <v>416</v>
      </c>
      <c r="B418" s="3393">
        <v>2</v>
      </c>
      <c r="C418" s="3393">
        <v>1</v>
      </c>
      <c r="D418" s="3393">
        <v>229</v>
      </c>
      <c r="E418" s="3275">
        <v>210</v>
      </c>
      <c r="F418" s="3276">
        <v>1</v>
      </c>
      <c r="G418" s="3276">
        <v>1</v>
      </c>
      <c r="H418" s="3276">
        <v>1</v>
      </c>
      <c r="I418" s="3275" t="s">
        <v>3304</v>
      </c>
      <c r="J418" s="3275" t="s">
        <v>3325</v>
      </c>
      <c r="K418" s="3409">
        <v>54.46</v>
      </c>
      <c r="L418" s="3412">
        <v>39.869999999999997</v>
      </c>
      <c r="M418" s="3276"/>
      <c r="N418" s="3276"/>
      <c r="O418" s="3392"/>
      <c r="P418" s="3393"/>
      <c r="Q418" s="3393"/>
      <c r="R418" s="3276"/>
      <c r="S418" s="3276"/>
      <c r="T418" s="3239" t="str">
        <f t="shared" si="7"/>
        <v>有</v>
      </c>
    </row>
    <row r="419" spans="1:22">
      <c r="A419" s="3393">
        <v>417</v>
      </c>
      <c r="B419" s="3393">
        <v>2</v>
      </c>
      <c r="C419" s="3393">
        <v>1</v>
      </c>
      <c r="D419" s="3393">
        <v>230</v>
      </c>
      <c r="E419" s="3275">
        <v>236</v>
      </c>
      <c r="F419" s="3276">
        <v>1</v>
      </c>
      <c r="G419" s="3276">
        <v>1</v>
      </c>
      <c r="H419" s="3276">
        <v>1</v>
      </c>
      <c r="I419" s="3275" t="s">
        <v>3312</v>
      </c>
      <c r="J419" s="3275" t="s">
        <v>3337</v>
      </c>
      <c r="K419" s="3409">
        <v>55.21</v>
      </c>
      <c r="L419" s="3412">
        <v>40.42</v>
      </c>
      <c r="M419" s="3276"/>
      <c r="N419" s="3276"/>
      <c r="O419" s="3392"/>
      <c r="P419" s="3393"/>
      <c r="Q419" s="3393"/>
      <c r="R419" s="3276"/>
      <c r="S419" s="3276"/>
      <c r="T419" s="3239" t="str">
        <f t="shared" si="7"/>
        <v>有</v>
      </c>
    </row>
    <row r="420" spans="1:22">
      <c r="A420" s="3393">
        <v>418</v>
      </c>
      <c r="B420" s="3393">
        <v>2</v>
      </c>
      <c r="C420" s="3393">
        <v>1</v>
      </c>
      <c r="D420" s="3393">
        <v>231</v>
      </c>
      <c r="E420" s="3275">
        <v>238</v>
      </c>
      <c r="F420" s="3276">
        <v>1</v>
      </c>
      <c r="G420" s="3276">
        <v>1</v>
      </c>
      <c r="H420" s="3276">
        <v>1</v>
      </c>
      <c r="I420" s="3275" t="s">
        <v>3312</v>
      </c>
      <c r="J420" s="3275" t="s">
        <v>3338</v>
      </c>
      <c r="K420" s="3409">
        <v>54.46</v>
      </c>
      <c r="L420" s="3412">
        <v>39.869999999999997</v>
      </c>
      <c r="M420" s="3276"/>
      <c r="N420" s="3276"/>
      <c r="O420" s="3392"/>
      <c r="P420" s="3393"/>
      <c r="Q420" s="3393"/>
      <c r="R420" s="3276"/>
      <c r="S420" s="3276"/>
      <c r="T420" s="3239" t="str">
        <f t="shared" si="7"/>
        <v>有</v>
      </c>
    </row>
    <row r="421" spans="1:22">
      <c r="A421" s="3393">
        <v>419</v>
      </c>
      <c r="B421" s="3393">
        <v>2</v>
      </c>
      <c r="C421" s="3393">
        <v>1</v>
      </c>
      <c r="D421" s="3393">
        <v>232</v>
      </c>
      <c r="E421" s="3275">
        <v>237</v>
      </c>
      <c r="F421" s="3276">
        <v>1</v>
      </c>
      <c r="G421" s="3276">
        <v>1</v>
      </c>
      <c r="H421" s="3276">
        <v>1</v>
      </c>
      <c r="I421" s="3275" t="s">
        <v>3312</v>
      </c>
      <c r="J421" s="3275" t="s">
        <v>3335</v>
      </c>
      <c r="K421" s="3409">
        <v>55.07</v>
      </c>
      <c r="L421" s="3412">
        <v>40.32</v>
      </c>
      <c r="M421" s="3276"/>
      <c r="N421" s="3276"/>
      <c r="O421" s="3392"/>
      <c r="P421" s="3393"/>
      <c r="Q421" s="3393"/>
      <c r="R421" s="3276"/>
      <c r="S421" s="3276"/>
      <c r="T421" s="3239" t="str">
        <f t="shared" si="7"/>
        <v>有</v>
      </c>
    </row>
    <row r="422" spans="1:22">
      <c r="A422" s="3393">
        <v>420</v>
      </c>
      <c r="B422" s="3393">
        <v>2</v>
      </c>
      <c r="C422" s="3393">
        <v>1</v>
      </c>
      <c r="D422" s="3393">
        <v>233</v>
      </c>
      <c r="E422" s="3275">
        <v>239</v>
      </c>
      <c r="F422" s="3276">
        <v>4</v>
      </c>
      <c r="G422" s="3276">
        <v>1</v>
      </c>
      <c r="H422" s="3276">
        <v>1</v>
      </c>
      <c r="I422" s="3275" t="s">
        <v>3316</v>
      </c>
      <c r="J422" s="3275" t="s">
        <v>3319</v>
      </c>
      <c r="K422" s="3409">
        <v>103.44</v>
      </c>
      <c r="L422" s="3412">
        <v>75.73</v>
      </c>
      <c r="M422" s="3276"/>
      <c r="N422" s="3276"/>
      <c r="O422" s="3392"/>
      <c r="P422" s="3393"/>
      <c r="Q422" s="3393"/>
      <c r="R422" s="3276"/>
      <c r="S422" s="3276"/>
      <c r="T422" s="3239" t="str">
        <f t="shared" si="7"/>
        <v>有</v>
      </c>
    </row>
    <row r="423" spans="1:22">
      <c r="A423" s="3393">
        <v>421</v>
      </c>
      <c r="B423" s="3393">
        <v>2</v>
      </c>
      <c r="C423" s="3393">
        <v>1</v>
      </c>
      <c r="D423" s="3393">
        <v>234</v>
      </c>
      <c r="E423" s="3275">
        <v>209</v>
      </c>
      <c r="F423" s="3276">
        <v>1</v>
      </c>
      <c r="G423" s="3276">
        <v>1</v>
      </c>
      <c r="H423" s="3276">
        <v>1</v>
      </c>
      <c r="I423" s="3275" t="s">
        <v>3304</v>
      </c>
      <c r="J423" s="3275" t="s">
        <v>3328</v>
      </c>
      <c r="K423" s="3409">
        <v>54.58</v>
      </c>
      <c r="L423" s="3412">
        <v>39.96</v>
      </c>
      <c r="M423" s="3276"/>
      <c r="N423" s="3276"/>
      <c r="O423" s="3392"/>
      <c r="P423" s="3393"/>
      <c r="Q423" s="3393"/>
      <c r="R423" s="3276"/>
      <c r="S423" s="3276"/>
      <c r="T423" s="3239" t="str">
        <f t="shared" si="7"/>
        <v>有</v>
      </c>
    </row>
    <row r="424" spans="1:22">
      <c r="A424" s="3393">
        <v>422</v>
      </c>
      <c r="B424" s="3393">
        <v>2</v>
      </c>
      <c r="C424" s="3393">
        <v>1</v>
      </c>
      <c r="D424" s="3393">
        <v>235</v>
      </c>
      <c r="E424" s="3275">
        <v>208</v>
      </c>
      <c r="F424" s="3276">
        <v>1</v>
      </c>
      <c r="G424" s="3276">
        <v>1</v>
      </c>
      <c r="H424" s="3276">
        <v>1</v>
      </c>
      <c r="I424" s="3275" t="s">
        <v>3302</v>
      </c>
      <c r="J424" s="3275" t="s">
        <v>3311</v>
      </c>
      <c r="K424" s="3409">
        <v>52.64</v>
      </c>
      <c r="L424" s="3412">
        <v>38.54</v>
      </c>
      <c r="M424" s="3276"/>
      <c r="N424" s="3276"/>
      <c r="O424" s="3392"/>
      <c r="P424" s="3393"/>
      <c r="Q424" s="3393"/>
      <c r="R424" s="3276"/>
      <c r="S424" s="3276"/>
      <c r="T424" s="3239" t="str">
        <f t="shared" si="7"/>
        <v>有</v>
      </c>
    </row>
    <row r="425" spans="1:22">
      <c r="A425" s="3393">
        <v>423</v>
      </c>
      <c r="B425" s="3393">
        <v>2</v>
      </c>
      <c r="C425" s="3393">
        <v>1</v>
      </c>
      <c r="D425" s="3393">
        <v>236</v>
      </c>
      <c r="E425" s="3275">
        <v>207</v>
      </c>
      <c r="F425" s="3276">
        <v>2</v>
      </c>
      <c r="G425" s="3276">
        <v>1</v>
      </c>
      <c r="H425" s="3276">
        <v>1</v>
      </c>
      <c r="I425" s="3275" t="s">
        <v>3300</v>
      </c>
      <c r="J425" s="3275" t="s">
        <v>3313</v>
      </c>
      <c r="K425" s="3409">
        <v>91.88</v>
      </c>
      <c r="L425" s="3412">
        <v>67.27</v>
      </c>
      <c r="M425" s="3276"/>
      <c r="N425" s="3276"/>
      <c r="O425" s="3392"/>
      <c r="P425" s="3393"/>
      <c r="Q425" s="3393"/>
      <c r="R425" s="3276"/>
      <c r="S425" s="3276"/>
      <c r="T425" s="3239" t="str">
        <f t="shared" si="7"/>
        <v>有</v>
      </c>
    </row>
    <row r="426" spans="1:22">
      <c r="A426" s="3393">
        <v>424</v>
      </c>
      <c r="B426" s="3393">
        <v>2</v>
      </c>
      <c r="C426" s="3393">
        <v>1</v>
      </c>
      <c r="D426" s="3393">
        <v>237</v>
      </c>
      <c r="E426" s="3275">
        <v>201</v>
      </c>
      <c r="F426" s="3276">
        <v>4</v>
      </c>
      <c r="G426" s="3276">
        <v>1</v>
      </c>
      <c r="H426" s="3276">
        <v>1</v>
      </c>
      <c r="I426" s="3275" t="s">
        <v>3318</v>
      </c>
      <c r="J426" s="3275" t="s">
        <v>3317</v>
      </c>
      <c r="K426" s="3409">
        <v>103.44</v>
      </c>
      <c r="L426" s="3412">
        <v>75.73</v>
      </c>
      <c r="M426" s="3276"/>
      <c r="N426" s="3276"/>
      <c r="O426" s="3392"/>
      <c r="P426" s="3392"/>
      <c r="Q426" s="3392"/>
      <c r="R426" s="3276"/>
      <c r="S426" s="3276"/>
      <c r="T426" s="3239" t="str">
        <f t="shared" si="7"/>
        <v>有</v>
      </c>
    </row>
    <row r="427" spans="1:22">
      <c r="A427" s="3393">
        <v>425</v>
      </c>
      <c r="B427" s="3393">
        <v>2</v>
      </c>
      <c r="C427" s="3393">
        <v>1</v>
      </c>
      <c r="D427" s="3393">
        <v>238</v>
      </c>
      <c r="E427" s="3275">
        <v>204</v>
      </c>
      <c r="F427" s="3276">
        <v>1</v>
      </c>
      <c r="G427" s="3276">
        <v>1</v>
      </c>
      <c r="H427" s="3276">
        <v>1</v>
      </c>
      <c r="I427" s="3275" t="s">
        <v>3300</v>
      </c>
      <c r="J427" s="3275" t="s">
        <v>3326</v>
      </c>
      <c r="K427" s="3409">
        <v>55.07</v>
      </c>
      <c r="L427" s="3412">
        <v>40.32</v>
      </c>
      <c r="M427" s="3276"/>
      <c r="N427" s="3276"/>
      <c r="O427" s="3392"/>
      <c r="P427" s="3393"/>
      <c r="Q427" s="3393"/>
      <c r="R427" s="3276"/>
      <c r="S427" s="3276"/>
      <c r="T427" s="3239" t="str">
        <f t="shared" si="7"/>
        <v>有</v>
      </c>
    </row>
    <row r="428" spans="1:22">
      <c r="A428" s="3393">
        <v>426</v>
      </c>
      <c r="B428" s="3393">
        <v>2</v>
      </c>
      <c r="C428" s="3393">
        <v>1</v>
      </c>
      <c r="D428" s="3393">
        <v>239</v>
      </c>
      <c r="E428" s="3275">
        <v>203</v>
      </c>
      <c r="F428" s="3276">
        <v>1</v>
      </c>
      <c r="G428" s="3276">
        <v>1</v>
      </c>
      <c r="H428" s="3276">
        <v>1</v>
      </c>
      <c r="I428" s="3275" t="s">
        <v>3300</v>
      </c>
      <c r="J428" s="3275" t="s">
        <v>3325</v>
      </c>
      <c r="K428" s="3409">
        <v>54.46</v>
      </c>
      <c r="L428" s="3412">
        <v>39.869999999999997</v>
      </c>
      <c r="M428" s="3276"/>
      <c r="N428" s="3276"/>
      <c r="O428" s="3392"/>
      <c r="P428" s="3393"/>
      <c r="Q428" s="3393"/>
      <c r="R428" s="3276"/>
      <c r="S428" s="3276"/>
      <c r="T428" s="3239" t="str">
        <f t="shared" si="7"/>
        <v>有</v>
      </c>
    </row>
    <row r="429" spans="1:22">
      <c r="A429" s="3393">
        <v>427</v>
      </c>
      <c r="B429" s="3393">
        <v>2</v>
      </c>
      <c r="C429" s="3393">
        <v>1</v>
      </c>
      <c r="D429" s="3393">
        <v>240</v>
      </c>
      <c r="E429" s="3275">
        <v>205</v>
      </c>
      <c r="F429" s="3276">
        <v>1</v>
      </c>
      <c r="G429" s="3276">
        <v>1</v>
      </c>
      <c r="H429" s="3276">
        <v>1</v>
      </c>
      <c r="I429" s="3275" t="s">
        <v>3300</v>
      </c>
      <c r="J429" s="3275" t="s">
        <v>3326</v>
      </c>
      <c r="K429" s="3409">
        <v>55.07</v>
      </c>
      <c r="L429" s="3412">
        <v>40.32</v>
      </c>
      <c r="M429" s="3276"/>
      <c r="N429" s="3276"/>
      <c r="O429" s="3392"/>
      <c r="P429" s="3393"/>
      <c r="Q429" s="3393"/>
      <c r="R429" s="3276"/>
      <c r="S429" s="3276"/>
      <c r="T429" s="3239" t="str">
        <f t="shared" si="7"/>
        <v>有</v>
      </c>
    </row>
    <row r="430" spans="1:22">
      <c r="A430" s="3393">
        <v>428</v>
      </c>
      <c r="B430" s="3393">
        <v>2</v>
      </c>
      <c r="C430" s="3393">
        <v>1</v>
      </c>
      <c r="D430" s="3393">
        <v>241</v>
      </c>
      <c r="E430" s="3275">
        <v>202</v>
      </c>
      <c r="F430" s="3276">
        <v>1</v>
      </c>
      <c r="G430" s="3276">
        <v>1</v>
      </c>
      <c r="H430" s="3276">
        <v>1</v>
      </c>
      <c r="I430" s="3275" t="s">
        <v>3300</v>
      </c>
      <c r="J430" s="3275" t="s">
        <v>3324</v>
      </c>
      <c r="K430" s="3409">
        <v>56.3</v>
      </c>
      <c r="L430" s="3412">
        <v>41.22</v>
      </c>
      <c r="M430" s="3276"/>
      <c r="N430" s="3276"/>
      <c r="O430" s="3392"/>
      <c r="P430" s="3393"/>
      <c r="Q430" s="3393"/>
      <c r="R430" s="3276"/>
      <c r="S430" s="3276"/>
      <c r="T430" s="3239" t="str">
        <f t="shared" si="7"/>
        <v>有</v>
      </c>
    </row>
    <row r="431" spans="1:22">
      <c r="A431" s="3393">
        <v>429</v>
      </c>
      <c r="B431" s="3393">
        <v>2</v>
      </c>
      <c r="C431" s="3393">
        <v>1</v>
      </c>
      <c r="D431" s="3393">
        <v>242</v>
      </c>
      <c r="E431" s="3275">
        <v>206</v>
      </c>
      <c r="F431" s="3276">
        <v>1</v>
      </c>
      <c r="G431" s="3276">
        <v>1</v>
      </c>
      <c r="H431" s="3276">
        <v>1</v>
      </c>
      <c r="I431" s="3275" t="s">
        <v>3300</v>
      </c>
      <c r="J431" s="3275" t="s">
        <v>3327</v>
      </c>
      <c r="K431" s="3409">
        <v>54.59</v>
      </c>
      <c r="L431" s="3412">
        <v>39.97</v>
      </c>
      <c r="M431" s="3276"/>
      <c r="N431" s="3276"/>
      <c r="O431" s="3392"/>
      <c r="P431" s="3393"/>
      <c r="Q431" s="3393"/>
      <c r="R431" s="3276"/>
      <c r="S431" s="3276"/>
      <c r="T431" s="3239" t="str">
        <f t="shared" si="7"/>
        <v>有</v>
      </c>
    </row>
    <row r="432" spans="1:22" hidden="1">
      <c r="A432" s="3393">
        <v>430</v>
      </c>
      <c r="B432" s="3393">
        <v>2</v>
      </c>
      <c r="C432" s="3393">
        <v>1</v>
      </c>
      <c r="D432" s="3392">
        <v>301</v>
      </c>
      <c r="E432" s="3275">
        <v>323</v>
      </c>
      <c r="F432" s="3276">
        <v>1</v>
      </c>
      <c r="G432" s="3276">
        <v>0</v>
      </c>
      <c r="H432" s="3276">
        <v>1</v>
      </c>
      <c r="I432" s="3275" t="s">
        <v>3332</v>
      </c>
      <c r="J432" s="3275" t="s">
        <v>3500</v>
      </c>
      <c r="K432" s="3409">
        <v>48.16</v>
      </c>
      <c r="L432" s="3412">
        <v>35.26</v>
      </c>
      <c r="M432" s="3276"/>
      <c r="N432" s="3276"/>
      <c r="O432" s="3392"/>
      <c r="P432" s="3393"/>
      <c r="Q432" s="3393"/>
      <c r="R432" s="3276"/>
      <c r="S432" s="3276"/>
      <c r="T432" s="3239" t="str">
        <f t="shared" si="7"/>
        <v>无</v>
      </c>
      <c r="V432" s="3410"/>
    </row>
    <row r="433" spans="1:22" hidden="1">
      <c r="A433" s="3393">
        <v>431</v>
      </c>
      <c r="B433" s="3393">
        <v>2</v>
      </c>
      <c r="C433" s="3393">
        <v>1</v>
      </c>
      <c r="D433" s="3392">
        <v>302</v>
      </c>
      <c r="E433" s="3275">
        <v>322</v>
      </c>
      <c r="F433" s="3276">
        <v>1</v>
      </c>
      <c r="G433" s="3276">
        <v>0</v>
      </c>
      <c r="H433" s="3276">
        <v>1</v>
      </c>
      <c r="I433" s="3275" t="s">
        <v>3312</v>
      </c>
      <c r="J433" s="3275" t="s">
        <v>3323</v>
      </c>
      <c r="K433" s="3409">
        <v>44.28</v>
      </c>
      <c r="L433" s="3412">
        <v>32.42</v>
      </c>
      <c r="M433" s="3276"/>
      <c r="N433" s="3276"/>
      <c r="O433" s="3392"/>
      <c r="P433" s="3393"/>
      <c r="Q433" s="3393"/>
      <c r="R433" s="3276"/>
      <c r="S433" s="3276"/>
      <c r="T433" s="3239" t="str">
        <f t="shared" si="7"/>
        <v>无</v>
      </c>
      <c r="V433" s="3410"/>
    </row>
    <row r="434" spans="1:22">
      <c r="A434" s="3393">
        <v>432</v>
      </c>
      <c r="B434" s="3393">
        <v>2</v>
      </c>
      <c r="C434" s="3393">
        <v>1</v>
      </c>
      <c r="D434" s="3392">
        <v>303</v>
      </c>
      <c r="E434" s="3275">
        <v>321</v>
      </c>
      <c r="F434" s="3276">
        <v>1</v>
      </c>
      <c r="G434" s="3276">
        <v>1</v>
      </c>
      <c r="H434" s="3276">
        <v>1</v>
      </c>
      <c r="I434" s="3275" t="s">
        <v>3310</v>
      </c>
      <c r="J434" s="3275" t="s">
        <v>3303</v>
      </c>
      <c r="K434" s="3409">
        <v>55.34</v>
      </c>
      <c r="L434" s="3412">
        <v>40.520000000000003</v>
      </c>
      <c r="M434" s="3276"/>
      <c r="N434" s="3276"/>
      <c r="O434" s="3392"/>
      <c r="P434" s="3393"/>
      <c r="Q434" s="3393"/>
      <c r="R434" s="3276"/>
      <c r="S434" s="3276"/>
      <c r="T434" s="3239" t="str">
        <f t="shared" si="7"/>
        <v>有</v>
      </c>
      <c r="V434" s="3410"/>
    </row>
    <row r="435" spans="1:22" hidden="1">
      <c r="A435" s="3393">
        <v>433</v>
      </c>
      <c r="B435" s="3393">
        <v>2</v>
      </c>
      <c r="C435" s="3393">
        <v>1</v>
      </c>
      <c r="D435" s="3392">
        <v>304</v>
      </c>
      <c r="E435" s="3275">
        <v>324</v>
      </c>
      <c r="F435" s="3276">
        <v>1</v>
      </c>
      <c r="G435" s="3276">
        <v>0</v>
      </c>
      <c r="H435" s="3276">
        <v>1</v>
      </c>
      <c r="I435" s="3275" t="s">
        <v>3332</v>
      </c>
      <c r="J435" s="3275" t="s">
        <v>3501</v>
      </c>
      <c r="K435" s="3409">
        <v>47.12</v>
      </c>
      <c r="L435" s="3412">
        <v>34.5</v>
      </c>
      <c r="M435" s="3276"/>
      <c r="N435" s="3276"/>
      <c r="O435" s="3392"/>
      <c r="P435" s="3393"/>
      <c r="Q435" s="3393"/>
      <c r="R435" s="3276"/>
      <c r="S435" s="3276"/>
      <c r="T435" s="3239" t="str">
        <f t="shared" si="7"/>
        <v>无</v>
      </c>
      <c r="V435" s="3410"/>
    </row>
    <row r="436" spans="1:22">
      <c r="A436" s="3393">
        <v>434</v>
      </c>
      <c r="B436" s="3393">
        <v>2</v>
      </c>
      <c r="C436" s="3393">
        <v>1</v>
      </c>
      <c r="D436" s="3392">
        <v>305</v>
      </c>
      <c r="E436" s="3275">
        <v>325</v>
      </c>
      <c r="F436" s="3276">
        <v>1</v>
      </c>
      <c r="G436" s="3276">
        <v>1</v>
      </c>
      <c r="H436" s="3276">
        <v>1</v>
      </c>
      <c r="I436" s="3275" t="s">
        <v>3332</v>
      </c>
      <c r="J436" s="3275" t="s">
        <v>3335</v>
      </c>
      <c r="K436" s="3409">
        <v>55.07</v>
      </c>
      <c r="L436" s="3412">
        <v>40.32</v>
      </c>
      <c r="M436" s="3276"/>
      <c r="N436" s="3276"/>
      <c r="O436" s="3392"/>
      <c r="P436" s="3393"/>
      <c r="Q436" s="3393"/>
      <c r="R436" s="3276"/>
      <c r="S436" s="3276"/>
      <c r="T436" s="3239" t="str">
        <f t="shared" si="7"/>
        <v>有</v>
      </c>
      <c r="V436" s="3410"/>
    </row>
    <row r="437" spans="1:22" hidden="1">
      <c r="A437" s="3393">
        <v>435</v>
      </c>
      <c r="B437" s="3393">
        <v>2</v>
      </c>
      <c r="C437" s="3393">
        <v>1</v>
      </c>
      <c r="D437" s="3392">
        <v>306</v>
      </c>
      <c r="E437" s="3275">
        <v>320</v>
      </c>
      <c r="F437" s="3276">
        <v>1</v>
      </c>
      <c r="G437" s="3276">
        <v>0</v>
      </c>
      <c r="H437" s="3276">
        <v>1</v>
      </c>
      <c r="I437" s="3278" t="s">
        <v>3304</v>
      </c>
      <c r="J437" s="3275" t="s">
        <v>3305</v>
      </c>
      <c r="K437" s="3409">
        <v>43.08</v>
      </c>
      <c r="L437" s="3412">
        <v>31.54</v>
      </c>
      <c r="M437" s="3276"/>
      <c r="N437" s="3276"/>
      <c r="O437" s="3392"/>
      <c r="P437" s="3393"/>
      <c r="Q437" s="3393"/>
      <c r="R437" s="3276"/>
      <c r="S437" s="3276"/>
      <c r="T437" s="3239" t="str">
        <f t="shared" si="7"/>
        <v>无</v>
      </c>
      <c r="V437" s="3410"/>
    </row>
    <row r="438" spans="1:22" hidden="1">
      <c r="A438" s="3393">
        <v>436</v>
      </c>
      <c r="B438" s="3393">
        <v>2</v>
      </c>
      <c r="C438" s="3393">
        <v>1</v>
      </c>
      <c r="D438" s="3392">
        <v>307</v>
      </c>
      <c r="E438" s="3275">
        <v>319</v>
      </c>
      <c r="F438" s="3276">
        <v>1</v>
      </c>
      <c r="G438" s="3276">
        <v>0</v>
      </c>
      <c r="H438" s="3276">
        <v>1</v>
      </c>
      <c r="I438" s="3278" t="s">
        <v>3304</v>
      </c>
      <c r="J438" s="3275" t="s">
        <v>3305</v>
      </c>
      <c r="K438" s="3409">
        <v>43.08</v>
      </c>
      <c r="L438" s="3412">
        <v>31.54</v>
      </c>
      <c r="M438" s="3276"/>
      <c r="N438" s="3276"/>
      <c r="O438" s="3392"/>
      <c r="P438" s="3393"/>
      <c r="Q438" s="3393"/>
      <c r="R438" s="3276"/>
      <c r="S438" s="3276"/>
      <c r="T438" s="3239" t="str">
        <f t="shared" si="7"/>
        <v>无</v>
      </c>
      <c r="V438" s="3410"/>
    </row>
    <row r="439" spans="1:22">
      <c r="A439" s="3393">
        <v>437</v>
      </c>
      <c r="B439" s="3393">
        <v>2</v>
      </c>
      <c r="C439" s="3393">
        <v>1</v>
      </c>
      <c r="D439" s="3392">
        <v>308</v>
      </c>
      <c r="E439" s="3275">
        <v>326</v>
      </c>
      <c r="F439" s="3276">
        <v>1</v>
      </c>
      <c r="G439" s="3276">
        <v>1</v>
      </c>
      <c r="H439" s="3276">
        <v>1</v>
      </c>
      <c r="I439" s="3275" t="s">
        <v>3332</v>
      </c>
      <c r="J439" s="3275" t="s">
        <v>3335</v>
      </c>
      <c r="K439" s="3409">
        <v>55.07</v>
      </c>
      <c r="L439" s="3412">
        <v>40.32</v>
      </c>
      <c r="M439" s="3276"/>
      <c r="N439" s="3276"/>
      <c r="O439" s="3392"/>
      <c r="P439" s="3393"/>
      <c r="Q439" s="3393"/>
      <c r="R439" s="3276"/>
      <c r="S439" s="3276"/>
      <c r="T439" s="3239" t="str">
        <f t="shared" si="7"/>
        <v>有</v>
      </c>
      <c r="V439" s="3410"/>
    </row>
    <row r="440" spans="1:22" hidden="1">
      <c r="A440" s="3393">
        <v>438</v>
      </c>
      <c r="B440" s="3393">
        <v>2</v>
      </c>
      <c r="C440" s="3393">
        <v>1</v>
      </c>
      <c r="D440" s="3392">
        <v>309</v>
      </c>
      <c r="E440" s="3275">
        <v>318</v>
      </c>
      <c r="F440" s="3276">
        <v>1</v>
      </c>
      <c r="G440" s="3276">
        <v>0</v>
      </c>
      <c r="H440" s="3276">
        <v>1</v>
      </c>
      <c r="I440" s="3278" t="s">
        <v>3304</v>
      </c>
      <c r="J440" s="3275" t="s">
        <v>3306</v>
      </c>
      <c r="K440" s="3409">
        <v>44.06</v>
      </c>
      <c r="L440" s="3412">
        <v>32.26</v>
      </c>
      <c r="M440" s="3276"/>
      <c r="N440" s="3276"/>
      <c r="O440" s="3392"/>
      <c r="P440" s="3393"/>
      <c r="Q440" s="3393"/>
      <c r="R440" s="3276"/>
      <c r="S440" s="3276"/>
      <c r="T440" s="3239" t="str">
        <f t="shared" si="7"/>
        <v>无</v>
      </c>
      <c r="V440" s="3410"/>
    </row>
    <row r="441" spans="1:22">
      <c r="A441" s="3393">
        <v>439</v>
      </c>
      <c r="B441" s="3393">
        <v>2</v>
      </c>
      <c r="C441" s="3393">
        <v>1</v>
      </c>
      <c r="D441" s="3392">
        <v>310</v>
      </c>
      <c r="E441" s="3275">
        <v>327</v>
      </c>
      <c r="F441" s="3276">
        <v>1</v>
      </c>
      <c r="G441" s="3276">
        <v>1</v>
      </c>
      <c r="H441" s="3276">
        <v>1</v>
      </c>
      <c r="I441" s="3275" t="s">
        <v>3332</v>
      </c>
      <c r="J441" s="3275" t="s">
        <v>3335</v>
      </c>
      <c r="K441" s="3409">
        <v>55.07</v>
      </c>
      <c r="L441" s="3412">
        <v>40.32</v>
      </c>
      <c r="M441" s="3276"/>
      <c r="N441" s="3276"/>
      <c r="O441" s="3392"/>
      <c r="P441" s="3393"/>
      <c r="Q441" s="3393"/>
      <c r="R441" s="3276"/>
      <c r="S441" s="3276"/>
      <c r="T441" s="3239" t="str">
        <f t="shared" si="7"/>
        <v>有</v>
      </c>
      <c r="V441" s="3410"/>
    </row>
    <row r="442" spans="1:22">
      <c r="A442" s="3393">
        <v>440</v>
      </c>
      <c r="B442" s="3393">
        <v>2</v>
      </c>
      <c r="C442" s="3393">
        <v>1</v>
      </c>
      <c r="D442" s="3392">
        <v>311</v>
      </c>
      <c r="E442" s="3275">
        <v>328</v>
      </c>
      <c r="F442" s="3276">
        <v>1</v>
      </c>
      <c r="G442" s="3276">
        <v>1</v>
      </c>
      <c r="H442" s="3276">
        <v>1</v>
      </c>
      <c r="I442" s="3275" t="s">
        <v>3332</v>
      </c>
      <c r="J442" s="3275" t="s">
        <v>3335</v>
      </c>
      <c r="K442" s="3409">
        <v>55.07</v>
      </c>
      <c r="L442" s="3412">
        <v>40.32</v>
      </c>
      <c r="M442" s="3276"/>
      <c r="N442" s="3276"/>
      <c r="O442" s="3392"/>
      <c r="P442" s="3393"/>
      <c r="Q442" s="3393"/>
      <c r="R442" s="3276"/>
      <c r="S442" s="3276"/>
      <c r="T442" s="3239" t="str">
        <f t="shared" si="7"/>
        <v>有</v>
      </c>
      <c r="V442" s="3410"/>
    </row>
    <row r="443" spans="1:22">
      <c r="A443" s="3393">
        <v>441</v>
      </c>
      <c r="B443" s="3393">
        <v>2</v>
      </c>
      <c r="C443" s="3393">
        <v>1</v>
      </c>
      <c r="D443" s="3392">
        <v>312</v>
      </c>
      <c r="E443" s="3275">
        <v>329</v>
      </c>
      <c r="F443" s="3276">
        <v>1</v>
      </c>
      <c r="G443" s="3276">
        <v>1</v>
      </c>
      <c r="H443" s="3276">
        <v>1</v>
      </c>
      <c r="I443" s="3275" t="s">
        <v>3332</v>
      </c>
      <c r="J443" s="3275" t="s">
        <v>3335</v>
      </c>
      <c r="K443" s="3409">
        <v>55.07</v>
      </c>
      <c r="L443" s="3412">
        <v>40.32</v>
      </c>
      <c r="M443" s="3276"/>
      <c r="N443" s="3276"/>
      <c r="O443" s="3392"/>
      <c r="P443" s="3393"/>
      <c r="Q443" s="3393"/>
      <c r="R443" s="3276"/>
      <c r="S443" s="3276"/>
      <c r="T443" s="3239" t="str">
        <f t="shared" si="7"/>
        <v>有</v>
      </c>
      <c r="V443" s="3410"/>
    </row>
    <row r="444" spans="1:22">
      <c r="A444" s="3393">
        <v>442</v>
      </c>
      <c r="B444" s="3393">
        <v>2</v>
      </c>
      <c r="C444" s="3393">
        <v>1</v>
      </c>
      <c r="D444" s="3392">
        <v>314</v>
      </c>
      <c r="E444" s="3275">
        <v>330</v>
      </c>
      <c r="F444" s="3276">
        <v>1</v>
      </c>
      <c r="G444" s="3276">
        <v>1</v>
      </c>
      <c r="H444" s="3276">
        <v>1</v>
      </c>
      <c r="I444" s="3275" t="s">
        <v>3332</v>
      </c>
      <c r="J444" s="3275" t="s">
        <v>3335</v>
      </c>
      <c r="K444" s="3409">
        <v>55.07</v>
      </c>
      <c r="L444" s="3412">
        <v>40.32</v>
      </c>
      <c r="M444" s="3276"/>
      <c r="N444" s="3276"/>
      <c r="O444" s="3392"/>
      <c r="P444" s="3393"/>
      <c r="Q444" s="3393"/>
      <c r="R444" s="3276"/>
      <c r="S444" s="3276"/>
      <c r="T444" s="3239" t="str">
        <f t="shared" si="7"/>
        <v>有</v>
      </c>
      <c r="V444" s="3410"/>
    </row>
    <row r="445" spans="1:22" hidden="1">
      <c r="A445" s="3393">
        <v>443</v>
      </c>
      <c r="B445" s="3393">
        <v>2</v>
      </c>
      <c r="C445" s="3393">
        <v>1</v>
      </c>
      <c r="D445" s="3392">
        <v>315</v>
      </c>
      <c r="E445" s="3275">
        <v>317</v>
      </c>
      <c r="F445" s="3276">
        <v>1</v>
      </c>
      <c r="G445" s="3276">
        <v>0</v>
      </c>
      <c r="H445" s="3276">
        <v>1</v>
      </c>
      <c r="I445" s="3278" t="s">
        <v>3304</v>
      </c>
      <c r="J445" s="3275" t="s">
        <v>3306</v>
      </c>
      <c r="K445" s="3409">
        <v>44.06</v>
      </c>
      <c r="L445" s="3412">
        <v>32.26</v>
      </c>
      <c r="M445" s="3276"/>
      <c r="N445" s="3276"/>
      <c r="O445" s="3392"/>
      <c r="P445" s="3393"/>
      <c r="Q445" s="3393"/>
      <c r="R445" s="3276"/>
      <c r="S445" s="3276"/>
      <c r="T445" s="3239" t="str">
        <f t="shared" si="7"/>
        <v>无</v>
      </c>
      <c r="V445" s="3410"/>
    </row>
    <row r="446" spans="1:22">
      <c r="A446" s="3393">
        <v>444</v>
      </c>
      <c r="B446" s="3393">
        <v>2</v>
      </c>
      <c r="C446" s="3393">
        <v>1</v>
      </c>
      <c r="D446" s="3392">
        <v>316</v>
      </c>
      <c r="E446" s="3275">
        <v>331</v>
      </c>
      <c r="F446" s="3276">
        <v>1</v>
      </c>
      <c r="G446" s="3276">
        <v>1</v>
      </c>
      <c r="H446" s="3276">
        <v>1</v>
      </c>
      <c r="I446" s="3275" t="s">
        <v>3332</v>
      </c>
      <c r="J446" s="3275" t="s">
        <v>3335</v>
      </c>
      <c r="K446" s="3409">
        <v>55.07</v>
      </c>
      <c r="L446" s="3412">
        <v>40.32</v>
      </c>
      <c r="M446" s="3276"/>
      <c r="N446" s="3276"/>
      <c r="O446" s="3392"/>
      <c r="P446" s="3393"/>
      <c r="Q446" s="3393"/>
      <c r="R446" s="3276"/>
      <c r="S446" s="3276"/>
      <c r="T446" s="3239" t="str">
        <f t="shared" si="7"/>
        <v>有</v>
      </c>
      <c r="V446" s="3410"/>
    </row>
    <row r="447" spans="1:22" hidden="1">
      <c r="A447" s="3393">
        <v>445</v>
      </c>
      <c r="B447" s="3393">
        <v>2</v>
      </c>
      <c r="C447" s="3393">
        <v>1</v>
      </c>
      <c r="D447" s="3392">
        <v>317</v>
      </c>
      <c r="E447" s="3275">
        <v>316</v>
      </c>
      <c r="F447" s="3276">
        <v>1</v>
      </c>
      <c r="G447" s="3276">
        <v>0</v>
      </c>
      <c r="H447" s="3276">
        <v>1</v>
      </c>
      <c r="I447" s="3278" t="s">
        <v>3304</v>
      </c>
      <c r="J447" s="3275" t="s">
        <v>3305</v>
      </c>
      <c r="K447" s="3409">
        <v>43.08</v>
      </c>
      <c r="L447" s="3412">
        <v>31.54</v>
      </c>
      <c r="M447" s="3276"/>
      <c r="N447" s="3276"/>
      <c r="O447" s="3392"/>
      <c r="P447" s="3393"/>
      <c r="Q447" s="3393"/>
      <c r="R447" s="3276"/>
      <c r="S447" s="3276"/>
      <c r="T447" s="3239" t="str">
        <f t="shared" si="7"/>
        <v>无</v>
      </c>
      <c r="V447" s="3410"/>
    </row>
    <row r="448" spans="1:22" hidden="1">
      <c r="A448" s="3393">
        <v>446</v>
      </c>
      <c r="B448" s="3393">
        <v>2</v>
      </c>
      <c r="C448" s="3393">
        <v>1</v>
      </c>
      <c r="D448" s="3392">
        <v>318</v>
      </c>
      <c r="E448" s="3275">
        <v>315</v>
      </c>
      <c r="F448" s="3276">
        <v>1</v>
      </c>
      <c r="G448" s="3276">
        <v>0</v>
      </c>
      <c r="H448" s="3276">
        <v>1</v>
      </c>
      <c r="I448" s="3275" t="s">
        <v>3304</v>
      </c>
      <c r="J448" s="3275" t="s">
        <v>3305</v>
      </c>
      <c r="K448" s="3409">
        <v>43.08</v>
      </c>
      <c r="L448" s="3412">
        <v>31.54</v>
      </c>
      <c r="M448" s="3276"/>
      <c r="N448" s="3276"/>
      <c r="O448" s="3392"/>
      <c r="P448" s="3393"/>
      <c r="Q448" s="3393"/>
      <c r="R448" s="3276"/>
      <c r="S448" s="3276"/>
      <c r="T448" s="3239" t="str">
        <f t="shared" si="7"/>
        <v>无</v>
      </c>
      <c r="V448" s="3410"/>
    </row>
    <row r="449" spans="1:22">
      <c r="A449" s="3393">
        <v>447</v>
      </c>
      <c r="B449" s="3393">
        <v>2</v>
      </c>
      <c r="C449" s="3393">
        <v>1</v>
      </c>
      <c r="D449" s="3392">
        <v>319</v>
      </c>
      <c r="E449" s="3275">
        <v>332</v>
      </c>
      <c r="F449" s="3276">
        <v>1</v>
      </c>
      <c r="G449" s="3276">
        <v>1</v>
      </c>
      <c r="H449" s="3276">
        <v>1</v>
      </c>
      <c r="I449" s="3275" t="s">
        <v>3332</v>
      </c>
      <c r="J449" s="3275" t="s">
        <v>3335</v>
      </c>
      <c r="K449" s="3409">
        <v>55.07</v>
      </c>
      <c r="L449" s="3412">
        <v>40.32</v>
      </c>
      <c r="M449" s="3276"/>
      <c r="N449" s="3276"/>
      <c r="O449" s="3392"/>
      <c r="P449" s="3393"/>
      <c r="Q449" s="3393"/>
      <c r="R449" s="3276"/>
      <c r="S449" s="3276"/>
      <c r="T449" s="3239" t="str">
        <f t="shared" si="7"/>
        <v>有</v>
      </c>
      <c r="V449" s="3410"/>
    </row>
    <row r="450" spans="1:22" hidden="1">
      <c r="A450" s="3393">
        <v>448</v>
      </c>
      <c r="B450" s="3393">
        <v>2</v>
      </c>
      <c r="C450" s="3393">
        <v>1</v>
      </c>
      <c r="D450" s="3392">
        <v>320</v>
      </c>
      <c r="E450" s="3275">
        <v>314</v>
      </c>
      <c r="F450" s="3276">
        <v>1</v>
      </c>
      <c r="G450" s="3276">
        <v>0</v>
      </c>
      <c r="H450" s="3276">
        <v>1</v>
      </c>
      <c r="I450" s="3275" t="s">
        <v>3304</v>
      </c>
      <c r="J450" s="3275" t="s">
        <v>3305</v>
      </c>
      <c r="K450" s="3409">
        <v>43.08</v>
      </c>
      <c r="L450" s="3412">
        <v>31.54</v>
      </c>
      <c r="M450" s="3276"/>
      <c r="N450" s="3276"/>
      <c r="O450" s="3392"/>
      <c r="P450" s="3393"/>
      <c r="Q450" s="3393"/>
      <c r="R450" s="3276"/>
      <c r="S450" s="3276"/>
      <c r="T450" s="3239" t="str">
        <f t="shared" si="7"/>
        <v>无</v>
      </c>
      <c r="V450" s="3410"/>
    </row>
    <row r="451" spans="1:22">
      <c r="A451" s="3393">
        <v>449</v>
      </c>
      <c r="B451" s="3393">
        <v>2</v>
      </c>
      <c r="C451" s="3393">
        <v>1</v>
      </c>
      <c r="D451" s="3392">
        <v>321</v>
      </c>
      <c r="E451" s="3275">
        <v>333</v>
      </c>
      <c r="F451" s="3276">
        <v>1</v>
      </c>
      <c r="G451" s="3276">
        <v>1</v>
      </c>
      <c r="H451" s="3276">
        <v>1</v>
      </c>
      <c r="I451" s="3275" t="s">
        <v>3332</v>
      </c>
      <c r="J451" s="3275" t="s">
        <v>3335</v>
      </c>
      <c r="K451" s="3409">
        <v>55.07</v>
      </c>
      <c r="L451" s="3412">
        <v>40.32</v>
      </c>
      <c r="M451" s="3276"/>
      <c r="N451" s="3276"/>
      <c r="O451" s="3392">
        <v>2.9</v>
      </c>
      <c r="P451" s="3392" t="s">
        <v>3297</v>
      </c>
      <c r="Q451" s="3392" t="s">
        <v>3298</v>
      </c>
      <c r="R451" s="3276"/>
      <c r="S451" s="3276"/>
      <c r="T451" s="3239" t="str">
        <f t="shared" si="7"/>
        <v>有</v>
      </c>
      <c r="V451" s="3410"/>
    </row>
    <row r="452" spans="1:22" hidden="1">
      <c r="A452" s="3393">
        <v>450</v>
      </c>
      <c r="B452" s="3393">
        <v>2</v>
      </c>
      <c r="C452" s="3393">
        <v>1</v>
      </c>
      <c r="D452" s="3392">
        <v>322</v>
      </c>
      <c r="E452" s="3275">
        <v>313</v>
      </c>
      <c r="F452" s="3276">
        <v>1</v>
      </c>
      <c r="G452" s="3276">
        <v>0</v>
      </c>
      <c r="H452" s="3276">
        <v>1</v>
      </c>
      <c r="I452" s="3275" t="s">
        <v>3304</v>
      </c>
      <c r="J452" s="3275" t="s">
        <v>3305</v>
      </c>
      <c r="K452" s="3409">
        <v>43.08</v>
      </c>
      <c r="L452" s="3412">
        <v>31.54</v>
      </c>
      <c r="M452" s="3276"/>
      <c r="N452" s="3276"/>
      <c r="O452" s="3392"/>
      <c r="P452" s="3393"/>
      <c r="Q452" s="3393"/>
      <c r="R452" s="3276"/>
      <c r="S452" s="3276"/>
      <c r="T452" s="3239" t="str">
        <f t="shared" ref="T452:T515" si="8">IF(OR(J452="无障碍宿舍",J452="无障碍宿舍-01",J452="无障碍宿舍-02",J452="40平",J452="40平-01",J452="40平-02",J452="40平-03",J452="40平-04",J452="40平-06",J452="40平-07",J452="D2"),"无","有")</f>
        <v>无</v>
      </c>
      <c r="V452" s="3410"/>
    </row>
    <row r="453" spans="1:22">
      <c r="A453" s="3393">
        <v>451</v>
      </c>
      <c r="B453" s="3393">
        <v>2</v>
      </c>
      <c r="C453" s="3393">
        <v>1</v>
      </c>
      <c r="D453" s="3392">
        <v>323</v>
      </c>
      <c r="E453" s="3275">
        <v>334</v>
      </c>
      <c r="F453" s="3276">
        <v>1</v>
      </c>
      <c r="G453" s="3276">
        <v>1</v>
      </c>
      <c r="H453" s="3276">
        <v>1</v>
      </c>
      <c r="I453" s="3275" t="s">
        <v>3332</v>
      </c>
      <c r="J453" s="3275" t="s">
        <v>3335</v>
      </c>
      <c r="K453" s="3409">
        <v>55.07</v>
      </c>
      <c r="L453" s="3412">
        <v>40.32</v>
      </c>
      <c r="M453" s="3276"/>
      <c r="N453" s="3276"/>
      <c r="O453" s="3392"/>
      <c r="P453" s="3393"/>
      <c r="Q453" s="3393"/>
      <c r="R453" s="3276"/>
      <c r="S453" s="3276"/>
      <c r="T453" s="3239" t="str">
        <f t="shared" si="8"/>
        <v>有</v>
      </c>
      <c r="V453" s="3410"/>
    </row>
    <row r="454" spans="1:22" hidden="1">
      <c r="A454" s="3393">
        <v>452</v>
      </c>
      <c r="B454" s="3393">
        <v>2</v>
      </c>
      <c r="C454" s="3393">
        <v>1</v>
      </c>
      <c r="D454" s="3392">
        <v>324</v>
      </c>
      <c r="E454" s="3275">
        <v>312</v>
      </c>
      <c r="F454" s="3276">
        <v>1</v>
      </c>
      <c r="G454" s="3276">
        <v>0</v>
      </c>
      <c r="H454" s="3276">
        <v>1</v>
      </c>
      <c r="I454" s="3275" t="s">
        <v>3304</v>
      </c>
      <c r="J454" s="3275" t="s">
        <v>3305</v>
      </c>
      <c r="K454" s="3409">
        <v>43.08</v>
      </c>
      <c r="L454" s="3412">
        <v>31.54</v>
      </c>
      <c r="M454" s="3276"/>
      <c r="N454" s="3276"/>
      <c r="O454" s="3392"/>
      <c r="P454" s="3393"/>
      <c r="Q454" s="3393"/>
      <c r="R454" s="3276"/>
      <c r="S454" s="3276"/>
      <c r="T454" s="3239" t="str">
        <f t="shared" si="8"/>
        <v>无</v>
      </c>
      <c r="V454" s="3410"/>
    </row>
    <row r="455" spans="1:22">
      <c r="A455" s="3393">
        <v>453</v>
      </c>
      <c r="B455" s="3393">
        <v>2</v>
      </c>
      <c r="C455" s="3393">
        <v>1</v>
      </c>
      <c r="D455" s="3392">
        <v>325</v>
      </c>
      <c r="E455" s="3275">
        <v>335</v>
      </c>
      <c r="F455" s="3276">
        <v>1</v>
      </c>
      <c r="G455" s="3276">
        <v>1</v>
      </c>
      <c r="H455" s="3276">
        <v>1</v>
      </c>
      <c r="I455" s="3275" t="s">
        <v>3332</v>
      </c>
      <c r="J455" s="3275" t="s">
        <v>3336</v>
      </c>
      <c r="K455" s="3409">
        <v>58.13</v>
      </c>
      <c r="L455" s="3412">
        <v>42.56</v>
      </c>
      <c r="M455" s="3276"/>
      <c r="N455" s="3276"/>
      <c r="O455" s="3392"/>
      <c r="P455" s="3393"/>
      <c r="Q455" s="3393"/>
      <c r="R455" s="3276"/>
      <c r="S455" s="3276"/>
      <c r="T455" s="3239" t="str">
        <f t="shared" si="8"/>
        <v>有</v>
      </c>
      <c r="V455" s="3410"/>
    </row>
    <row r="456" spans="1:22" hidden="1">
      <c r="A456" s="3393">
        <v>454</v>
      </c>
      <c r="B456" s="3393">
        <v>2</v>
      </c>
      <c r="C456" s="3393">
        <v>1</v>
      </c>
      <c r="D456" s="3392">
        <v>326</v>
      </c>
      <c r="E456" s="3275">
        <v>311</v>
      </c>
      <c r="F456" s="3276">
        <v>1</v>
      </c>
      <c r="G456" s="3276">
        <v>0</v>
      </c>
      <c r="H456" s="3276">
        <v>1</v>
      </c>
      <c r="I456" s="3275" t="s">
        <v>3304</v>
      </c>
      <c r="J456" s="3275" t="s">
        <v>3502</v>
      </c>
      <c r="K456" s="3409">
        <v>43.68</v>
      </c>
      <c r="L456" s="3412">
        <v>31.98</v>
      </c>
      <c r="M456" s="3276"/>
      <c r="N456" s="3276"/>
      <c r="O456" s="3392"/>
      <c r="P456" s="3393"/>
      <c r="Q456" s="3393"/>
      <c r="R456" s="3276"/>
      <c r="S456" s="3276"/>
      <c r="T456" s="3239" t="str">
        <f t="shared" si="8"/>
        <v>无</v>
      </c>
      <c r="V456" s="3410"/>
    </row>
    <row r="457" spans="1:22">
      <c r="A457" s="3393">
        <v>455</v>
      </c>
      <c r="B457" s="3393">
        <v>2</v>
      </c>
      <c r="C457" s="3393">
        <v>1</v>
      </c>
      <c r="D457" s="3392">
        <v>327</v>
      </c>
      <c r="E457" s="3275">
        <v>310</v>
      </c>
      <c r="F457" s="3276">
        <v>1</v>
      </c>
      <c r="G457" s="3276">
        <v>1</v>
      </c>
      <c r="H457" s="3276">
        <v>1</v>
      </c>
      <c r="I457" s="3275" t="s">
        <v>3304</v>
      </c>
      <c r="J457" s="3275" t="s">
        <v>3325</v>
      </c>
      <c r="K457" s="3409">
        <v>54.46</v>
      </c>
      <c r="L457" s="3412">
        <v>39.869999999999997</v>
      </c>
      <c r="M457" s="3276"/>
      <c r="N457" s="3276"/>
      <c r="O457" s="3392"/>
      <c r="P457" s="3393"/>
      <c r="Q457" s="3393"/>
      <c r="R457" s="3276"/>
      <c r="S457" s="3276"/>
      <c r="T457" s="3239" t="str">
        <f t="shared" si="8"/>
        <v>有</v>
      </c>
      <c r="V457" s="3410"/>
    </row>
    <row r="458" spans="1:22">
      <c r="A458" s="3393">
        <v>456</v>
      </c>
      <c r="B458" s="3393">
        <v>2</v>
      </c>
      <c r="C458" s="3393">
        <v>1</v>
      </c>
      <c r="D458" s="3392">
        <v>328</v>
      </c>
      <c r="E458" s="3275">
        <v>336</v>
      </c>
      <c r="F458" s="3276">
        <v>1</v>
      </c>
      <c r="G458" s="3276">
        <v>1</v>
      </c>
      <c r="H458" s="3276">
        <v>1</v>
      </c>
      <c r="I458" s="3275" t="s">
        <v>3312</v>
      </c>
      <c r="J458" s="3275" t="s">
        <v>3337</v>
      </c>
      <c r="K458" s="3409">
        <v>55.21</v>
      </c>
      <c r="L458" s="3412">
        <v>40.42</v>
      </c>
      <c r="M458" s="3276"/>
      <c r="N458" s="3276"/>
      <c r="O458" s="3392"/>
      <c r="P458" s="3393"/>
      <c r="Q458" s="3393"/>
      <c r="R458" s="3276"/>
      <c r="S458" s="3276"/>
      <c r="T458" s="3239" t="str">
        <f t="shared" si="8"/>
        <v>有</v>
      </c>
      <c r="V458" s="3410"/>
    </row>
    <row r="459" spans="1:22">
      <c r="A459" s="3393">
        <v>457</v>
      </c>
      <c r="B459" s="3393">
        <v>2</v>
      </c>
      <c r="C459" s="3393">
        <v>1</v>
      </c>
      <c r="D459" s="3392">
        <v>329</v>
      </c>
      <c r="E459" s="3275">
        <v>338</v>
      </c>
      <c r="F459" s="3276">
        <v>1</v>
      </c>
      <c r="G459" s="3276">
        <v>1</v>
      </c>
      <c r="H459" s="3276">
        <v>1</v>
      </c>
      <c r="I459" s="3275" t="s">
        <v>3312</v>
      </c>
      <c r="J459" s="3275" t="s">
        <v>3338</v>
      </c>
      <c r="K459" s="3409">
        <v>54.46</v>
      </c>
      <c r="L459" s="3412">
        <v>39.869999999999997</v>
      </c>
      <c r="M459" s="3276"/>
      <c r="N459" s="3276"/>
      <c r="O459" s="3392"/>
      <c r="P459" s="3393"/>
      <c r="Q459" s="3393"/>
      <c r="R459" s="3276"/>
      <c r="S459" s="3276"/>
      <c r="T459" s="3239" t="str">
        <f t="shared" si="8"/>
        <v>有</v>
      </c>
      <c r="V459" s="3410"/>
    </row>
    <row r="460" spans="1:22">
      <c r="A460" s="3393">
        <v>458</v>
      </c>
      <c r="B460" s="3393">
        <v>2</v>
      </c>
      <c r="C460" s="3393">
        <v>1</v>
      </c>
      <c r="D460" s="3392">
        <v>330</v>
      </c>
      <c r="E460" s="3275">
        <v>337</v>
      </c>
      <c r="F460" s="3276">
        <v>1</v>
      </c>
      <c r="G460" s="3276">
        <v>1</v>
      </c>
      <c r="H460" s="3276">
        <v>1</v>
      </c>
      <c r="I460" s="3275" t="s">
        <v>3312</v>
      </c>
      <c r="J460" s="3275" t="s">
        <v>3335</v>
      </c>
      <c r="K460" s="3409">
        <v>55.07</v>
      </c>
      <c r="L460" s="3412">
        <v>40.32</v>
      </c>
      <c r="M460" s="3276"/>
      <c r="N460" s="3276"/>
      <c r="O460" s="3392"/>
      <c r="P460" s="3393"/>
      <c r="Q460" s="3393"/>
      <c r="R460" s="3276"/>
      <c r="S460" s="3276"/>
      <c r="T460" s="3239" t="str">
        <f t="shared" si="8"/>
        <v>有</v>
      </c>
      <c r="V460" s="3410"/>
    </row>
    <row r="461" spans="1:22">
      <c r="A461" s="3393">
        <v>459</v>
      </c>
      <c r="B461" s="3393">
        <v>2</v>
      </c>
      <c r="C461" s="3393">
        <v>1</v>
      </c>
      <c r="D461" s="3392">
        <v>331</v>
      </c>
      <c r="E461" s="3275">
        <v>339</v>
      </c>
      <c r="F461" s="3276">
        <v>4</v>
      </c>
      <c r="G461" s="3276">
        <v>1</v>
      </c>
      <c r="H461" s="3276">
        <v>1</v>
      </c>
      <c r="I461" s="3275" t="s">
        <v>3316</v>
      </c>
      <c r="J461" s="3275" t="s">
        <v>3319</v>
      </c>
      <c r="K461" s="3409">
        <v>103.44</v>
      </c>
      <c r="L461" s="3412">
        <v>75.73</v>
      </c>
      <c r="M461" s="3276"/>
      <c r="N461" s="3276"/>
      <c r="O461" s="3392"/>
      <c r="P461" s="3393"/>
      <c r="Q461" s="3393"/>
      <c r="R461" s="3276"/>
      <c r="S461" s="3276"/>
      <c r="T461" s="3239" t="str">
        <f t="shared" si="8"/>
        <v>有</v>
      </c>
      <c r="V461" s="3410"/>
    </row>
    <row r="462" spans="1:22">
      <c r="A462" s="3393">
        <v>460</v>
      </c>
      <c r="B462" s="3393">
        <v>2</v>
      </c>
      <c r="C462" s="3393">
        <v>1</v>
      </c>
      <c r="D462" s="3392">
        <v>332</v>
      </c>
      <c r="E462" s="3275">
        <v>309</v>
      </c>
      <c r="F462" s="3276">
        <v>1</v>
      </c>
      <c r="G462" s="3276">
        <v>1</v>
      </c>
      <c r="H462" s="3276">
        <v>1</v>
      </c>
      <c r="I462" s="3275" t="s">
        <v>3304</v>
      </c>
      <c r="J462" s="3275" t="s">
        <v>3328</v>
      </c>
      <c r="K462" s="3409">
        <v>54.58</v>
      </c>
      <c r="L462" s="3412">
        <v>39.96</v>
      </c>
      <c r="M462" s="3276"/>
      <c r="N462" s="3276"/>
      <c r="O462" s="3392"/>
      <c r="P462" s="3393"/>
      <c r="Q462" s="3393"/>
      <c r="R462" s="3276"/>
      <c r="S462" s="3276"/>
      <c r="T462" s="3239" t="str">
        <f t="shared" si="8"/>
        <v>有</v>
      </c>
      <c r="V462" s="3410"/>
    </row>
    <row r="463" spans="1:22">
      <c r="A463" s="3393">
        <v>461</v>
      </c>
      <c r="B463" s="3393">
        <v>2</v>
      </c>
      <c r="C463" s="3393">
        <v>1</v>
      </c>
      <c r="D463" s="3392">
        <v>333</v>
      </c>
      <c r="E463" s="3275">
        <v>308</v>
      </c>
      <c r="F463" s="3276">
        <v>1</v>
      </c>
      <c r="G463" s="3276">
        <v>1</v>
      </c>
      <c r="H463" s="3276">
        <v>1</v>
      </c>
      <c r="I463" s="3275" t="s">
        <v>3302</v>
      </c>
      <c r="J463" s="3275" t="s">
        <v>3311</v>
      </c>
      <c r="K463" s="3409">
        <v>52.64</v>
      </c>
      <c r="L463" s="3412">
        <v>38.54</v>
      </c>
      <c r="M463" s="3276"/>
      <c r="N463" s="3276"/>
      <c r="O463" s="3392"/>
      <c r="P463" s="3393"/>
      <c r="Q463" s="3393"/>
      <c r="R463" s="3276"/>
      <c r="S463" s="3276"/>
      <c r="T463" s="3239" t="str">
        <f t="shared" si="8"/>
        <v>有</v>
      </c>
      <c r="V463" s="3410"/>
    </row>
    <row r="464" spans="1:22">
      <c r="A464" s="3393">
        <v>462</v>
      </c>
      <c r="B464" s="3393">
        <v>2</v>
      </c>
      <c r="C464" s="3393">
        <v>1</v>
      </c>
      <c r="D464" s="3392">
        <v>334</v>
      </c>
      <c r="E464" s="3275">
        <v>307</v>
      </c>
      <c r="F464" s="3276">
        <v>2</v>
      </c>
      <c r="G464" s="3276">
        <v>1</v>
      </c>
      <c r="H464" s="3276">
        <v>1</v>
      </c>
      <c r="I464" s="3275" t="s">
        <v>3300</v>
      </c>
      <c r="J464" s="3275" t="s">
        <v>3313</v>
      </c>
      <c r="K464" s="3409">
        <v>91.88</v>
      </c>
      <c r="L464" s="3412">
        <v>67.27</v>
      </c>
      <c r="M464" s="3276"/>
      <c r="N464" s="3276"/>
      <c r="O464" s="3392"/>
      <c r="P464" s="3393"/>
      <c r="Q464" s="3393"/>
      <c r="R464" s="3276"/>
      <c r="S464" s="3276"/>
      <c r="T464" s="3239" t="str">
        <f t="shared" si="8"/>
        <v>有</v>
      </c>
      <c r="V464" s="3410"/>
    </row>
    <row r="465" spans="1:22">
      <c r="A465" s="3393">
        <v>463</v>
      </c>
      <c r="B465" s="3393">
        <v>2</v>
      </c>
      <c r="C465" s="3393">
        <v>1</v>
      </c>
      <c r="D465" s="3392">
        <v>335</v>
      </c>
      <c r="E465" s="3275">
        <v>301</v>
      </c>
      <c r="F465" s="3276">
        <v>4</v>
      </c>
      <c r="G465" s="3276">
        <v>1</v>
      </c>
      <c r="H465" s="3276">
        <v>1</v>
      </c>
      <c r="I465" s="3275" t="s">
        <v>3318</v>
      </c>
      <c r="J465" s="3275" t="s">
        <v>3317</v>
      </c>
      <c r="K465" s="3409">
        <v>103.44</v>
      </c>
      <c r="L465" s="3412">
        <v>75.73</v>
      </c>
      <c r="M465" s="3276"/>
      <c r="N465" s="3276"/>
      <c r="O465" s="3392"/>
      <c r="P465" s="3392"/>
      <c r="Q465" s="3392"/>
      <c r="R465" s="3276"/>
      <c r="S465" s="3276"/>
      <c r="T465" s="3239" t="str">
        <f t="shared" si="8"/>
        <v>有</v>
      </c>
      <c r="V465" s="3410"/>
    </row>
    <row r="466" spans="1:22">
      <c r="A466" s="3393">
        <v>464</v>
      </c>
      <c r="B466" s="3393">
        <v>2</v>
      </c>
      <c r="C466" s="3393">
        <v>1</v>
      </c>
      <c r="D466" s="3392">
        <v>336</v>
      </c>
      <c r="E466" s="3275">
        <v>304</v>
      </c>
      <c r="F466" s="3276">
        <v>1</v>
      </c>
      <c r="G466" s="3276">
        <v>1</v>
      </c>
      <c r="H466" s="3276">
        <v>1</v>
      </c>
      <c r="I466" s="3275" t="s">
        <v>3300</v>
      </c>
      <c r="J466" s="3275" t="s">
        <v>3326</v>
      </c>
      <c r="K466" s="3409">
        <v>55.07</v>
      </c>
      <c r="L466" s="3412">
        <v>40.32</v>
      </c>
      <c r="M466" s="3276"/>
      <c r="N466" s="3276"/>
      <c r="O466" s="3392"/>
      <c r="P466" s="3393"/>
      <c r="Q466" s="3393"/>
      <c r="R466" s="3276"/>
      <c r="S466" s="3276"/>
      <c r="T466" s="3239" t="str">
        <f t="shared" si="8"/>
        <v>有</v>
      </c>
      <c r="V466" s="3410"/>
    </row>
    <row r="467" spans="1:22">
      <c r="A467" s="3393">
        <v>465</v>
      </c>
      <c r="B467" s="3393">
        <v>2</v>
      </c>
      <c r="C467" s="3393">
        <v>1</v>
      </c>
      <c r="D467" s="3392">
        <v>337</v>
      </c>
      <c r="E467" s="3275">
        <v>302</v>
      </c>
      <c r="F467" s="3276">
        <v>1</v>
      </c>
      <c r="G467" s="3276">
        <v>1</v>
      </c>
      <c r="H467" s="3276">
        <v>1</v>
      </c>
      <c r="I467" s="3275" t="s">
        <v>3300</v>
      </c>
      <c r="J467" s="3275" t="s">
        <v>3324</v>
      </c>
      <c r="K467" s="3409">
        <v>56.3</v>
      </c>
      <c r="L467" s="3412">
        <v>41.22</v>
      </c>
      <c r="M467" s="3276"/>
      <c r="N467" s="3276"/>
      <c r="O467" s="3392"/>
      <c r="P467" s="3393"/>
      <c r="Q467" s="3393"/>
      <c r="R467" s="3276"/>
      <c r="S467" s="3276"/>
      <c r="T467" s="3239" t="str">
        <f t="shared" si="8"/>
        <v>有</v>
      </c>
      <c r="V467" s="3410"/>
    </row>
    <row r="468" spans="1:22">
      <c r="A468" s="3393">
        <v>466</v>
      </c>
      <c r="B468" s="3393">
        <v>2</v>
      </c>
      <c r="C468" s="3393">
        <v>1</v>
      </c>
      <c r="D468" s="3392">
        <v>338</v>
      </c>
      <c r="E468" s="3275">
        <v>303</v>
      </c>
      <c r="F468" s="3276">
        <v>1</v>
      </c>
      <c r="G468" s="3276">
        <v>1</v>
      </c>
      <c r="H468" s="3276">
        <v>1</v>
      </c>
      <c r="I468" s="3275" t="s">
        <v>3300</v>
      </c>
      <c r="J468" s="3275" t="s">
        <v>3325</v>
      </c>
      <c r="K468" s="3409">
        <v>54.46</v>
      </c>
      <c r="L468" s="3412">
        <v>39.869999999999997</v>
      </c>
      <c r="M468" s="3276"/>
      <c r="N468" s="3276"/>
      <c r="O468" s="3392"/>
      <c r="P468" s="3393"/>
      <c r="Q468" s="3393"/>
      <c r="R468" s="3276"/>
      <c r="S468" s="3276"/>
      <c r="T468" s="3239" t="str">
        <f t="shared" si="8"/>
        <v>有</v>
      </c>
      <c r="V468" s="3410"/>
    </row>
    <row r="469" spans="1:22">
      <c r="A469" s="3393">
        <v>467</v>
      </c>
      <c r="B469" s="3393">
        <v>2</v>
      </c>
      <c r="C469" s="3393">
        <v>1</v>
      </c>
      <c r="D469" s="3392">
        <v>339</v>
      </c>
      <c r="E469" s="3275">
        <v>305</v>
      </c>
      <c r="F469" s="3276">
        <v>1</v>
      </c>
      <c r="G469" s="3276">
        <v>1</v>
      </c>
      <c r="H469" s="3276">
        <v>1</v>
      </c>
      <c r="I469" s="3275" t="s">
        <v>3300</v>
      </c>
      <c r="J469" s="3275" t="s">
        <v>3326</v>
      </c>
      <c r="K469" s="3409">
        <v>55.07</v>
      </c>
      <c r="L469" s="3412">
        <v>40.32</v>
      </c>
      <c r="M469" s="3276"/>
      <c r="N469" s="3276"/>
      <c r="O469" s="3392"/>
      <c r="P469" s="3393"/>
      <c r="Q469" s="3393"/>
      <c r="R469" s="3276"/>
      <c r="S469" s="3276"/>
      <c r="T469" s="3239" t="str">
        <f t="shared" si="8"/>
        <v>有</v>
      </c>
      <c r="V469" s="3410"/>
    </row>
    <row r="470" spans="1:22">
      <c r="A470" s="3393">
        <v>468</v>
      </c>
      <c r="B470" s="3393">
        <v>2</v>
      </c>
      <c r="C470" s="3393">
        <v>1</v>
      </c>
      <c r="D470" s="3392">
        <v>340</v>
      </c>
      <c r="E470" s="3275">
        <v>306</v>
      </c>
      <c r="F470" s="3276">
        <v>1</v>
      </c>
      <c r="G470" s="3276">
        <v>1</v>
      </c>
      <c r="H470" s="3276">
        <v>1</v>
      </c>
      <c r="I470" s="3275" t="s">
        <v>3300</v>
      </c>
      <c r="J470" s="3275" t="s">
        <v>3327</v>
      </c>
      <c r="K470" s="3409">
        <v>54.59</v>
      </c>
      <c r="L470" s="3412">
        <v>39.97</v>
      </c>
      <c r="M470" s="3276"/>
      <c r="N470" s="3276"/>
      <c r="O470" s="3392"/>
      <c r="P470" s="3393"/>
      <c r="Q470" s="3393"/>
      <c r="R470" s="3276"/>
      <c r="S470" s="3276"/>
      <c r="T470" s="3239" t="str">
        <f t="shared" si="8"/>
        <v>有</v>
      </c>
      <c r="V470" s="3410"/>
    </row>
    <row r="471" spans="1:22" hidden="1">
      <c r="A471" s="3393">
        <v>469</v>
      </c>
      <c r="B471" s="3393">
        <v>2</v>
      </c>
      <c r="C471" s="3393">
        <v>1</v>
      </c>
      <c r="D471" s="3392">
        <v>401</v>
      </c>
      <c r="E471" s="3275">
        <v>423</v>
      </c>
      <c r="F471" s="3276">
        <v>1</v>
      </c>
      <c r="G471" s="3276">
        <v>0</v>
      </c>
      <c r="H471" s="3276">
        <v>1</v>
      </c>
      <c r="I471" s="3275" t="s">
        <v>3332</v>
      </c>
      <c r="J471" s="3275" t="s">
        <v>3500</v>
      </c>
      <c r="K471" s="3409">
        <v>48.16</v>
      </c>
      <c r="L471" s="3412">
        <v>35.26</v>
      </c>
      <c r="M471" s="3276"/>
      <c r="N471" s="3276"/>
      <c r="O471" s="3392"/>
      <c r="P471" s="3393"/>
      <c r="Q471" s="3393"/>
      <c r="R471" s="3276"/>
      <c r="S471" s="3276"/>
      <c r="T471" s="3239" t="str">
        <f t="shared" si="8"/>
        <v>无</v>
      </c>
    </row>
    <row r="472" spans="1:22" hidden="1">
      <c r="A472" s="3393">
        <v>470</v>
      </c>
      <c r="B472" s="3393">
        <v>2</v>
      </c>
      <c r="C472" s="3393">
        <v>1</v>
      </c>
      <c r="D472" s="3392">
        <v>402</v>
      </c>
      <c r="E472" s="3275">
        <v>422</v>
      </c>
      <c r="F472" s="3276">
        <v>1</v>
      </c>
      <c r="G472" s="3276">
        <v>0</v>
      </c>
      <c r="H472" s="3276">
        <v>1</v>
      </c>
      <c r="I472" s="3275" t="s">
        <v>3312</v>
      </c>
      <c r="J472" s="3275" t="s">
        <v>3323</v>
      </c>
      <c r="K472" s="3409">
        <v>44.28</v>
      </c>
      <c r="L472" s="3412">
        <v>32.42</v>
      </c>
      <c r="M472" s="3276"/>
      <c r="N472" s="3276"/>
      <c r="O472" s="3392"/>
      <c r="P472" s="3393"/>
      <c r="Q472" s="3393"/>
      <c r="R472" s="3276"/>
      <c r="S472" s="3276"/>
      <c r="T472" s="3239" t="str">
        <f t="shared" si="8"/>
        <v>无</v>
      </c>
    </row>
    <row r="473" spans="1:22">
      <c r="A473" s="3393">
        <v>471</v>
      </c>
      <c r="B473" s="3393">
        <v>2</v>
      </c>
      <c r="C473" s="3393">
        <v>1</v>
      </c>
      <c r="D473" s="3392">
        <v>403</v>
      </c>
      <c r="E473" s="3275">
        <v>421</v>
      </c>
      <c r="F473" s="3276">
        <v>1</v>
      </c>
      <c r="G473" s="3276">
        <v>1</v>
      </c>
      <c r="H473" s="3276">
        <v>1</v>
      </c>
      <c r="I473" s="3275" t="s">
        <v>3310</v>
      </c>
      <c r="J473" s="3275" t="s">
        <v>3303</v>
      </c>
      <c r="K473" s="3409">
        <v>55.34</v>
      </c>
      <c r="L473" s="3412">
        <v>40.520000000000003</v>
      </c>
      <c r="M473" s="3276"/>
      <c r="N473" s="3276"/>
      <c r="O473" s="3392"/>
      <c r="P473" s="3393"/>
      <c r="Q473" s="3393"/>
      <c r="R473" s="3276"/>
      <c r="S473" s="3276"/>
      <c r="T473" s="3239" t="str">
        <f t="shared" si="8"/>
        <v>有</v>
      </c>
    </row>
    <row r="474" spans="1:22" hidden="1">
      <c r="A474" s="3393">
        <v>472</v>
      </c>
      <c r="B474" s="3393">
        <v>2</v>
      </c>
      <c r="C474" s="3393">
        <v>1</v>
      </c>
      <c r="D474" s="3392">
        <v>404</v>
      </c>
      <c r="E474" s="3275">
        <v>424</v>
      </c>
      <c r="F474" s="3276">
        <v>1</v>
      </c>
      <c r="G474" s="3276">
        <v>0</v>
      </c>
      <c r="H474" s="3276">
        <v>1</v>
      </c>
      <c r="I474" s="3275" t="s">
        <v>3332</v>
      </c>
      <c r="J474" s="3275" t="s">
        <v>3501</v>
      </c>
      <c r="K474" s="3409">
        <v>47.12</v>
      </c>
      <c r="L474" s="3412">
        <v>34.5</v>
      </c>
      <c r="M474" s="3276"/>
      <c r="N474" s="3276"/>
      <c r="O474" s="3392"/>
      <c r="P474" s="3393"/>
      <c r="Q474" s="3393"/>
      <c r="R474" s="3276"/>
      <c r="S474" s="3276"/>
      <c r="T474" s="3239" t="str">
        <f t="shared" si="8"/>
        <v>无</v>
      </c>
    </row>
    <row r="475" spans="1:22">
      <c r="A475" s="3393">
        <v>473</v>
      </c>
      <c r="B475" s="3393">
        <v>2</v>
      </c>
      <c r="C475" s="3393">
        <v>1</v>
      </c>
      <c r="D475" s="3392">
        <v>405</v>
      </c>
      <c r="E475" s="3275">
        <v>425</v>
      </c>
      <c r="F475" s="3276">
        <v>1</v>
      </c>
      <c r="G475" s="3276">
        <v>1</v>
      </c>
      <c r="H475" s="3276">
        <v>1</v>
      </c>
      <c r="I475" s="3275" t="s">
        <v>3332</v>
      </c>
      <c r="J475" s="3275" t="s">
        <v>3335</v>
      </c>
      <c r="K475" s="3409">
        <v>55.07</v>
      </c>
      <c r="L475" s="3412">
        <v>40.32</v>
      </c>
      <c r="M475" s="3276"/>
      <c r="N475" s="3276"/>
      <c r="O475" s="3392"/>
      <c r="P475" s="3393"/>
      <c r="Q475" s="3393"/>
      <c r="R475" s="3276"/>
      <c r="S475" s="3276"/>
      <c r="T475" s="3239" t="str">
        <f t="shared" si="8"/>
        <v>有</v>
      </c>
    </row>
    <row r="476" spans="1:22" hidden="1">
      <c r="A476" s="3393">
        <v>474</v>
      </c>
      <c r="B476" s="3393">
        <v>2</v>
      </c>
      <c r="C476" s="3393">
        <v>1</v>
      </c>
      <c r="D476" s="3392">
        <v>406</v>
      </c>
      <c r="E476" s="3275">
        <v>420</v>
      </c>
      <c r="F476" s="3276">
        <v>1</v>
      </c>
      <c r="G476" s="3276">
        <v>0</v>
      </c>
      <c r="H476" s="3276">
        <v>1</v>
      </c>
      <c r="I476" s="3278" t="s">
        <v>3304</v>
      </c>
      <c r="J476" s="3275" t="s">
        <v>3305</v>
      </c>
      <c r="K476" s="3409">
        <v>43.08</v>
      </c>
      <c r="L476" s="3412">
        <v>31.54</v>
      </c>
      <c r="M476" s="3276"/>
      <c r="N476" s="3276"/>
      <c r="O476" s="3392"/>
      <c r="P476" s="3393"/>
      <c r="Q476" s="3393"/>
      <c r="R476" s="3276"/>
      <c r="S476" s="3276"/>
      <c r="T476" s="3239" t="str">
        <f t="shared" si="8"/>
        <v>无</v>
      </c>
    </row>
    <row r="477" spans="1:22" hidden="1">
      <c r="A477" s="3393">
        <v>475</v>
      </c>
      <c r="B477" s="3393">
        <v>2</v>
      </c>
      <c r="C477" s="3393">
        <v>1</v>
      </c>
      <c r="D477" s="3392">
        <v>407</v>
      </c>
      <c r="E477" s="3275">
        <v>419</v>
      </c>
      <c r="F477" s="3276">
        <v>1</v>
      </c>
      <c r="G477" s="3276">
        <v>0</v>
      </c>
      <c r="H477" s="3276">
        <v>1</v>
      </c>
      <c r="I477" s="3278" t="s">
        <v>3304</v>
      </c>
      <c r="J477" s="3275" t="s">
        <v>3305</v>
      </c>
      <c r="K477" s="3409">
        <v>43.08</v>
      </c>
      <c r="L477" s="3412">
        <v>31.54</v>
      </c>
      <c r="M477" s="3276"/>
      <c r="N477" s="3276"/>
      <c r="O477" s="3392"/>
      <c r="P477" s="3393"/>
      <c r="Q477" s="3393"/>
      <c r="R477" s="3276"/>
      <c r="S477" s="3276"/>
      <c r="T477" s="3239" t="str">
        <f t="shared" si="8"/>
        <v>无</v>
      </c>
    </row>
    <row r="478" spans="1:22">
      <c r="A478" s="3393">
        <v>476</v>
      </c>
      <c r="B478" s="3393">
        <v>2</v>
      </c>
      <c r="C478" s="3393">
        <v>1</v>
      </c>
      <c r="D478" s="3392">
        <v>408</v>
      </c>
      <c r="E478" s="3275">
        <v>426</v>
      </c>
      <c r="F478" s="3276">
        <v>1</v>
      </c>
      <c r="G478" s="3276">
        <v>1</v>
      </c>
      <c r="H478" s="3276">
        <v>1</v>
      </c>
      <c r="I478" s="3275" t="s">
        <v>3332</v>
      </c>
      <c r="J478" s="3275" t="s">
        <v>3335</v>
      </c>
      <c r="K478" s="3409">
        <v>55.07</v>
      </c>
      <c r="L478" s="3412">
        <v>40.32</v>
      </c>
      <c r="M478" s="3276"/>
      <c r="N478" s="3276"/>
      <c r="O478" s="3392"/>
      <c r="P478" s="3393"/>
      <c r="Q478" s="3393"/>
      <c r="R478" s="3276"/>
      <c r="S478" s="3276"/>
      <c r="T478" s="3239" t="str">
        <f t="shared" si="8"/>
        <v>有</v>
      </c>
    </row>
    <row r="479" spans="1:22" hidden="1">
      <c r="A479" s="3393">
        <v>477</v>
      </c>
      <c r="B479" s="3393">
        <v>2</v>
      </c>
      <c r="C479" s="3393">
        <v>1</v>
      </c>
      <c r="D479" s="3392">
        <v>409</v>
      </c>
      <c r="E479" s="3275">
        <v>418</v>
      </c>
      <c r="F479" s="3276">
        <v>1</v>
      </c>
      <c r="G479" s="3276">
        <v>0</v>
      </c>
      <c r="H479" s="3276">
        <v>1</v>
      </c>
      <c r="I479" s="3278" t="s">
        <v>3304</v>
      </c>
      <c r="J479" s="3275" t="s">
        <v>3306</v>
      </c>
      <c r="K479" s="3409">
        <v>44.06</v>
      </c>
      <c r="L479" s="3412">
        <v>32.26</v>
      </c>
      <c r="M479" s="3276"/>
      <c r="N479" s="3276"/>
      <c r="O479" s="3392"/>
      <c r="P479" s="3393"/>
      <c r="Q479" s="3393"/>
      <c r="R479" s="3276"/>
      <c r="S479" s="3276"/>
      <c r="T479" s="3239" t="str">
        <f t="shared" si="8"/>
        <v>无</v>
      </c>
    </row>
    <row r="480" spans="1:22">
      <c r="A480" s="3393">
        <v>478</v>
      </c>
      <c r="B480" s="3393">
        <v>2</v>
      </c>
      <c r="C480" s="3393">
        <v>1</v>
      </c>
      <c r="D480" s="3392">
        <v>410</v>
      </c>
      <c r="E480" s="3275">
        <v>427</v>
      </c>
      <c r="F480" s="3276">
        <v>1</v>
      </c>
      <c r="G480" s="3276">
        <v>1</v>
      </c>
      <c r="H480" s="3276">
        <v>1</v>
      </c>
      <c r="I480" s="3275" t="s">
        <v>3332</v>
      </c>
      <c r="J480" s="3275" t="s">
        <v>3335</v>
      </c>
      <c r="K480" s="3409">
        <v>55.07</v>
      </c>
      <c r="L480" s="3412">
        <v>40.32</v>
      </c>
      <c r="M480" s="3276"/>
      <c r="N480" s="3276"/>
      <c r="O480" s="3392"/>
      <c r="P480" s="3393"/>
      <c r="Q480" s="3393"/>
      <c r="R480" s="3276"/>
      <c r="S480" s="3276"/>
      <c r="T480" s="3239" t="str">
        <f t="shared" si="8"/>
        <v>有</v>
      </c>
    </row>
    <row r="481" spans="1:20">
      <c r="A481" s="3393">
        <v>479</v>
      </c>
      <c r="B481" s="3393">
        <v>2</v>
      </c>
      <c r="C481" s="3393">
        <v>1</v>
      </c>
      <c r="D481" s="3392">
        <v>411</v>
      </c>
      <c r="E481" s="3275">
        <v>428</v>
      </c>
      <c r="F481" s="3276">
        <v>1</v>
      </c>
      <c r="G481" s="3276">
        <v>1</v>
      </c>
      <c r="H481" s="3276">
        <v>1</v>
      </c>
      <c r="I481" s="3275" t="s">
        <v>3332</v>
      </c>
      <c r="J481" s="3275" t="s">
        <v>3335</v>
      </c>
      <c r="K481" s="3409">
        <v>55.07</v>
      </c>
      <c r="L481" s="3412">
        <v>40.32</v>
      </c>
      <c r="M481" s="3276"/>
      <c r="N481" s="3276"/>
      <c r="O481" s="3392"/>
      <c r="P481" s="3393"/>
      <c r="Q481" s="3393"/>
      <c r="R481" s="3276"/>
      <c r="S481" s="3276"/>
      <c r="T481" s="3239" t="str">
        <f t="shared" si="8"/>
        <v>有</v>
      </c>
    </row>
    <row r="482" spans="1:20">
      <c r="A482" s="3393">
        <v>480</v>
      </c>
      <c r="B482" s="3393">
        <v>2</v>
      </c>
      <c r="C482" s="3393">
        <v>1</v>
      </c>
      <c r="D482" s="3392">
        <v>412</v>
      </c>
      <c r="E482" s="3275">
        <v>429</v>
      </c>
      <c r="F482" s="3276">
        <v>1</v>
      </c>
      <c r="G482" s="3276">
        <v>1</v>
      </c>
      <c r="H482" s="3276">
        <v>1</v>
      </c>
      <c r="I482" s="3275" t="s">
        <v>3332</v>
      </c>
      <c r="J482" s="3275" t="s">
        <v>3335</v>
      </c>
      <c r="K482" s="3409">
        <v>55.07</v>
      </c>
      <c r="L482" s="3412">
        <v>40.32</v>
      </c>
      <c r="M482" s="3276"/>
      <c r="N482" s="3276"/>
      <c r="O482" s="3392"/>
      <c r="P482" s="3393"/>
      <c r="Q482" s="3393"/>
      <c r="R482" s="3276"/>
      <c r="S482" s="3276"/>
      <c r="T482" s="3239" t="str">
        <f t="shared" si="8"/>
        <v>有</v>
      </c>
    </row>
    <row r="483" spans="1:20">
      <c r="A483" s="3393">
        <v>481</v>
      </c>
      <c r="B483" s="3393">
        <v>2</v>
      </c>
      <c r="C483" s="3393">
        <v>1</v>
      </c>
      <c r="D483" s="3392">
        <v>414</v>
      </c>
      <c r="E483" s="3275">
        <v>430</v>
      </c>
      <c r="F483" s="3276">
        <v>1</v>
      </c>
      <c r="G483" s="3276">
        <v>1</v>
      </c>
      <c r="H483" s="3276">
        <v>1</v>
      </c>
      <c r="I483" s="3275" t="s">
        <v>3332</v>
      </c>
      <c r="J483" s="3275" t="s">
        <v>3335</v>
      </c>
      <c r="K483" s="3409">
        <v>55.07</v>
      </c>
      <c r="L483" s="3412">
        <v>40.32</v>
      </c>
      <c r="M483" s="3276"/>
      <c r="N483" s="3276"/>
      <c r="O483" s="3392"/>
      <c r="P483" s="3393"/>
      <c r="Q483" s="3393"/>
      <c r="R483" s="3276"/>
      <c r="S483" s="3276"/>
      <c r="T483" s="3239" t="str">
        <f t="shared" si="8"/>
        <v>有</v>
      </c>
    </row>
    <row r="484" spans="1:20" hidden="1">
      <c r="A484" s="3393">
        <v>482</v>
      </c>
      <c r="B484" s="3393">
        <v>2</v>
      </c>
      <c r="C484" s="3393">
        <v>1</v>
      </c>
      <c r="D484" s="3392">
        <v>415</v>
      </c>
      <c r="E484" s="3275">
        <v>417</v>
      </c>
      <c r="F484" s="3276">
        <v>1</v>
      </c>
      <c r="G484" s="3276">
        <v>0</v>
      </c>
      <c r="H484" s="3276">
        <v>1</v>
      </c>
      <c r="I484" s="3278" t="s">
        <v>3304</v>
      </c>
      <c r="J484" s="3275" t="s">
        <v>3306</v>
      </c>
      <c r="K484" s="3409">
        <v>44.06</v>
      </c>
      <c r="L484" s="3412">
        <v>32.26</v>
      </c>
      <c r="M484" s="3276"/>
      <c r="N484" s="3276"/>
      <c r="O484" s="3392"/>
      <c r="P484" s="3393"/>
      <c r="Q484" s="3393"/>
      <c r="R484" s="3276"/>
      <c r="S484" s="3276"/>
      <c r="T484" s="3239" t="str">
        <f t="shared" si="8"/>
        <v>无</v>
      </c>
    </row>
    <row r="485" spans="1:20">
      <c r="A485" s="3393">
        <v>483</v>
      </c>
      <c r="B485" s="3393">
        <v>2</v>
      </c>
      <c r="C485" s="3393">
        <v>1</v>
      </c>
      <c r="D485" s="3392">
        <v>416</v>
      </c>
      <c r="E485" s="3275">
        <v>431</v>
      </c>
      <c r="F485" s="3276">
        <v>1</v>
      </c>
      <c r="G485" s="3276">
        <v>1</v>
      </c>
      <c r="H485" s="3276">
        <v>1</v>
      </c>
      <c r="I485" s="3275" t="s">
        <v>3332</v>
      </c>
      <c r="J485" s="3275" t="s">
        <v>3335</v>
      </c>
      <c r="K485" s="3409">
        <v>55.07</v>
      </c>
      <c r="L485" s="3412">
        <v>40.32</v>
      </c>
      <c r="M485" s="3276"/>
      <c r="N485" s="3276"/>
      <c r="O485" s="3392"/>
      <c r="P485" s="3393"/>
      <c r="Q485" s="3393"/>
      <c r="R485" s="3276"/>
      <c r="S485" s="3276"/>
      <c r="T485" s="3239" t="str">
        <f t="shared" si="8"/>
        <v>有</v>
      </c>
    </row>
    <row r="486" spans="1:20" hidden="1">
      <c r="A486" s="3393">
        <v>484</v>
      </c>
      <c r="B486" s="3393">
        <v>2</v>
      </c>
      <c r="C486" s="3393">
        <v>1</v>
      </c>
      <c r="D486" s="3392">
        <v>417</v>
      </c>
      <c r="E486" s="3275">
        <v>416</v>
      </c>
      <c r="F486" s="3276">
        <v>1</v>
      </c>
      <c r="G486" s="3276">
        <v>0</v>
      </c>
      <c r="H486" s="3276">
        <v>1</v>
      </c>
      <c r="I486" s="3278" t="s">
        <v>3304</v>
      </c>
      <c r="J486" s="3275" t="s">
        <v>3305</v>
      </c>
      <c r="K486" s="3409">
        <v>43.08</v>
      </c>
      <c r="L486" s="3412">
        <v>31.54</v>
      </c>
      <c r="M486" s="3276"/>
      <c r="N486" s="3276"/>
      <c r="O486" s="3392"/>
      <c r="P486" s="3393"/>
      <c r="Q486" s="3393"/>
      <c r="R486" s="3276"/>
      <c r="S486" s="3276"/>
      <c r="T486" s="3239" t="str">
        <f t="shared" si="8"/>
        <v>无</v>
      </c>
    </row>
    <row r="487" spans="1:20" hidden="1">
      <c r="A487" s="3393">
        <v>485</v>
      </c>
      <c r="B487" s="3393">
        <v>2</v>
      </c>
      <c r="C487" s="3393">
        <v>1</v>
      </c>
      <c r="D487" s="3392">
        <v>418</v>
      </c>
      <c r="E487" s="3275">
        <v>415</v>
      </c>
      <c r="F487" s="3276">
        <v>1</v>
      </c>
      <c r="G487" s="3276">
        <v>0</v>
      </c>
      <c r="H487" s="3276">
        <v>1</v>
      </c>
      <c r="I487" s="3275" t="s">
        <v>3304</v>
      </c>
      <c r="J487" s="3275" t="s">
        <v>3305</v>
      </c>
      <c r="K487" s="3409">
        <v>43.08</v>
      </c>
      <c r="L487" s="3412">
        <v>31.54</v>
      </c>
      <c r="M487" s="3276"/>
      <c r="N487" s="3276"/>
      <c r="O487" s="3392"/>
      <c r="P487" s="3393"/>
      <c r="Q487" s="3393"/>
      <c r="R487" s="3276"/>
      <c r="S487" s="3276"/>
      <c r="T487" s="3239" t="str">
        <f t="shared" si="8"/>
        <v>无</v>
      </c>
    </row>
    <row r="488" spans="1:20">
      <c r="A488" s="3393">
        <v>486</v>
      </c>
      <c r="B488" s="3393">
        <v>2</v>
      </c>
      <c r="C488" s="3393">
        <v>1</v>
      </c>
      <c r="D488" s="3392">
        <v>419</v>
      </c>
      <c r="E488" s="3275">
        <v>432</v>
      </c>
      <c r="F488" s="3276">
        <v>1</v>
      </c>
      <c r="G488" s="3276">
        <v>1</v>
      </c>
      <c r="H488" s="3276">
        <v>1</v>
      </c>
      <c r="I488" s="3275" t="s">
        <v>3332</v>
      </c>
      <c r="J488" s="3275" t="s">
        <v>3335</v>
      </c>
      <c r="K488" s="3409">
        <v>55.07</v>
      </c>
      <c r="L488" s="3412">
        <v>40.32</v>
      </c>
      <c r="M488" s="3276"/>
      <c r="N488" s="3276"/>
      <c r="O488" s="3392"/>
      <c r="P488" s="3393"/>
      <c r="Q488" s="3393"/>
      <c r="R488" s="3276"/>
      <c r="S488" s="3276"/>
      <c r="T488" s="3239" t="str">
        <f t="shared" si="8"/>
        <v>有</v>
      </c>
    </row>
    <row r="489" spans="1:20" hidden="1">
      <c r="A489" s="3393">
        <v>487</v>
      </c>
      <c r="B489" s="3393">
        <v>2</v>
      </c>
      <c r="C489" s="3393">
        <v>1</v>
      </c>
      <c r="D489" s="3392">
        <v>420</v>
      </c>
      <c r="E489" s="3275">
        <v>414</v>
      </c>
      <c r="F489" s="3276">
        <v>1</v>
      </c>
      <c r="G489" s="3276">
        <v>0</v>
      </c>
      <c r="H489" s="3276">
        <v>1</v>
      </c>
      <c r="I489" s="3275" t="s">
        <v>3304</v>
      </c>
      <c r="J489" s="3275" t="s">
        <v>3305</v>
      </c>
      <c r="K489" s="3409">
        <v>43.08</v>
      </c>
      <c r="L489" s="3412">
        <v>31.54</v>
      </c>
      <c r="M489" s="3276"/>
      <c r="N489" s="3276"/>
      <c r="O489" s="3392"/>
      <c r="P489" s="3393"/>
      <c r="Q489" s="3393"/>
      <c r="R489" s="3276"/>
      <c r="S489" s="3276"/>
      <c r="T489" s="3239" t="str">
        <f t="shared" si="8"/>
        <v>无</v>
      </c>
    </row>
    <row r="490" spans="1:20">
      <c r="A490" s="3393">
        <v>488</v>
      </c>
      <c r="B490" s="3393">
        <v>2</v>
      </c>
      <c r="C490" s="3393">
        <v>1</v>
      </c>
      <c r="D490" s="3392">
        <v>421</v>
      </c>
      <c r="E490" s="3275">
        <v>433</v>
      </c>
      <c r="F490" s="3276">
        <v>1</v>
      </c>
      <c r="G490" s="3276">
        <v>1</v>
      </c>
      <c r="H490" s="3276">
        <v>1</v>
      </c>
      <c r="I490" s="3275" t="s">
        <v>3332</v>
      </c>
      <c r="J490" s="3275" t="s">
        <v>3335</v>
      </c>
      <c r="K490" s="3409">
        <v>55.07</v>
      </c>
      <c r="L490" s="3412">
        <v>40.32</v>
      </c>
      <c r="M490" s="3276"/>
      <c r="N490" s="3276"/>
      <c r="O490" s="3392"/>
      <c r="P490" s="3393"/>
      <c r="Q490" s="3393"/>
      <c r="R490" s="3276"/>
      <c r="S490" s="3276"/>
      <c r="T490" s="3239" t="str">
        <f t="shared" si="8"/>
        <v>有</v>
      </c>
    </row>
    <row r="491" spans="1:20" hidden="1">
      <c r="A491" s="3393">
        <v>489</v>
      </c>
      <c r="B491" s="3393">
        <v>2</v>
      </c>
      <c r="C491" s="3393">
        <v>1</v>
      </c>
      <c r="D491" s="3392">
        <v>422</v>
      </c>
      <c r="E491" s="3275">
        <v>413</v>
      </c>
      <c r="F491" s="3276">
        <v>1</v>
      </c>
      <c r="G491" s="3276">
        <v>0</v>
      </c>
      <c r="H491" s="3276">
        <v>1</v>
      </c>
      <c r="I491" s="3275" t="s">
        <v>3304</v>
      </c>
      <c r="J491" s="3275" t="s">
        <v>3305</v>
      </c>
      <c r="K491" s="3409">
        <v>43.08</v>
      </c>
      <c r="L491" s="3412">
        <v>31.54</v>
      </c>
      <c r="M491" s="3276"/>
      <c r="N491" s="3276"/>
      <c r="O491" s="3392"/>
      <c r="P491" s="3393"/>
      <c r="Q491" s="3393"/>
      <c r="R491" s="3276"/>
      <c r="S491" s="3276"/>
      <c r="T491" s="3239" t="str">
        <f t="shared" si="8"/>
        <v>无</v>
      </c>
    </row>
    <row r="492" spans="1:20">
      <c r="A492" s="3393">
        <v>490</v>
      </c>
      <c r="B492" s="3393">
        <v>2</v>
      </c>
      <c r="C492" s="3393">
        <v>1</v>
      </c>
      <c r="D492" s="3392">
        <v>423</v>
      </c>
      <c r="E492" s="3275">
        <v>434</v>
      </c>
      <c r="F492" s="3276">
        <v>1</v>
      </c>
      <c r="G492" s="3276">
        <v>1</v>
      </c>
      <c r="H492" s="3276">
        <v>1</v>
      </c>
      <c r="I492" s="3275" t="s">
        <v>3332</v>
      </c>
      <c r="J492" s="3275" t="s">
        <v>3335</v>
      </c>
      <c r="K492" s="3409">
        <v>55.07</v>
      </c>
      <c r="L492" s="3412">
        <v>40.32</v>
      </c>
      <c r="M492" s="3276"/>
      <c r="N492" s="3276"/>
      <c r="O492" s="3392"/>
      <c r="P492" s="3393"/>
      <c r="Q492" s="3393"/>
      <c r="R492" s="3276"/>
      <c r="S492" s="3276"/>
      <c r="T492" s="3239" t="str">
        <f t="shared" si="8"/>
        <v>有</v>
      </c>
    </row>
    <row r="493" spans="1:20" hidden="1">
      <c r="A493" s="3393">
        <v>491</v>
      </c>
      <c r="B493" s="3393">
        <v>2</v>
      </c>
      <c r="C493" s="3393">
        <v>1</v>
      </c>
      <c r="D493" s="3392">
        <v>424</v>
      </c>
      <c r="E493" s="3275">
        <v>412</v>
      </c>
      <c r="F493" s="3276">
        <v>1</v>
      </c>
      <c r="G493" s="3276">
        <v>0</v>
      </c>
      <c r="H493" s="3276">
        <v>1</v>
      </c>
      <c r="I493" s="3275" t="s">
        <v>3304</v>
      </c>
      <c r="J493" s="3275" t="s">
        <v>3305</v>
      </c>
      <c r="K493" s="3409">
        <v>43.08</v>
      </c>
      <c r="L493" s="3412">
        <v>31.54</v>
      </c>
      <c r="M493" s="3276"/>
      <c r="N493" s="3276"/>
      <c r="O493" s="3392">
        <v>2.9</v>
      </c>
      <c r="P493" s="3392" t="s">
        <v>3297</v>
      </c>
      <c r="Q493" s="3392" t="s">
        <v>3298</v>
      </c>
      <c r="R493" s="3276"/>
      <c r="S493" s="3276"/>
      <c r="T493" s="3239" t="str">
        <f t="shared" si="8"/>
        <v>无</v>
      </c>
    </row>
    <row r="494" spans="1:20">
      <c r="A494" s="3393">
        <v>492</v>
      </c>
      <c r="B494" s="3393">
        <v>2</v>
      </c>
      <c r="C494" s="3393">
        <v>1</v>
      </c>
      <c r="D494" s="3392">
        <v>425</v>
      </c>
      <c r="E494" s="3275">
        <v>435</v>
      </c>
      <c r="F494" s="3276">
        <v>1</v>
      </c>
      <c r="G494" s="3276">
        <v>1</v>
      </c>
      <c r="H494" s="3276">
        <v>1</v>
      </c>
      <c r="I494" s="3275" t="s">
        <v>3332</v>
      </c>
      <c r="J494" s="3275" t="s">
        <v>3336</v>
      </c>
      <c r="K494" s="3409">
        <v>58.13</v>
      </c>
      <c r="L494" s="3412">
        <v>42.56</v>
      </c>
      <c r="M494" s="3276"/>
      <c r="N494" s="3276"/>
      <c r="O494" s="3392"/>
      <c r="P494" s="3393"/>
      <c r="Q494" s="3393"/>
      <c r="R494" s="3276"/>
      <c r="S494" s="3276"/>
      <c r="T494" s="3239" t="str">
        <f t="shared" si="8"/>
        <v>有</v>
      </c>
    </row>
    <row r="495" spans="1:20" hidden="1">
      <c r="A495" s="3393">
        <v>493</v>
      </c>
      <c r="B495" s="3393">
        <v>2</v>
      </c>
      <c r="C495" s="3393">
        <v>1</v>
      </c>
      <c r="D495" s="3392">
        <v>426</v>
      </c>
      <c r="E495" s="3275">
        <v>411</v>
      </c>
      <c r="F495" s="3276">
        <v>1</v>
      </c>
      <c r="G495" s="3276">
        <v>0</v>
      </c>
      <c r="H495" s="3276">
        <v>1</v>
      </c>
      <c r="I495" s="3275" t="s">
        <v>3304</v>
      </c>
      <c r="J495" s="3275" t="s">
        <v>3502</v>
      </c>
      <c r="K495" s="3409">
        <v>43.68</v>
      </c>
      <c r="L495" s="3412">
        <v>31.98</v>
      </c>
      <c r="M495" s="3276"/>
      <c r="N495" s="3276"/>
      <c r="O495" s="3392"/>
      <c r="P495" s="3393"/>
      <c r="Q495" s="3393"/>
      <c r="R495" s="3276"/>
      <c r="S495" s="3276"/>
      <c r="T495" s="3239" t="str">
        <f t="shared" si="8"/>
        <v>无</v>
      </c>
    </row>
    <row r="496" spans="1:20">
      <c r="A496" s="3393">
        <v>494</v>
      </c>
      <c r="B496" s="3393">
        <v>2</v>
      </c>
      <c r="C496" s="3393">
        <v>1</v>
      </c>
      <c r="D496" s="3392">
        <v>427</v>
      </c>
      <c r="E496" s="3275">
        <v>410</v>
      </c>
      <c r="F496" s="3276">
        <v>1</v>
      </c>
      <c r="G496" s="3276">
        <v>1</v>
      </c>
      <c r="H496" s="3276">
        <v>1</v>
      </c>
      <c r="I496" s="3275" t="s">
        <v>3304</v>
      </c>
      <c r="J496" s="3275" t="s">
        <v>3325</v>
      </c>
      <c r="K496" s="3409">
        <v>54.46</v>
      </c>
      <c r="L496" s="3412">
        <v>39.869999999999997</v>
      </c>
      <c r="M496" s="3276"/>
      <c r="N496" s="3276"/>
      <c r="O496" s="3392"/>
      <c r="P496" s="3393"/>
      <c r="Q496" s="3393"/>
      <c r="R496" s="3276"/>
      <c r="S496" s="3276"/>
      <c r="T496" s="3239" t="str">
        <f t="shared" si="8"/>
        <v>有</v>
      </c>
    </row>
    <row r="497" spans="1:20">
      <c r="A497" s="3393">
        <v>495</v>
      </c>
      <c r="B497" s="3393">
        <v>2</v>
      </c>
      <c r="C497" s="3393">
        <v>1</v>
      </c>
      <c r="D497" s="3392">
        <v>428</v>
      </c>
      <c r="E497" s="3275">
        <v>436</v>
      </c>
      <c r="F497" s="3276">
        <v>1</v>
      </c>
      <c r="G497" s="3276">
        <v>1</v>
      </c>
      <c r="H497" s="3276">
        <v>1</v>
      </c>
      <c r="I497" s="3275" t="s">
        <v>3312</v>
      </c>
      <c r="J497" s="3275" t="s">
        <v>3337</v>
      </c>
      <c r="K497" s="3409">
        <v>55.21</v>
      </c>
      <c r="L497" s="3412">
        <v>40.42</v>
      </c>
      <c r="M497" s="3276"/>
      <c r="N497" s="3276"/>
      <c r="O497" s="3392"/>
      <c r="P497" s="3393"/>
      <c r="Q497" s="3393"/>
      <c r="R497" s="3276"/>
      <c r="S497" s="3276"/>
      <c r="T497" s="3239" t="str">
        <f t="shared" si="8"/>
        <v>有</v>
      </c>
    </row>
    <row r="498" spans="1:20">
      <c r="A498" s="3393">
        <v>496</v>
      </c>
      <c r="B498" s="3393">
        <v>2</v>
      </c>
      <c r="C498" s="3393">
        <v>1</v>
      </c>
      <c r="D498" s="3392">
        <v>429</v>
      </c>
      <c r="E498" s="3275">
        <v>438</v>
      </c>
      <c r="F498" s="3276">
        <v>1</v>
      </c>
      <c r="G498" s="3276">
        <v>1</v>
      </c>
      <c r="H498" s="3276">
        <v>1</v>
      </c>
      <c r="I498" s="3275" t="s">
        <v>3312</v>
      </c>
      <c r="J498" s="3275" t="s">
        <v>3338</v>
      </c>
      <c r="K498" s="3409">
        <v>54.46</v>
      </c>
      <c r="L498" s="3412">
        <v>39.869999999999997</v>
      </c>
      <c r="M498" s="3276"/>
      <c r="N498" s="3276"/>
      <c r="O498" s="3392"/>
      <c r="P498" s="3393"/>
      <c r="Q498" s="3393"/>
      <c r="R498" s="3276"/>
      <c r="S498" s="3276"/>
      <c r="T498" s="3239" t="str">
        <f t="shared" si="8"/>
        <v>有</v>
      </c>
    </row>
    <row r="499" spans="1:20">
      <c r="A499" s="3393">
        <v>497</v>
      </c>
      <c r="B499" s="3393">
        <v>2</v>
      </c>
      <c r="C499" s="3393">
        <v>1</v>
      </c>
      <c r="D499" s="3392">
        <v>430</v>
      </c>
      <c r="E499" s="3275">
        <v>437</v>
      </c>
      <c r="F499" s="3276">
        <v>1</v>
      </c>
      <c r="G499" s="3276">
        <v>1</v>
      </c>
      <c r="H499" s="3276">
        <v>1</v>
      </c>
      <c r="I499" s="3275" t="s">
        <v>3312</v>
      </c>
      <c r="J499" s="3275" t="s">
        <v>3335</v>
      </c>
      <c r="K499" s="3409">
        <v>55.07</v>
      </c>
      <c r="L499" s="3412">
        <v>40.32</v>
      </c>
      <c r="M499" s="3276"/>
      <c r="N499" s="3276"/>
      <c r="O499" s="3392"/>
      <c r="P499" s="3393"/>
      <c r="Q499" s="3393"/>
      <c r="R499" s="3276"/>
      <c r="S499" s="3276"/>
      <c r="T499" s="3239" t="str">
        <f t="shared" si="8"/>
        <v>有</v>
      </c>
    </row>
    <row r="500" spans="1:20">
      <c r="A500" s="3393">
        <v>498</v>
      </c>
      <c r="B500" s="3393">
        <v>2</v>
      </c>
      <c r="C500" s="3393">
        <v>1</v>
      </c>
      <c r="D500" s="3392">
        <v>431</v>
      </c>
      <c r="E500" s="3275">
        <v>439</v>
      </c>
      <c r="F500" s="3276">
        <v>4</v>
      </c>
      <c r="G500" s="3276">
        <v>1</v>
      </c>
      <c r="H500" s="3276">
        <v>1</v>
      </c>
      <c r="I500" s="3275" t="s">
        <v>3316</v>
      </c>
      <c r="J500" s="3275" t="s">
        <v>3319</v>
      </c>
      <c r="K500" s="3409">
        <v>103.44</v>
      </c>
      <c r="L500" s="3412">
        <v>75.73</v>
      </c>
      <c r="M500" s="3276"/>
      <c r="N500" s="3276"/>
      <c r="O500" s="3392"/>
      <c r="P500" s="3393"/>
      <c r="Q500" s="3393"/>
      <c r="R500" s="3276"/>
      <c r="S500" s="3276"/>
      <c r="T500" s="3239" t="str">
        <f t="shared" si="8"/>
        <v>有</v>
      </c>
    </row>
    <row r="501" spans="1:20">
      <c r="A501" s="3393">
        <v>499</v>
      </c>
      <c r="B501" s="3393">
        <v>2</v>
      </c>
      <c r="C501" s="3393">
        <v>1</v>
      </c>
      <c r="D501" s="3392">
        <v>432</v>
      </c>
      <c r="E501" s="3275">
        <v>409</v>
      </c>
      <c r="F501" s="3276">
        <v>1</v>
      </c>
      <c r="G501" s="3276">
        <v>1</v>
      </c>
      <c r="H501" s="3276">
        <v>1</v>
      </c>
      <c r="I501" s="3275" t="s">
        <v>3304</v>
      </c>
      <c r="J501" s="3275" t="s">
        <v>3328</v>
      </c>
      <c r="K501" s="3409">
        <v>54.58</v>
      </c>
      <c r="L501" s="3412">
        <v>39.96</v>
      </c>
      <c r="M501" s="3276"/>
      <c r="N501" s="3276"/>
      <c r="O501" s="3392"/>
      <c r="P501" s="3393"/>
      <c r="Q501" s="3393"/>
      <c r="R501" s="3276"/>
      <c r="S501" s="3276"/>
      <c r="T501" s="3239" t="str">
        <f t="shared" si="8"/>
        <v>有</v>
      </c>
    </row>
    <row r="502" spans="1:20">
      <c r="A502" s="3393">
        <v>500</v>
      </c>
      <c r="B502" s="3393">
        <v>2</v>
      </c>
      <c r="C502" s="3393">
        <v>1</v>
      </c>
      <c r="D502" s="3392">
        <v>433</v>
      </c>
      <c r="E502" s="3275">
        <v>408</v>
      </c>
      <c r="F502" s="3276">
        <v>1</v>
      </c>
      <c r="G502" s="3276">
        <v>1</v>
      </c>
      <c r="H502" s="3276">
        <v>1</v>
      </c>
      <c r="I502" s="3275" t="s">
        <v>3302</v>
      </c>
      <c r="J502" s="3275" t="s">
        <v>3311</v>
      </c>
      <c r="K502" s="3409">
        <v>52.64</v>
      </c>
      <c r="L502" s="3412">
        <v>38.54</v>
      </c>
      <c r="M502" s="3276"/>
      <c r="N502" s="3276"/>
      <c r="O502" s="3392"/>
      <c r="P502" s="3393"/>
      <c r="Q502" s="3393"/>
      <c r="R502" s="3276"/>
      <c r="S502" s="3276"/>
      <c r="T502" s="3239" t="str">
        <f t="shared" si="8"/>
        <v>有</v>
      </c>
    </row>
    <row r="503" spans="1:20">
      <c r="A503" s="3393">
        <v>501</v>
      </c>
      <c r="B503" s="3393">
        <v>2</v>
      </c>
      <c r="C503" s="3393">
        <v>1</v>
      </c>
      <c r="D503" s="3392">
        <v>434</v>
      </c>
      <c r="E503" s="3275">
        <v>407</v>
      </c>
      <c r="F503" s="3276">
        <v>2</v>
      </c>
      <c r="G503" s="3276">
        <v>1</v>
      </c>
      <c r="H503" s="3276">
        <v>1</v>
      </c>
      <c r="I503" s="3275" t="s">
        <v>3300</v>
      </c>
      <c r="J503" s="3275" t="s">
        <v>3313</v>
      </c>
      <c r="K503" s="3409">
        <v>91.88</v>
      </c>
      <c r="L503" s="3412">
        <v>67.27</v>
      </c>
      <c r="M503" s="3276"/>
      <c r="N503" s="3276"/>
      <c r="O503" s="3392"/>
      <c r="P503" s="3393"/>
      <c r="Q503" s="3393"/>
      <c r="R503" s="3276"/>
      <c r="S503" s="3276"/>
      <c r="T503" s="3239" t="str">
        <f t="shared" si="8"/>
        <v>有</v>
      </c>
    </row>
    <row r="504" spans="1:20">
      <c r="A504" s="3393">
        <v>502</v>
      </c>
      <c r="B504" s="3393">
        <v>2</v>
      </c>
      <c r="C504" s="3393">
        <v>1</v>
      </c>
      <c r="D504" s="3392">
        <v>435</v>
      </c>
      <c r="E504" s="3275">
        <v>401</v>
      </c>
      <c r="F504" s="3276">
        <v>4</v>
      </c>
      <c r="G504" s="3276">
        <v>1</v>
      </c>
      <c r="H504" s="3276">
        <v>1</v>
      </c>
      <c r="I504" s="3275" t="s">
        <v>3318</v>
      </c>
      <c r="J504" s="3275" t="s">
        <v>3317</v>
      </c>
      <c r="K504" s="3409">
        <v>103.44</v>
      </c>
      <c r="L504" s="3412">
        <v>75.73</v>
      </c>
      <c r="M504" s="3276"/>
      <c r="N504" s="3276"/>
      <c r="O504" s="3392"/>
      <c r="P504" s="3393"/>
      <c r="Q504" s="3393"/>
      <c r="R504" s="3276"/>
      <c r="S504" s="3276"/>
      <c r="T504" s="3239" t="str">
        <f t="shared" si="8"/>
        <v>有</v>
      </c>
    </row>
    <row r="505" spans="1:20">
      <c r="A505" s="3393">
        <v>503</v>
      </c>
      <c r="B505" s="3393">
        <v>2</v>
      </c>
      <c r="C505" s="3393">
        <v>1</v>
      </c>
      <c r="D505" s="3392">
        <v>436</v>
      </c>
      <c r="E505" s="3275">
        <v>404</v>
      </c>
      <c r="F505" s="3276">
        <v>1</v>
      </c>
      <c r="G505" s="3276">
        <v>1</v>
      </c>
      <c r="H505" s="3276">
        <v>1</v>
      </c>
      <c r="I505" s="3275" t="s">
        <v>3300</v>
      </c>
      <c r="J505" s="3275" t="s">
        <v>3326</v>
      </c>
      <c r="K505" s="3409">
        <v>55.07</v>
      </c>
      <c r="L505" s="3412">
        <v>40.32</v>
      </c>
      <c r="M505" s="3276"/>
      <c r="N505" s="3276"/>
      <c r="O505" s="3392"/>
      <c r="P505" s="3393"/>
      <c r="Q505" s="3393"/>
      <c r="R505" s="3276"/>
      <c r="S505" s="3276"/>
      <c r="T505" s="3239" t="str">
        <f t="shared" si="8"/>
        <v>有</v>
      </c>
    </row>
    <row r="506" spans="1:20">
      <c r="A506" s="3393">
        <v>504</v>
      </c>
      <c r="B506" s="3393">
        <v>2</v>
      </c>
      <c r="C506" s="3393">
        <v>1</v>
      </c>
      <c r="D506" s="3392">
        <v>437</v>
      </c>
      <c r="E506" s="3275">
        <v>402</v>
      </c>
      <c r="F506" s="3276">
        <v>1</v>
      </c>
      <c r="G506" s="3276">
        <v>1</v>
      </c>
      <c r="H506" s="3276">
        <v>1</v>
      </c>
      <c r="I506" s="3275" t="s">
        <v>3300</v>
      </c>
      <c r="J506" s="3275" t="s">
        <v>3324</v>
      </c>
      <c r="K506" s="3409">
        <v>56.3</v>
      </c>
      <c r="L506" s="3412">
        <v>41.22</v>
      </c>
      <c r="M506" s="3276"/>
      <c r="N506" s="3276"/>
      <c r="O506" s="3392"/>
      <c r="P506" s="3393"/>
      <c r="Q506" s="3393"/>
      <c r="R506" s="3276"/>
      <c r="S506" s="3276"/>
      <c r="T506" s="3239" t="str">
        <f t="shared" si="8"/>
        <v>有</v>
      </c>
    </row>
    <row r="507" spans="1:20">
      <c r="A507" s="3393">
        <v>505</v>
      </c>
      <c r="B507" s="3393">
        <v>2</v>
      </c>
      <c r="C507" s="3393">
        <v>1</v>
      </c>
      <c r="D507" s="3392">
        <v>438</v>
      </c>
      <c r="E507" s="3275">
        <v>403</v>
      </c>
      <c r="F507" s="3276">
        <v>1</v>
      </c>
      <c r="G507" s="3276">
        <v>1</v>
      </c>
      <c r="H507" s="3276">
        <v>1</v>
      </c>
      <c r="I507" s="3275" t="s">
        <v>3300</v>
      </c>
      <c r="J507" s="3275" t="s">
        <v>3325</v>
      </c>
      <c r="K507" s="3409">
        <v>54.46</v>
      </c>
      <c r="L507" s="3412">
        <v>39.869999999999997</v>
      </c>
      <c r="M507" s="3276"/>
      <c r="N507" s="3276"/>
      <c r="O507" s="3392"/>
      <c r="P507" s="3393"/>
      <c r="Q507" s="3393"/>
      <c r="R507" s="3276"/>
      <c r="S507" s="3276"/>
      <c r="T507" s="3239" t="str">
        <f t="shared" si="8"/>
        <v>有</v>
      </c>
    </row>
    <row r="508" spans="1:20">
      <c r="A508" s="3393">
        <v>506</v>
      </c>
      <c r="B508" s="3393">
        <v>2</v>
      </c>
      <c r="C508" s="3393">
        <v>1</v>
      </c>
      <c r="D508" s="3392">
        <v>439</v>
      </c>
      <c r="E508" s="3275">
        <v>405</v>
      </c>
      <c r="F508" s="3276">
        <v>1</v>
      </c>
      <c r="G508" s="3276">
        <v>1</v>
      </c>
      <c r="H508" s="3276">
        <v>1</v>
      </c>
      <c r="I508" s="3275" t="s">
        <v>3300</v>
      </c>
      <c r="J508" s="3275" t="s">
        <v>3326</v>
      </c>
      <c r="K508" s="3409">
        <v>55.07</v>
      </c>
      <c r="L508" s="3412">
        <v>40.32</v>
      </c>
      <c r="M508" s="3276"/>
      <c r="N508" s="3276"/>
      <c r="O508" s="3392"/>
      <c r="P508" s="3393"/>
      <c r="Q508" s="3393"/>
      <c r="R508" s="3276"/>
      <c r="S508" s="3276"/>
      <c r="T508" s="3239" t="str">
        <f t="shared" si="8"/>
        <v>有</v>
      </c>
    </row>
    <row r="509" spans="1:20">
      <c r="A509" s="3393">
        <v>507</v>
      </c>
      <c r="B509" s="3393">
        <v>2</v>
      </c>
      <c r="C509" s="3393">
        <v>1</v>
      </c>
      <c r="D509" s="3392">
        <v>440</v>
      </c>
      <c r="E509" s="3275">
        <v>406</v>
      </c>
      <c r="F509" s="3276">
        <v>1</v>
      </c>
      <c r="G509" s="3276">
        <v>1</v>
      </c>
      <c r="H509" s="3276">
        <v>1</v>
      </c>
      <c r="I509" s="3275" t="s">
        <v>3300</v>
      </c>
      <c r="J509" s="3275" t="s">
        <v>3327</v>
      </c>
      <c r="K509" s="3409">
        <v>54.59</v>
      </c>
      <c r="L509" s="3412">
        <v>39.97</v>
      </c>
      <c r="M509" s="3276"/>
      <c r="N509" s="3276"/>
      <c r="O509" s="3392"/>
      <c r="P509" s="3393"/>
      <c r="Q509" s="3393"/>
      <c r="R509" s="3276"/>
      <c r="S509" s="3276"/>
      <c r="T509" s="3239" t="str">
        <f t="shared" si="8"/>
        <v>有</v>
      </c>
    </row>
    <row r="510" spans="1:20" hidden="1">
      <c r="A510" s="3393">
        <v>508</v>
      </c>
      <c r="B510" s="3393">
        <v>2</v>
      </c>
      <c r="C510" s="3393">
        <v>1</v>
      </c>
      <c r="D510" s="3392">
        <v>501</v>
      </c>
      <c r="E510" s="3275">
        <v>523</v>
      </c>
      <c r="F510" s="3276">
        <v>1</v>
      </c>
      <c r="G510" s="3276">
        <v>0</v>
      </c>
      <c r="H510" s="3276">
        <v>1</v>
      </c>
      <c r="I510" s="3275" t="s">
        <v>3332</v>
      </c>
      <c r="J510" s="3275" t="s">
        <v>3500</v>
      </c>
      <c r="K510" s="3409">
        <v>48.16</v>
      </c>
      <c r="L510" s="3412">
        <v>35.26</v>
      </c>
      <c r="M510" s="3276"/>
      <c r="N510" s="3276"/>
      <c r="O510" s="3392"/>
      <c r="P510" s="3393"/>
      <c r="Q510" s="3393"/>
      <c r="R510" s="3276"/>
      <c r="S510" s="3276"/>
      <c r="T510" s="3239" t="str">
        <f t="shared" si="8"/>
        <v>无</v>
      </c>
    </row>
    <row r="511" spans="1:20" hidden="1">
      <c r="A511" s="3393">
        <v>509</v>
      </c>
      <c r="B511" s="3393">
        <v>2</v>
      </c>
      <c r="C511" s="3393">
        <v>1</v>
      </c>
      <c r="D511" s="3392">
        <v>502</v>
      </c>
      <c r="E511" s="3275">
        <v>522</v>
      </c>
      <c r="F511" s="3276">
        <v>1</v>
      </c>
      <c r="G511" s="3276">
        <v>0</v>
      </c>
      <c r="H511" s="3276">
        <v>1</v>
      </c>
      <c r="I511" s="3275" t="s">
        <v>3312</v>
      </c>
      <c r="J511" s="3275" t="s">
        <v>3323</v>
      </c>
      <c r="K511" s="3409">
        <v>44.28</v>
      </c>
      <c r="L511" s="3412">
        <v>32.42</v>
      </c>
      <c r="M511" s="3276"/>
      <c r="N511" s="3276"/>
      <c r="O511" s="3392"/>
      <c r="P511" s="3393"/>
      <c r="Q511" s="3393"/>
      <c r="R511" s="3276"/>
      <c r="S511" s="3276"/>
      <c r="T511" s="3239" t="str">
        <f t="shared" si="8"/>
        <v>无</v>
      </c>
    </row>
    <row r="512" spans="1:20">
      <c r="A512" s="3393">
        <v>510</v>
      </c>
      <c r="B512" s="3393">
        <v>2</v>
      </c>
      <c r="C512" s="3393">
        <v>1</v>
      </c>
      <c r="D512" s="3392">
        <v>503</v>
      </c>
      <c r="E512" s="3275">
        <v>521</v>
      </c>
      <c r="F512" s="3276">
        <v>1</v>
      </c>
      <c r="G512" s="3276">
        <v>1</v>
      </c>
      <c r="H512" s="3276">
        <v>1</v>
      </c>
      <c r="I512" s="3275" t="s">
        <v>3310</v>
      </c>
      <c r="J512" s="3275" t="s">
        <v>3303</v>
      </c>
      <c r="K512" s="3409">
        <v>55.34</v>
      </c>
      <c r="L512" s="3412">
        <v>40.520000000000003</v>
      </c>
      <c r="M512" s="3276"/>
      <c r="N512" s="3276"/>
      <c r="O512" s="3392"/>
      <c r="P512" s="3393"/>
      <c r="Q512" s="3393"/>
      <c r="R512" s="3276"/>
      <c r="S512" s="3276"/>
      <c r="T512" s="3239" t="str">
        <f t="shared" si="8"/>
        <v>有</v>
      </c>
    </row>
    <row r="513" spans="1:20" hidden="1">
      <c r="A513" s="3393">
        <v>511</v>
      </c>
      <c r="B513" s="3393">
        <v>2</v>
      </c>
      <c r="C513" s="3393">
        <v>1</v>
      </c>
      <c r="D513" s="3392">
        <v>504</v>
      </c>
      <c r="E513" s="3275">
        <v>524</v>
      </c>
      <c r="F513" s="3276">
        <v>1</v>
      </c>
      <c r="G513" s="3276">
        <v>0</v>
      </c>
      <c r="H513" s="3276">
        <v>1</v>
      </c>
      <c r="I513" s="3275" t="s">
        <v>3332</v>
      </c>
      <c r="J513" s="3275" t="s">
        <v>3501</v>
      </c>
      <c r="K513" s="3409">
        <v>47.12</v>
      </c>
      <c r="L513" s="3412">
        <v>34.5</v>
      </c>
      <c r="M513" s="3276"/>
      <c r="N513" s="3276"/>
      <c r="O513" s="3392"/>
      <c r="P513" s="3393"/>
      <c r="Q513" s="3393"/>
      <c r="R513" s="3276"/>
      <c r="S513" s="3276"/>
      <c r="T513" s="3239" t="str">
        <f t="shared" si="8"/>
        <v>无</v>
      </c>
    </row>
    <row r="514" spans="1:20">
      <c r="A514" s="3393">
        <v>512</v>
      </c>
      <c r="B514" s="3393">
        <v>2</v>
      </c>
      <c r="C514" s="3393">
        <v>1</v>
      </c>
      <c r="D514" s="3392">
        <v>505</v>
      </c>
      <c r="E514" s="3275">
        <v>525</v>
      </c>
      <c r="F514" s="3276">
        <v>1</v>
      </c>
      <c r="G514" s="3276">
        <v>1</v>
      </c>
      <c r="H514" s="3276">
        <v>1</v>
      </c>
      <c r="I514" s="3275" t="s">
        <v>3332</v>
      </c>
      <c r="J514" s="3275" t="s">
        <v>3335</v>
      </c>
      <c r="K514" s="3409">
        <v>55.07</v>
      </c>
      <c r="L514" s="3412">
        <v>40.32</v>
      </c>
      <c r="M514" s="3276"/>
      <c r="N514" s="3276"/>
      <c r="O514" s="3392"/>
      <c r="P514" s="3393"/>
      <c r="Q514" s="3393"/>
      <c r="R514" s="3276"/>
      <c r="S514" s="3276"/>
      <c r="T514" s="3239" t="str">
        <f t="shared" si="8"/>
        <v>有</v>
      </c>
    </row>
    <row r="515" spans="1:20" hidden="1">
      <c r="A515" s="3393">
        <v>513</v>
      </c>
      <c r="B515" s="3393">
        <v>2</v>
      </c>
      <c r="C515" s="3393">
        <v>1</v>
      </c>
      <c r="D515" s="3392">
        <v>506</v>
      </c>
      <c r="E515" s="3275">
        <v>520</v>
      </c>
      <c r="F515" s="3276">
        <v>1</v>
      </c>
      <c r="G515" s="3276">
        <v>0</v>
      </c>
      <c r="H515" s="3276">
        <v>1</v>
      </c>
      <c r="I515" s="3278" t="s">
        <v>3304</v>
      </c>
      <c r="J515" s="3275" t="s">
        <v>3305</v>
      </c>
      <c r="K515" s="3409">
        <v>43.08</v>
      </c>
      <c r="L515" s="3412">
        <v>31.54</v>
      </c>
      <c r="M515" s="3276"/>
      <c r="N515" s="3276"/>
      <c r="O515" s="3392"/>
      <c r="P515" s="3393"/>
      <c r="Q515" s="3393"/>
      <c r="R515" s="3276"/>
      <c r="S515" s="3276"/>
      <c r="T515" s="3239" t="str">
        <f t="shared" si="8"/>
        <v>无</v>
      </c>
    </row>
    <row r="516" spans="1:20" hidden="1">
      <c r="A516" s="3393">
        <v>514</v>
      </c>
      <c r="B516" s="3393">
        <v>2</v>
      </c>
      <c r="C516" s="3393">
        <v>1</v>
      </c>
      <c r="D516" s="3392">
        <v>507</v>
      </c>
      <c r="E516" s="3275">
        <v>519</v>
      </c>
      <c r="F516" s="3276">
        <v>1</v>
      </c>
      <c r="G516" s="3276">
        <v>0</v>
      </c>
      <c r="H516" s="3276">
        <v>1</v>
      </c>
      <c r="I516" s="3278" t="s">
        <v>3304</v>
      </c>
      <c r="J516" s="3275" t="s">
        <v>3305</v>
      </c>
      <c r="K516" s="3409">
        <v>43.08</v>
      </c>
      <c r="L516" s="3412">
        <v>31.54</v>
      </c>
      <c r="M516" s="3276"/>
      <c r="N516" s="3276"/>
      <c r="O516" s="3392"/>
      <c r="P516" s="3393"/>
      <c r="Q516" s="3393"/>
      <c r="R516" s="3276"/>
      <c r="S516" s="3276"/>
      <c r="T516" s="3239" t="str">
        <f t="shared" ref="T516:T579" si="9">IF(OR(J516="无障碍宿舍",J516="无障碍宿舍-01",J516="无障碍宿舍-02",J516="40平",J516="40平-01",J516="40平-02",J516="40平-03",J516="40平-04",J516="40平-06",J516="40平-07",J516="D2"),"无","有")</f>
        <v>无</v>
      </c>
    </row>
    <row r="517" spans="1:20">
      <c r="A517" s="3393">
        <v>515</v>
      </c>
      <c r="B517" s="3393">
        <v>2</v>
      </c>
      <c r="C517" s="3393">
        <v>1</v>
      </c>
      <c r="D517" s="3392">
        <v>508</v>
      </c>
      <c r="E517" s="3275">
        <v>526</v>
      </c>
      <c r="F517" s="3276">
        <v>1</v>
      </c>
      <c r="G517" s="3276">
        <v>1</v>
      </c>
      <c r="H517" s="3276">
        <v>1</v>
      </c>
      <c r="I517" s="3275" t="s">
        <v>3332</v>
      </c>
      <c r="J517" s="3275" t="s">
        <v>3335</v>
      </c>
      <c r="K517" s="3409">
        <v>55.07</v>
      </c>
      <c r="L517" s="3412">
        <v>40.32</v>
      </c>
      <c r="M517" s="3276"/>
      <c r="N517" s="3276"/>
      <c r="O517" s="3392"/>
      <c r="P517" s="3393"/>
      <c r="Q517" s="3393"/>
      <c r="R517" s="3276"/>
      <c r="S517" s="3276"/>
      <c r="T517" s="3239" t="str">
        <f t="shared" si="9"/>
        <v>有</v>
      </c>
    </row>
    <row r="518" spans="1:20" hidden="1">
      <c r="A518" s="3393">
        <v>516</v>
      </c>
      <c r="B518" s="3393">
        <v>2</v>
      </c>
      <c r="C518" s="3393">
        <v>1</v>
      </c>
      <c r="D518" s="3392">
        <v>509</v>
      </c>
      <c r="E518" s="3275">
        <v>518</v>
      </c>
      <c r="F518" s="3276">
        <v>1</v>
      </c>
      <c r="G518" s="3276">
        <v>0</v>
      </c>
      <c r="H518" s="3276">
        <v>1</v>
      </c>
      <c r="I518" s="3278" t="s">
        <v>3304</v>
      </c>
      <c r="J518" s="3275" t="s">
        <v>3306</v>
      </c>
      <c r="K518" s="3409">
        <v>44.06</v>
      </c>
      <c r="L518" s="3412">
        <v>32.26</v>
      </c>
      <c r="M518" s="3276"/>
      <c r="N518" s="3276"/>
      <c r="O518" s="3392"/>
      <c r="P518" s="3393"/>
      <c r="Q518" s="3393"/>
      <c r="R518" s="3276"/>
      <c r="S518" s="3276"/>
      <c r="T518" s="3239" t="str">
        <f t="shared" si="9"/>
        <v>无</v>
      </c>
    </row>
    <row r="519" spans="1:20">
      <c r="A519" s="3393">
        <v>517</v>
      </c>
      <c r="B519" s="3393">
        <v>2</v>
      </c>
      <c r="C519" s="3393">
        <v>1</v>
      </c>
      <c r="D519" s="3392">
        <v>510</v>
      </c>
      <c r="E519" s="3275">
        <v>527</v>
      </c>
      <c r="F519" s="3276">
        <v>1</v>
      </c>
      <c r="G519" s="3276">
        <v>1</v>
      </c>
      <c r="H519" s="3276">
        <v>1</v>
      </c>
      <c r="I519" s="3275" t="s">
        <v>3332</v>
      </c>
      <c r="J519" s="3275" t="s">
        <v>3335</v>
      </c>
      <c r="K519" s="3409">
        <v>55.07</v>
      </c>
      <c r="L519" s="3412">
        <v>40.32</v>
      </c>
      <c r="M519" s="3276"/>
      <c r="N519" s="3276"/>
      <c r="O519" s="3392"/>
      <c r="P519" s="3393"/>
      <c r="Q519" s="3393"/>
      <c r="R519" s="3276"/>
      <c r="S519" s="3276"/>
      <c r="T519" s="3239" t="str">
        <f t="shared" si="9"/>
        <v>有</v>
      </c>
    </row>
    <row r="520" spans="1:20">
      <c r="A520" s="3393">
        <v>518</v>
      </c>
      <c r="B520" s="3393">
        <v>2</v>
      </c>
      <c r="C520" s="3393">
        <v>1</v>
      </c>
      <c r="D520" s="3392">
        <v>511</v>
      </c>
      <c r="E520" s="3275">
        <v>528</v>
      </c>
      <c r="F520" s="3276">
        <v>1</v>
      </c>
      <c r="G520" s="3276">
        <v>1</v>
      </c>
      <c r="H520" s="3276">
        <v>1</v>
      </c>
      <c r="I520" s="3275" t="s">
        <v>3332</v>
      </c>
      <c r="J520" s="3275" t="s">
        <v>3335</v>
      </c>
      <c r="K520" s="3409">
        <v>55.07</v>
      </c>
      <c r="L520" s="3412">
        <v>40.32</v>
      </c>
      <c r="M520" s="3276"/>
      <c r="N520" s="3276"/>
      <c r="O520" s="3392"/>
      <c r="P520" s="3393"/>
      <c r="Q520" s="3393"/>
      <c r="R520" s="3276"/>
      <c r="S520" s="3276"/>
      <c r="T520" s="3239" t="str">
        <f t="shared" si="9"/>
        <v>有</v>
      </c>
    </row>
    <row r="521" spans="1:20">
      <c r="A521" s="3393">
        <v>519</v>
      </c>
      <c r="B521" s="3393">
        <v>2</v>
      </c>
      <c r="C521" s="3393">
        <v>1</v>
      </c>
      <c r="D521" s="3392">
        <v>512</v>
      </c>
      <c r="E521" s="3275">
        <v>529</v>
      </c>
      <c r="F521" s="3276">
        <v>1</v>
      </c>
      <c r="G521" s="3276">
        <v>1</v>
      </c>
      <c r="H521" s="3276">
        <v>1</v>
      </c>
      <c r="I521" s="3275" t="s">
        <v>3332</v>
      </c>
      <c r="J521" s="3275" t="s">
        <v>3335</v>
      </c>
      <c r="K521" s="3409">
        <v>55.07</v>
      </c>
      <c r="L521" s="3412">
        <v>40.32</v>
      </c>
      <c r="M521" s="3276"/>
      <c r="N521" s="3276"/>
      <c r="O521" s="3392"/>
      <c r="P521" s="3393"/>
      <c r="Q521" s="3393"/>
      <c r="R521" s="3276"/>
      <c r="S521" s="3276"/>
      <c r="T521" s="3239" t="str">
        <f t="shared" si="9"/>
        <v>有</v>
      </c>
    </row>
    <row r="522" spans="1:20">
      <c r="A522" s="3393">
        <v>520</v>
      </c>
      <c r="B522" s="3393">
        <v>2</v>
      </c>
      <c r="C522" s="3393">
        <v>1</v>
      </c>
      <c r="D522" s="3392">
        <v>514</v>
      </c>
      <c r="E522" s="3275">
        <v>530</v>
      </c>
      <c r="F522" s="3276">
        <v>1</v>
      </c>
      <c r="G522" s="3276">
        <v>1</v>
      </c>
      <c r="H522" s="3276">
        <v>1</v>
      </c>
      <c r="I522" s="3275" t="s">
        <v>3332</v>
      </c>
      <c r="J522" s="3275" t="s">
        <v>3335</v>
      </c>
      <c r="K522" s="3409">
        <v>55.07</v>
      </c>
      <c r="L522" s="3412">
        <v>40.32</v>
      </c>
      <c r="M522" s="3276"/>
      <c r="N522" s="3276"/>
      <c r="O522" s="3392"/>
      <c r="P522" s="3393"/>
      <c r="Q522" s="3393"/>
      <c r="R522" s="3276"/>
      <c r="S522" s="3276"/>
      <c r="T522" s="3239" t="str">
        <f t="shared" si="9"/>
        <v>有</v>
      </c>
    </row>
    <row r="523" spans="1:20" hidden="1">
      <c r="A523" s="3393">
        <v>521</v>
      </c>
      <c r="B523" s="3393">
        <v>2</v>
      </c>
      <c r="C523" s="3393">
        <v>1</v>
      </c>
      <c r="D523" s="3392">
        <v>515</v>
      </c>
      <c r="E523" s="3275">
        <v>517</v>
      </c>
      <c r="F523" s="3276">
        <v>1</v>
      </c>
      <c r="G523" s="3276">
        <v>0</v>
      </c>
      <c r="H523" s="3276">
        <v>1</v>
      </c>
      <c r="I523" s="3278" t="s">
        <v>3304</v>
      </c>
      <c r="J523" s="3275" t="s">
        <v>3306</v>
      </c>
      <c r="K523" s="3409">
        <v>44.06</v>
      </c>
      <c r="L523" s="3412">
        <v>32.26</v>
      </c>
      <c r="M523" s="3276"/>
      <c r="N523" s="3276"/>
      <c r="O523" s="3392"/>
      <c r="P523" s="3393"/>
      <c r="Q523" s="3393"/>
      <c r="R523" s="3276"/>
      <c r="S523" s="3276"/>
      <c r="T523" s="3239" t="str">
        <f t="shared" si="9"/>
        <v>无</v>
      </c>
    </row>
    <row r="524" spans="1:20">
      <c r="A524" s="3393">
        <v>522</v>
      </c>
      <c r="B524" s="3393">
        <v>2</v>
      </c>
      <c r="C524" s="3393">
        <v>1</v>
      </c>
      <c r="D524" s="3392">
        <v>516</v>
      </c>
      <c r="E524" s="3275">
        <v>531</v>
      </c>
      <c r="F524" s="3276">
        <v>1</v>
      </c>
      <c r="G524" s="3276">
        <v>1</v>
      </c>
      <c r="H524" s="3276">
        <v>1</v>
      </c>
      <c r="I524" s="3275" t="s">
        <v>3332</v>
      </c>
      <c r="J524" s="3275" t="s">
        <v>3335</v>
      </c>
      <c r="K524" s="3409">
        <v>55.07</v>
      </c>
      <c r="L524" s="3412">
        <v>40.32</v>
      </c>
      <c r="M524" s="3276"/>
      <c r="N524" s="3276"/>
      <c r="O524" s="3392"/>
      <c r="P524" s="3393"/>
      <c r="Q524" s="3393"/>
      <c r="R524" s="3276"/>
      <c r="S524" s="3276"/>
      <c r="T524" s="3239" t="str">
        <f t="shared" si="9"/>
        <v>有</v>
      </c>
    </row>
    <row r="525" spans="1:20" hidden="1">
      <c r="A525" s="3393">
        <v>523</v>
      </c>
      <c r="B525" s="3393">
        <v>2</v>
      </c>
      <c r="C525" s="3393">
        <v>1</v>
      </c>
      <c r="D525" s="3392">
        <v>517</v>
      </c>
      <c r="E525" s="3275">
        <v>516</v>
      </c>
      <c r="F525" s="3276">
        <v>1</v>
      </c>
      <c r="G525" s="3276">
        <v>0</v>
      </c>
      <c r="H525" s="3276">
        <v>1</v>
      </c>
      <c r="I525" s="3278" t="s">
        <v>3304</v>
      </c>
      <c r="J525" s="3275" t="s">
        <v>3305</v>
      </c>
      <c r="K525" s="3409">
        <v>43.08</v>
      </c>
      <c r="L525" s="3412">
        <v>31.54</v>
      </c>
      <c r="M525" s="3276"/>
      <c r="N525" s="3276"/>
      <c r="O525" s="3392"/>
      <c r="P525" s="3393"/>
      <c r="Q525" s="3393"/>
      <c r="R525" s="3276"/>
      <c r="S525" s="3276"/>
      <c r="T525" s="3239" t="str">
        <f t="shared" si="9"/>
        <v>无</v>
      </c>
    </row>
    <row r="526" spans="1:20" hidden="1">
      <c r="A526" s="3393">
        <v>524</v>
      </c>
      <c r="B526" s="3393">
        <v>2</v>
      </c>
      <c r="C526" s="3393">
        <v>1</v>
      </c>
      <c r="D526" s="3392">
        <v>518</v>
      </c>
      <c r="E526" s="3275">
        <v>515</v>
      </c>
      <c r="F526" s="3276">
        <v>1</v>
      </c>
      <c r="G526" s="3276">
        <v>0</v>
      </c>
      <c r="H526" s="3276">
        <v>1</v>
      </c>
      <c r="I526" s="3275" t="s">
        <v>3304</v>
      </c>
      <c r="J526" s="3275" t="s">
        <v>3305</v>
      </c>
      <c r="K526" s="3409">
        <v>43.08</v>
      </c>
      <c r="L526" s="3412">
        <v>31.54</v>
      </c>
      <c r="M526" s="3276"/>
      <c r="N526" s="3276"/>
      <c r="O526" s="3392"/>
      <c r="P526" s="3393"/>
      <c r="Q526" s="3393"/>
      <c r="R526" s="3276"/>
      <c r="S526" s="3276"/>
      <c r="T526" s="3239" t="str">
        <f t="shared" si="9"/>
        <v>无</v>
      </c>
    </row>
    <row r="527" spans="1:20">
      <c r="A527" s="3393">
        <v>525</v>
      </c>
      <c r="B527" s="3393">
        <v>2</v>
      </c>
      <c r="C527" s="3393">
        <v>1</v>
      </c>
      <c r="D527" s="3392">
        <v>519</v>
      </c>
      <c r="E527" s="3275">
        <v>532</v>
      </c>
      <c r="F527" s="3276">
        <v>1</v>
      </c>
      <c r="G527" s="3276">
        <v>1</v>
      </c>
      <c r="H527" s="3276">
        <v>1</v>
      </c>
      <c r="I527" s="3275" t="s">
        <v>3332</v>
      </c>
      <c r="J527" s="3275" t="s">
        <v>3335</v>
      </c>
      <c r="K527" s="3409">
        <v>55.07</v>
      </c>
      <c r="L527" s="3412">
        <v>40.32</v>
      </c>
      <c r="M527" s="3276"/>
      <c r="N527" s="3276"/>
      <c r="O527" s="3392"/>
      <c r="P527" s="3393"/>
      <c r="Q527" s="3393"/>
      <c r="R527" s="3276"/>
      <c r="S527" s="3276"/>
      <c r="T527" s="3239" t="str">
        <f t="shared" si="9"/>
        <v>有</v>
      </c>
    </row>
    <row r="528" spans="1:20" hidden="1">
      <c r="A528" s="3393">
        <v>526</v>
      </c>
      <c r="B528" s="3393">
        <v>2</v>
      </c>
      <c r="C528" s="3393">
        <v>1</v>
      </c>
      <c r="D528" s="3392">
        <v>520</v>
      </c>
      <c r="E528" s="3275">
        <v>514</v>
      </c>
      <c r="F528" s="3276">
        <v>1</v>
      </c>
      <c r="G528" s="3276">
        <v>0</v>
      </c>
      <c r="H528" s="3276">
        <v>1</v>
      </c>
      <c r="I528" s="3275" t="s">
        <v>3304</v>
      </c>
      <c r="J528" s="3275" t="s">
        <v>3305</v>
      </c>
      <c r="K528" s="3409">
        <v>43.08</v>
      </c>
      <c r="L528" s="3412">
        <v>31.54</v>
      </c>
      <c r="M528" s="3276"/>
      <c r="N528" s="3276"/>
      <c r="O528" s="3392"/>
      <c r="P528" s="3393"/>
      <c r="Q528" s="3393"/>
      <c r="R528" s="3276"/>
      <c r="S528" s="3276"/>
      <c r="T528" s="3239" t="str">
        <f t="shared" si="9"/>
        <v>无</v>
      </c>
    </row>
    <row r="529" spans="1:20">
      <c r="A529" s="3393">
        <v>527</v>
      </c>
      <c r="B529" s="3393">
        <v>2</v>
      </c>
      <c r="C529" s="3393">
        <v>1</v>
      </c>
      <c r="D529" s="3392">
        <v>521</v>
      </c>
      <c r="E529" s="3275">
        <v>533</v>
      </c>
      <c r="F529" s="3276">
        <v>1</v>
      </c>
      <c r="G529" s="3276">
        <v>1</v>
      </c>
      <c r="H529" s="3276">
        <v>1</v>
      </c>
      <c r="I529" s="3275" t="s">
        <v>3332</v>
      </c>
      <c r="J529" s="3275" t="s">
        <v>3335</v>
      </c>
      <c r="K529" s="3409">
        <v>55.07</v>
      </c>
      <c r="L529" s="3412">
        <v>40.32</v>
      </c>
      <c r="M529" s="3276"/>
      <c r="N529" s="3276"/>
      <c r="O529" s="3392"/>
      <c r="P529" s="3393"/>
      <c r="Q529" s="3393"/>
      <c r="R529" s="3276"/>
      <c r="S529" s="3276"/>
      <c r="T529" s="3239" t="str">
        <f t="shared" si="9"/>
        <v>有</v>
      </c>
    </row>
    <row r="530" spans="1:20" hidden="1">
      <c r="A530" s="3393">
        <v>528</v>
      </c>
      <c r="B530" s="3393">
        <v>2</v>
      </c>
      <c r="C530" s="3393">
        <v>1</v>
      </c>
      <c r="D530" s="3392">
        <v>522</v>
      </c>
      <c r="E530" s="3275">
        <v>513</v>
      </c>
      <c r="F530" s="3276">
        <v>1</v>
      </c>
      <c r="G530" s="3276">
        <v>0</v>
      </c>
      <c r="H530" s="3276">
        <v>1</v>
      </c>
      <c r="I530" s="3275" t="s">
        <v>3304</v>
      </c>
      <c r="J530" s="3275" t="s">
        <v>3305</v>
      </c>
      <c r="K530" s="3409">
        <v>43.08</v>
      </c>
      <c r="L530" s="3412">
        <v>31.54</v>
      </c>
      <c r="M530" s="3276"/>
      <c r="N530" s="3276"/>
      <c r="O530" s="3392"/>
      <c r="P530" s="3393"/>
      <c r="Q530" s="3393"/>
      <c r="R530" s="3276"/>
      <c r="S530" s="3276"/>
      <c r="T530" s="3239" t="str">
        <f t="shared" si="9"/>
        <v>无</v>
      </c>
    </row>
    <row r="531" spans="1:20">
      <c r="A531" s="3393">
        <v>529</v>
      </c>
      <c r="B531" s="3393">
        <v>2</v>
      </c>
      <c r="C531" s="3393">
        <v>1</v>
      </c>
      <c r="D531" s="3392">
        <v>523</v>
      </c>
      <c r="E531" s="3275">
        <v>534</v>
      </c>
      <c r="F531" s="3276">
        <v>1</v>
      </c>
      <c r="G531" s="3276">
        <v>1</v>
      </c>
      <c r="H531" s="3276">
        <v>1</v>
      </c>
      <c r="I531" s="3275" t="s">
        <v>3332</v>
      </c>
      <c r="J531" s="3275" t="s">
        <v>3335</v>
      </c>
      <c r="K531" s="3409">
        <v>55.07</v>
      </c>
      <c r="L531" s="3412">
        <v>40.32</v>
      </c>
      <c r="M531" s="3276"/>
      <c r="N531" s="3276"/>
      <c r="O531" s="3392"/>
      <c r="P531" s="3393"/>
      <c r="Q531" s="3393"/>
      <c r="R531" s="3276"/>
      <c r="S531" s="3276"/>
      <c r="T531" s="3239" t="str">
        <f t="shared" si="9"/>
        <v>有</v>
      </c>
    </row>
    <row r="532" spans="1:20" hidden="1">
      <c r="A532" s="3393">
        <v>530</v>
      </c>
      <c r="B532" s="3393">
        <v>2</v>
      </c>
      <c r="C532" s="3393">
        <v>1</v>
      </c>
      <c r="D532" s="3392">
        <v>524</v>
      </c>
      <c r="E532" s="3275">
        <v>512</v>
      </c>
      <c r="F532" s="3276">
        <v>1</v>
      </c>
      <c r="G532" s="3276">
        <v>0</v>
      </c>
      <c r="H532" s="3276">
        <v>1</v>
      </c>
      <c r="I532" s="3275" t="s">
        <v>3304</v>
      </c>
      <c r="J532" s="3275" t="s">
        <v>3305</v>
      </c>
      <c r="K532" s="3409">
        <v>43.08</v>
      </c>
      <c r="L532" s="3412">
        <v>31.54</v>
      </c>
      <c r="M532" s="3276"/>
      <c r="N532" s="3276"/>
      <c r="O532" s="3392">
        <v>2.9</v>
      </c>
      <c r="P532" s="3392" t="s">
        <v>3297</v>
      </c>
      <c r="Q532" s="3392" t="s">
        <v>3298</v>
      </c>
      <c r="R532" s="3276"/>
      <c r="S532" s="3276"/>
      <c r="T532" s="3239" t="str">
        <f t="shared" si="9"/>
        <v>无</v>
      </c>
    </row>
    <row r="533" spans="1:20">
      <c r="A533" s="3393">
        <v>531</v>
      </c>
      <c r="B533" s="3393">
        <v>2</v>
      </c>
      <c r="C533" s="3393">
        <v>1</v>
      </c>
      <c r="D533" s="3392">
        <v>525</v>
      </c>
      <c r="E533" s="3275">
        <v>535</v>
      </c>
      <c r="F533" s="3276">
        <v>1</v>
      </c>
      <c r="G533" s="3276">
        <v>1</v>
      </c>
      <c r="H533" s="3276">
        <v>1</v>
      </c>
      <c r="I533" s="3275" t="s">
        <v>3332</v>
      </c>
      <c r="J533" s="3275" t="s">
        <v>3336</v>
      </c>
      <c r="K533" s="3409">
        <v>58.13</v>
      </c>
      <c r="L533" s="3412">
        <v>42.56</v>
      </c>
      <c r="M533" s="3276"/>
      <c r="N533" s="3276"/>
      <c r="O533" s="3392"/>
      <c r="P533" s="3393"/>
      <c r="Q533" s="3393"/>
      <c r="R533" s="3276"/>
      <c r="S533" s="3276"/>
      <c r="T533" s="3239" t="str">
        <f t="shared" si="9"/>
        <v>有</v>
      </c>
    </row>
    <row r="534" spans="1:20" hidden="1">
      <c r="A534" s="3393">
        <v>532</v>
      </c>
      <c r="B534" s="3393">
        <v>2</v>
      </c>
      <c r="C534" s="3393">
        <v>1</v>
      </c>
      <c r="D534" s="3392">
        <v>526</v>
      </c>
      <c r="E534" s="3275">
        <v>511</v>
      </c>
      <c r="F534" s="3276">
        <v>1</v>
      </c>
      <c r="G534" s="3276">
        <v>0</v>
      </c>
      <c r="H534" s="3276">
        <v>1</v>
      </c>
      <c r="I534" s="3275" t="s">
        <v>3304</v>
      </c>
      <c r="J534" s="3275" t="s">
        <v>3502</v>
      </c>
      <c r="K534" s="3409">
        <v>43.68</v>
      </c>
      <c r="L534" s="3412">
        <v>31.98</v>
      </c>
      <c r="M534" s="3276"/>
      <c r="N534" s="3276"/>
      <c r="O534" s="3392"/>
      <c r="P534" s="3393"/>
      <c r="Q534" s="3393"/>
      <c r="R534" s="3276"/>
      <c r="S534" s="3276"/>
      <c r="T534" s="3239" t="str">
        <f t="shared" si="9"/>
        <v>无</v>
      </c>
    </row>
    <row r="535" spans="1:20">
      <c r="A535" s="3393">
        <v>533</v>
      </c>
      <c r="B535" s="3393">
        <v>2</v>
      </c>
      <c r="C535" s="3393">
        <v>1</v>
      </c>
      <c r="D535" s="3392">
        <v>527</v>
      </c>
      <c r="E535" s="3275">
        <v>510</v>
      </c>
      <c r="F535" s="3276">
        <v>1</v>
      </c>
      <c r="G535" s="3276">
        <v>1</v>
      </c>
      <c r="H535" s="3276">
        <v>1</v>
      </c>
      <c r="I535" s="3275" t="s">
        <v>3304</v>
      </c>
      <c r="J535" s="3275" t="s">
        <v>3325</v>
      </c>
      <c r="K535" s="3409">
        <v>54.46</v>
      </c>
      <c r="L535" s="3412">
        <v>39.869999999999997</v>
      </c>
      <c r="M535" s="3276"/>
      <c r="N535" s="3276"/>
      <c r="O535" s="3392"/>
      <c r="P535" s="3393"/>
      <c r="Q535" s="3393"/>
      <c r="R535" s="3276"/>
      <c r="S535" s="3276"/>
      <c r="T535" s="3239" t="str">
        <f t="shared" si="9"/>
        <v>有</v>
      </c>
    </row>
    <row r="536" spans="1:20">
      <c r="A536" s="3393">
        <v>534</v>
      </c>
      <c r="B536" s="3393">
        <v>2</v>
      </c>
      <c r="C536" s="3393">
        <v>1</v>
      </c>
      <c r="D536" s="3392">
        <v>528</v>
      </c>
      <c r="E536" s="3275">
        <v>536</v>
      </c>
      <c r="F536" s="3276">
        <v>1</v>
      </c>
      <c r="G536" s="3276">
        <v>1</v>
      </c>
      <c r="H536" s="3276">
        <v>1</v>
      </c>
      <c r="I536" s="3275" t="s">
        <v>3312</v>
      </c>
      <c r="J536" s="3275" t="s">
        <v>3337</v>
      </c>
      <c r="K536" s="3409">
        <v>55.21</v>
      </c>
      <c r="L536" s="3412">
        <v>40.42</v>
      </c>
      <c r="M536" s="3276"/>
      <c r="N536" s="3276"/>
      <c r="O536" s="3392"/>
      <c r="P536" s="3393"/>
      <c r="Q536" s="3393"/>
      <c r="R536" s="3276"/>
      <c r="S536" s="3276"/>
      <c r="T536" s="3239" t="str">
        <f t="shared" si="9"/>
        <v>有</v>
      </c>
    </row>
    <row r="537" spans="1:20">
      <c r="A537" s="3393">
        <v>535</v>
      </c>
      <c r="B537" s="3393">
        <v>2</v>
      </c>
      <c r="C537" s="3393">
        <v>1</v>
      </c>
      <c r="D537" s="3392">
        <v>529</v>
      </c>
      <c r="E537" s="3275">
        <v>538</v>
      </c>
      <c r="F537" s="3276">
        <v>1</v>
      </c>
      <c r="G537" s="3276">
        <v>1</v>
      </c>
      <c r="H537" s="3276">
        <v>1</v>
      </c>
      <c r="I537" s="3275" t="s">
        <v>3312</v>
      </c>
      <c r="J537" s="3275" t="s">
        <v>3338</v>
      </c>
      <c r="K537" s="3409">
        <v>54.46</v>
      </c>
      <c r="L537" s="3412">
        <v>39.869999999999997</v>
      </c>
      <c r="M537" s="3276"/>
      <c r="N537" s="3276"/>
      <c r="O537" s="3392"/>
      <c r="P537" s="3393"/>
      <c r="Q537" s="3393"/>
      <c r="R537" s="3276"/>
      <c r="S537" s="3276"/>
      <c r="T537" s="3239" t="str">
        <f t="shared" si="9"/>
        <v>有</v>
      </c>
    </row>
    <row r="538" spans="1:20">
      <c r="A538" s="3393">
        <v>536</v>
      </c>
      <c r="B538" s="3393">
        <v>2</v>
      </c>
      <c r="C538" s="3393">
        <v>1</v>
      </c>
      <c r="D538" s="3392">
        <v>530</v>
      </c>
      <c r="E538" s="3275">
        <v>537</v>
      </c>
      <c r="F538" s="3276">
        <v>1</v>
      </c>
      <c r="G538" s="3276">
        <v>1</v>
      </c>
      <c r="H538" s="3276">
        <v>1</v>
      </c>
      <c r="I538" s="3275" t="s">
        <v>3312</v>
      </c>
      <c r="J538" s="3275" t="s">
        <v>3335</v>
      </c>
      <c r="K538" s="3409">
        <v>55.07</v>
      </c>
      <c r="L538" s="3412">
        <v>40.32</v>
      </c>
      <c r="M538" s="3276"/>
      <c r="N538" s="3276"/>
      <c r="O538" s="3392"/>
      <c r="P538" s="3393"/>
      <c r="Q538" s="3393"/>
      <c r="R538" s="3276"/>
      <c r="S538" s="3276"/>
      <c r="T538" s="3239" t="str">
        <f t="shared" si="9"/>
        <v>有</v>
      </c>
    </row>
    <row r="539" spans="1:20">
      <c r="A539" s="3393">
        <v>537</v>
      </c>
      <c r="B539" s="3393">
        <v>2</v>
      </c>
      <c r="C539" s="3393">
        <v>1</v>
      </c>
      <c r="D539" s="3392">
        <v>531</v>
      </c>
      <c r="E539" s="3275">
        <v>539</v>
      </c>
      <c r="F539" s="3276">
        <v>4</v>
      </c>
      <c r="G539" s="3276">
        <v>1</v>
      </c>
      <c r="H539" s="3276">
        <v>1</v>
      </c>
      <c r="I539" s="3275" t="s">
        <v>3316</v>
      </c>
      <c r="J539" s="3275" t="s">
        <v>3319</v>
      </c>
      <c r="K539" s="3409">
        <v>103.44</v>
      </c>
      <c r="L539" s="3412">
        <v>75.73</v>
      </c>
      <c r="M539" s="3276"/>
      <c r="N539" s="3276"/>
      <c r="O539" s="3392"/>
      <c r="P539" s="3393"/>
      <c r="Q539" s="3393"/>
      <c r="R539" s="3276"/>
      <c r="S539" s="3276"/>
      <c r="T539" s="3239" t="str">
        <f t="shared" si="9"/>
        <v>有</v>
      </c>
    </row>
    <row r="540" spans="1:20">
      <c r="A540" s="3393">
        <v>538</v>
      </c>
      <c r="B540" s="3393">
        <v>2</v>
      </c>
      <c r="C540" s="3393">
        <v>1</v>
      </c>
      <c r="D540" s="3392">
        <v>532</v>
      </c>
      <c r="E540" s="3275">
        <v>509</v>
      </c>
      <c r="F540" s="3276">
        <v>1</v>
      </c>
      <c r="G540" s="3276">
        <v>1</v>
      </c>
      <c r="H540" s="3276">
        <v>1</v>
      </c>
      <c r="I540" s="3275" t="s">
        <v>3304</v>
      </c>
      <c r="J540" s="3275" t="s">
        <v>3328</v>
      </c>
      <c r="K540" s="3409">
        <v>54.58</v>
      </c>
      <c r="L540" s="3412">
        <v>39.96</v>
      </c>
      <c r="M540" s="3276"/>
      <c r="N540" s="3276"/>
      <c r="O540" s="3392"/>
      <c r="P540" s="3393"/>
      <c r="Q540" s="3393"/>
      <c r="R540" s="3276"/>
      <c r="S540" s="3276"/>
      <c r="T540" s="3239" t="str">
        <f t="shared" si="9"/>
        <v>有</v>
      </c>
    </row>
    <row r="541" spans="1:20">
      <c r="A541" s="3393">
        <v>539</v>
      </c>
      <c r="B541" s="3393">
        <v>2</v>
      </c>
      <c r="C541" s="3393">
        <v>1</v>
      </c>
      <c r="D541" s="3392">
        <v>533</v>
      </c>
      <c r="E541" s="3275">
        <v>508</v>
      </c>
      <c r="F541" s="3276">
        <v>1</v>
      </c>
      <c r="G541" s="3276">
        <v>1</v>
      </c>
      <c r="H541" s="3276">
        <v>1</v>
      </c>
      <c r="I541" s="3275" t="s">
        <v>3302</v>
      </c>
      <c r="J541" s="3275" t="s">
        <v>3311</v>
      </c>
      <c r="K541" s="3409">
        <v>52.64</v>
      </c>
      <c r="L541" s="3412">
        <v>38.54</v>
      </c>
      <c r="M541" s="3276"/>
      <c r="N541" s="3276"/>
      <c r="O541" s="3392"/>
      <c r="P541" s="3393"/>
      <c r="Q541" s="3393"/>
      <c r="R541" s="3276"/>
      <c r="S541" s="3276"/>
      <c r="T541" s="3239" t="str">
        <f t="shared" si="9"/>
        <v>有</v>
      </c>
    </row>
    <row r="542" spans="1:20">
      <c r="A542" s="3393">
        <v>540</v>
      </c>
      <c r="B542" s="3393">
        <v>2</v>
      </c>
      <c r="C542" s="3393">
        <v>1</v>
      </c>
      <c r="D542" s="3392">
        <v>534</v>
      </c>
      <c r="E542" s="3275">
        <v>507</v>
      </c>
      <c r="F542" s="3276">
        <v>2</v>
      </c>
      <c r="G542" s="3276">
        <v>1</v>
      </c>
      <c r="H542" s="3276">
        <v>1</v>
      </c>
      <c r="I542" s="3275" t="s">
        <v>3300</v>
      </c>
      <c r="J542" s="3275" t="s">
        <v>3313</v>
      </c>
      <c r="K542" s="3409">
        <v>91.88</v>
      </c>
      <c r="L542" s="3412">
        <v>67.27</v>
      </c>
      <c r="M542" s="3276"/>
      <c r="N542" s="3276"/>
      <c r="O542" s="3392"/>
      <c r="P542" s="3393"/>
      <c r="Q542" s="3393"/>
      <c r="R542" s="3276"/>
      <c r="S542" s="3276"/>
      <c r="T542" s="3239" t="str">
        <f t="shared" si="9"/>
        <v>有</v>
      </c>
    </row>
    <row r="543" spans="1:20">
      <c r="A543" s="3393">
        <v>541</v>
      </c>
      <c r="B543" s="3393">
        <v>2</v>
      </c>
      <c r="C543" s="3393">
        <v>1</v>
      </c>
      <c r="D543" s="3392">
        <v>535</v>
      </c>
      <c r="E543" s="3275">
        <v>501</v>
      </c>
      <c r="F543" s="3276">
        <v>4</v>
      </c>
      <c r="G543" s="3276">
        <v>1</v>
      </c>
      <c r="H543" s="3276">
        <v>1</v>
      </c>
      <c r="I543" s="3275" t="s">
        <v>3318</v>
      </c>
      <c r="J543" s="3275" t="s">
        <v>3317</v>
      </c>
      <c r="K543" s="3409">
        <v>103.44</v>
      </c>
      <c r="L543" s="3412">
        <v>75.73</v>
      </c>
      <c r="M543" s="3276"/>
      <c r="N543" s="3276"/>
      <c r="O543" s="3392"/>
      <c r="P543" s="3393"/>
      <c r="Q543" s="3393"/>
      <c r="R543" s="3276"/>
      <c r="S543" s="3276"/>
      <c r="T543" s="3239" t="str">
        <f t="shared" si="9"/>
        <v>有</v>
      </c>
    </row>
    <row r="544" spans="1:20">
      <c r="A544" s="3393">
        <v>542</v>
      </c>
      <c r="B544" s="3393">
        <v>2</v>
      </c>
      <c r="C544" s="3393">
        <v>1</v>
      </c>
      <c r="D544" s="3392">
        <v>536</v>
      </c>
      <c r="E544" s="3275">
        <v>504</v>
      </c>
      <c r="F544" s="3276">
        <v>1</v>
      </c>
      <c r="G544" s="3276">
        <v>1</v>
      </c>
      <c r="H544" s="3276">
        <v>1</v>
      </c>
      <c r="I544" s="3275" t="s">
        <v>3300</v>
      </c>
      <c r="J544" s="3275" t="s">
        <v>3326</v>
      </c>
      <c r="K544" s="3409">
        <v>55.07</v>
      </c>
      <c r="L544" s="3412">
        <v>40.32</v>
      </c>
      <c r="M544" s="3276"/>
      <c r="N544" s="3276"/>
      <c r="O544" s="3392"/>
      <c r="P544" s="3393"/>
      <c r="Q544" s="3393"/>
      <c r="R544" s="3276"/>
      <c r="S544" s="3276"/>
      <c r="T544" s="3239" t="str">
        <f t="shared" si="9"/>
        <v>有</v>
      </c>
    </row>
    <row r="545" spans="1:20">
      <c r="A545" s="3393">
        <v>543</v>
      </c>
      <c r="B545" s="3393">
        <v>2</v>
      </c>
      <c r="C545" s="3393">
        <v>1</v>
      </c>
      <c r="D545" s="3392">
        <v>537</v>
      </c>
      <c r="E545" s="3275">
        <v>502</v>
      </c>
      <c r="F545" s="3276">
        <v>1</v>
      </c>
      <c r="G545" s="3276">
        <v>1</v>
      </c>
      <c r="H545" s="3276">
        <v>1</v>
      </c>
      <c r="I545" s="3275" t="s">
        <v>3300</v>
      </c>
      <c r="J545" s="3275" t="s">
        <v>3324</v>
      </c>
      <c r="K545" s="3409">
        <v>56.3</v>
      </c>
      <c r="L545" s="3412">
        <v>41.22</v>
      </c>
      <c r="M545" s="3276"/>
      <c r="N545" s="3276"/>
      <c r="O545" s="3392"/>
      <c r="P545" s="3393"/>
      <c r="Q545" s="3393"/>
      <c r="R545" s="3276"/>
      <c r="S545" s="3276"/>
      <c r="T545" s="3239" t="str">
        <f t="shared" si="9"/>
        <v>有</v>
      </c>
    </row>
    <row r="546" spans="1:20">
      <c r="A546" s="3393">
        <v>544</v>
      </c>
      <c r="B546" s="3393">
        <v>2</v>
      </c>
      <c r="C546" s="3393">
        <v>1</v>
      </c>
      <c r="D546" s="3392">
        <v>538</v>
      </c>
      <c r="E546" s="3275">
        <v>503</v>
      </c>
      <c r="F546" s="3276">
        <v>1</v>
      </c>
      <c r="G546" s="3276">
        <v>1</v>
      </c>
      <c r="H546" s="3276">
        <v>1</v>
      </c>
      <c r="I546" s="3275" t="s">
        <v>3300</v>
      </c>
      <c r="J546" s="3275" t="s">
        <v>3325</v>
      </c>
      <c r="K546" s="3409">
        <v>54.46</v>
      </c>
      <c r="L546" s="3412">
        <v>39.869999999999997</v>
      </c>
      <c r="M546" s="3276"/>
      <c r="N546" s="3276"/>
      <c r="O546" s="3392"/>
      <c r="P546" s="3393"/>
      <c r="Q546" s="3393"/>
      <c r="R546" s="3276"/>
      <c r="S546" s="3276"/>
      <c r="T546" s="3239" t="str">
        <f t="shared" si="9"/>
        <v>有</v>
      </c>
    </row>
    <row r="547" spans="1:20">
      <c r="A547" s="3393">
        <v>545</v>
      </c>
      <c r="B547" s="3393">
        <v>2</v>
      </c>
      <c r="C547" s="3393">
        <v>1</v>
      </c>
      <c r="D547" s="3392">
        <v>539</v>
      </c>
      <c r="E547" s="3275">
        <v>505</v>
      </c>
      <c r="F547" s="3276">
        <v>1</v>
      </c>
      <c r="G547" s="3276">
        <v>1</v>
      </c>
      <c r="H547" s="3276">
        <v>1</v>
      </c>
      <c r="I547" s="3275" t="s">
        <v>3300</v>
      </c>
      <c r="J547" s="3275" t="s">
        <v>3326</v>
      </c>
      <c r="K547" s="3409">
        <v>55.07</v>
      </c>
      <c r="L547" s="3412">
        <v>40.32</v>
      </c>
      <c r="M547" s="3276"/>
      <c r="N547" s="3276"/>
      <c r="O547" s="3392"/>
      <c r="P547" s="3393"/>
      <c r="Q547" s="3393"/>
      <c r="R547" s="3276"/>
      <c r="S547" s="3276"/>
      <c r="T547" s="3239" t="str">
        <f t="shared" si="9"/>
        <v>有</v>
      </c>
    </row>
    <row r="548" spans="1:20">
      <c r="A548" s="3393">
        <v>546</v>
      </c>
      <c r="B548" s="3393">
        <v>2</v>
      </c>
      <c r="C548" s="3393">
        <v>1</v>
      </c>
      <c r="D548" s="3392">
        <v>540</v>
      </c>
      <c r="E548" s="3275">
        <v>506</v>
      </c>
      <c r="F548" s="3276">
        <v>1</v>
      </c>
      <c r="G548" s="3276">
        <v>1</v>
      </c>
      <c r="H548" s="3276">
        <v>1</v>
      </c>
      <c r="I548" s="3275" t="s">
        <v>3300</v>
      </c>
      <c r="J548" s="3275" t="s">
        <v>3327</v>
      </c>
      <c r="K548" s="3409">
        <v>54.59</v>
      </c>
      <c r="L548" s="3412">
        <v>39.97</v>
      </c>
      <c r="M548" s="3276"/>
      <c r="N548" s="3276"/>
      <c r="O548" s="3392"/>
      <c r="P548" s="3393"/>
      <c r="Q548" s="3393"/>
      <c r="R548" s="3276"/>
      <c r="S548" s="3276"/>
      <c r="T548" s="3239" t="str">
        <f t="shared" si="9"/>
        <v>有</v>
      </c>
    </row>
    <row r="549" spans="1:20" hidden="1">
      <c r="A549" s="3393">
        <v>547</v>
      </c>
      <c r="B549" s="3393">
        <v>2</v>
      </c>
      <c r="C549" s="3393">
        <v>1</v>
      </c>
      <c r="D549" s="3392">
        <v>601</v>
      </c>
      <c r="E549" s="3275">
        <v>623</v>
      </c>
      <c r="F549" s="3276">
        <v>1</v>
      </c>
      <c r="G549" s="3276">
        <v>0</v>
      </c>
      <c r="H549" s="3276">
        <v>1</v>
      </c>
      <c r="I549" s="3275" t="s">
        <v>3332</v>
      </c>
      <c r="J549" s="3275" t="s">
        <v>3500</v>
      </c>
      <c r="K549" s="3409">
        <v>48.16</v>
      </c>
      <c r="L549" s="3412">
        <v>35.26</v>
      </c>
      <c r="M549" s="3276"/>
      <c r="N549" s="3276"/>
      <c r="O549" s="3392"/>
      <c r="P549" s="3393"/>
      <c r="Q549" s="3393"/>
      <c r="R549" s="3276"/>
      <c r="S549" s="3276"/>
      <c r="T549" s="3239" t="str">
        <f t="shared" si="9"/>
        <v>无</v>
      </c>
    </row>
    <row r="550" spans="1:20" hidden="1">
      <c r="A550" s="3393">
        <v>548</v>
      </c>
      <c r="B550" s="3393">
        <v>2</v>
      </c>
      <c r="C550" s="3393">
        <v>1</v>
      </c>
      <c r="D550" s="3392">
        <v>602</v>
      </c>
      <c r="E550" s="3275">
        <v>622</v>
      </c>
      <c r="F550" s="3276">
        <v>1</v>
      </c>
      <c r="G550" s="3276">
        <v>0</v>
      </c>
      <c r="H550" s="3276">
        <v>1</v>
      </c>
      <c r="I550" s="3275" t="s">
        <v>3312</v>
      </c>
      <c r="J550" s="3275" t="s">
        <v>3323</v>
      </c>
      <c r="K550" s="3409">
        <v>44.28</v>
      </c>
      <c r="L550" s="3412">
        <v>32.42</v>
      </c>
      <c r="M550" s="3276"/>
      <c r="N550" s="3276"/>
      <c r="O550" s="3392"/>
      <c r="P550" s="3393"/>
      <c r="Q550" s="3393"/>
      <c r="R550" s="3276"/>
      <c r="S550" s="3276"/>
      <c r="T550" s="3239" t="str">
        <f t="shared" si="9"/>
        <v>无</v>
      </c>
    </row>
    <row r="551" spans="1:20">
      <c r="A551" s="3393">
        <v>549</v>
      </c>
      <c r="B551" s="3393">
        <v>2</v>
      </c>
      <c r="C551" s="3393">
        <v>1</v>
      </c>
      <c r="D551" s="3392">
        <v>603</v>
      </c>
      <c r="E551" s="3275">
        <v>621</v>
      </c>
      <c r="F551" s="3276">
        <v>1</v>
      </c>
      <c r="G551" s="3276">
        <v>1</v>
      </c>
      <c r="H551" s="3276">
        <v>1</v>
      </c>
      <c r="I551" s="3275" t="s">
        <v>3310</v>
      </c>
      <c r="J551" s="3275" t="s">
        <v>3303</v>
      </c>
      <c r="K551" s="3409">
        <v>55.34</v>
      </c>
      <c r="L551" s="3412">
        <v>40.520000000000003</v>
      </c>
      <c r="M551" s="3276"/>
      <c r="N551" s="3276"/>
      <c r="O551" s="3392"/>
      <c r="P551" s="3393"/>
      <c r="Q551" s="3393"/>
      <c r="R551" s="3276"/>
      <c r="S551" s="3276"/>
      <c r="T551" s="3239" t="str">
        <f t="shared" si="9"/>
        <v>有</v>
      </c>
    </row>
    <row r="552" spans="1:20" hidden="1">
      <c r="A552" s="3393">
        <v>550</v>
      </c>
      <c r="B552" s="3393">
        <v>2</v>
      </c>
      <c r="C552" s="3393">
        <v>1</v>
      </c>
      <c r="D552" s="3392">
        <v>604</v>
      </c>
      <c r="E552" s="3275">
        <v>624</v>
      </c>
      <c r="F552" s="3276">
        <v>1</v>
      </c>
      <c r="G552" s="3276">
        <v>0</v>
      </c>
      <c r="H552" s="3276">
        <v>1</v>
      </c>
      <c r="I552" s="3275" t="s">
        <v>3332</v>
      </c>
      <c r="J552" s="3275" t="s">
        <v>3501</v>
      </c>
      <c r="K552" s="3409">
        <v>47.12</v>
      </c>
      <c r="L552" s="3412">
        <v>34.5</v>
      </c>
      <c r="M552" s="3276"/>
      <c r="N552" s="3276"/>
      <c r="O552" s="3392"/>
      <c r="P552" s="3393"/>
      <c r="Q552" s="3393"/>
      <c r="R552" s="3276"/>
      <c r="S552" s="3276"/>
      <c r="T552" s="3239" t="str">
        <f t="shared" si="9"/>
        <v>无</v>
      </c>
    </row>
    <row r="553" spans="1:20">
      <c r="A553" s="3393">
        <v>551</v>
      </c>
      <c r="B553" s="3393">
        <v>2</v>
      </c>
      <c r="C553" s="3393">
        <v>1</v>
      </c>
      <c r="D553" s="3392">
        <v>605</v>
      </c>
      <c r="E553" s="3275">
        <v>625</v>
      </c>
      <c r="F553" s="3276">
        <v>1</v>
      </c>
      <c r="G553" s="3276">
        <v>1</v>
      </c>
      <c r="H553" s="3276">
        <v>1</v>
      </c>
      <c r="I553" s="3275" t="s">
        <v>3332</v>
      </c>
      <c r="J553" s="3275" t="s">
        <v>3335</v>
      </c>
      <c r="K553" s="3409">
        <v>55.07</v>
      </c>
      <c r="L553" s="3412">
        <v>40.32</v>
      </c>
      <c r="M553" s="3276"/>
      <c r="N553" s="3276"/>
      <c r="O553" s="3392"/>
      <c r="P553" s="3393"/>
      <c r="Q553" s="3393"/>
      <c r="R553" s="3276"/>
      <c r="S553" s="3276"/>
      <c r="T553" s="3239" t="str">
        <f t="shared" si="9"/>
        <v>有</v>
      </c>
    </row>
    <row r="554" spans="1:20" hidden="1">
      <c r="A554" s="3393">
        <v>552</v>
      </c>
      <c r="B554" s="3393">
        <v>2</v>
      </c>
      <c r="C554" s="3393">
        <v>1</v>
      </c>
      <c r="D554" s="3392">
        <v>606</v>
      </c>
      <c r="E554" s="3275">
        <v>620</v>
      </c>
      <c r="F554" s="3276">
        <v>1</v>
      </c>
      <c r="G554" s="3276">
        <v>0</v>
      </c>
      <c r="H554" s="3276">
        <v>1</v>
      </c>
      <c r="I554" s="3278" t="s">
        <v>3304</v>
      </c>
      <c r="J554" s="3275" t="s">
        <v>3305</v>
      </c>
      <c r="K554" s="3409">
        <v>43.08</v>
      </c>
      <c r="L554" s="3412">
        <v>31.54</v>
      </c>
      <c r="M554" s="3276"/>
      <c r="N554" s="3276"/>
      <c r="O554" s="3392"/>
      <c r="P554" s="3393"/>
      <c r="Q554" s="3393"/>
      <c r="R554" s="3276"/>
      <c r="S554" s="3276"/>
      <c r="T554" s="3239" t="str">
        <f t="shared" si="9"/>
        <v>无</v>
      </c>
    </row>
    <row r="555" spans="1:20" hidden="1">
      <c r="A555" s="3393">
        <v>553</v>
      </c>
      <c r="B555" s="3393">
        <v>2</v>
      </c>
      <c r="C555" s="3393">
        <v>1</v>
      </c>
      <c r="D555" s="3392">
        <v>607</v>
      </c>
      <c r="E555" s="3275">
        <v>619</v>
      </c>
      <c r="F555" s="3276">
        <v>1</v>
      </c>
      <c r="G555" s="3276">
        <v>0</v>
      </c>
      <c r="H555" s="3276">
        <v>1</v>
      </c>
      <c r="I555" s="3278" t="s">
        <v>3304</v>
      </c>
      <c r="J555" s="3275" t="s">
        <v>3305</v>
      </c>
      <c r="K555" s="3409">
        <v>43.08</v>
      </c>
      <c r="L555" s="3412">
        <v>31.54</v>
      </c>
      <c r="M555" s="3276"/>
      <c r="N555" s="3276"/>
      <c r="O555" s="3392"/>
      <c r="P555" s="3393"/>
      <c r="Q555" s="3393"/>
      <c r="R555" s="3276"/>
      <c r="S555" s="3276"/>
      <c r="T555" s="3239" t="str">
        <f t="shared" si="9"/>
        <v>无</v>
      </c>
    </row>
    <row r="556" spans="1:20">
      <c r="A556" s="3393">
        <v>554</v>
      </c>
      <c r="B556" s="3393">
        <v>2</v>
      </c>
      <c r="C556" s="3393">
        <v>1</v>
      </c>
      <c r="D556" s="3392">
        <v>608</v>
      </c>
      <c r="E556" s="3275">
        <v>626</v>
      </c>
      <c r="F556" s="3276">
        <v>1</v>
      </c>
      <c r="G556" s="3276">
        <v>1</v>
      </c>
      <c r="H556" s="3276">
        <v>1</v>
      </c>
      <c r="I556" s="3275" t="s">
        <v>3332</v>
      </c>
      <c r="J556" s="3275" t="s">
        <v>3335</v>
      </c>
      <c r="K556" s="3409">
        <v>55.07</v>
      </c>
      <c r="L556" s="3412">
        <v>40.32</v>
      </c>
      <c r="M556" s="3276"/>
      <c r="N556" s="3276"/>
      <c r="O556" s="3392"/>
      <c r="P556" s="3393"/>
      <c r="Q556" s="3393"/>
      <c r="R556" s="3276"/>
      <c r="S556" s="3276"/>
      <c r="T556" s="3239" t="str">
        <f t="shared" si="9"/>
        <v>有</v>
      </c>
    </row>
    <row r="557" spans="1:20" hidden="1">
      <c r="A557" s="3393">
        <v>555</v>
      </c>
      <c r="B557" s="3393">
        <v>2</v>
      </c>
      <c r="C557" s="3393">
        <v>1</v>
      </c>
      <c r="D557" s="3392">
        <v>609</v>
      </c>
      <c r="E557" s="3275">
        <v>618</v>
      </c>
      <c r="F557" s="3276">
        <v>1</v>
      </c>
      <c r="G557" s="3276">
        <v>0</v>
      </c>
      <c r="H557" s="3276">
        <v>1</v>
      </c>
      <c r="I557" s="3278" t="s">
        <v>3304</v>
      </c>
      <c r="J557" s="3275" t="s">
        <v>3306</v>
      </c>
      <c r="K557" s="3409">
        <v>44.06</v>
      </c>
      <c r="L557" s="3412">
        <v>32.26</v>
      </c>
      <c r="M557" s="3276"/>
      <c r="N557" s="3276"/>
      <c r="O557" s="3392"/>
      <c r="P557" s="3393"/>
      <c r="Q557" s="3393"/>
      <c r="R557" s="3276"/>
      <c r="S557" s="3276"/>
      <c r="T557" s="3239" t="str">
        <f t="shared" si="9"/>
        <v>无</v>
      </c>
    </row>
    <row r="558" spans="1:20">
      <c r="A558" s="3393">
        <v>556</v>
      </c>
      <c r="B558" s="3393">
        <v>2</v>
      </c>
      <c r="C558" s="3393">
        <v>1</v>
      </c>
      <c r="D558" s="3392">
        <v>610</v>
      </c>
      <c r="E558" s="3275">
        <v>627</v>
      </c>
      <c r="F558" s="3276">
        <v>1</v>
      </c>
      <c r="G558" s="3276">
        <v>1</v>
      </c>
      <c r="H558" s="3276">
        <v>1</v>
      </c>
      <c r="I558" s="3275" t="s">
        <v>3332</v>
      </c>
      <c r="J558" s="3275" t="s">
        <v>3335</v>
      </c>
      <c r="K558" s="3409">
        <v>55.07</v>
      </c>
      <c r="L558" s="3412">
        <v>40.32</v>
      </c>
      <c r="M558" s="3276"/>
      <c r="N558" s="3276"/>
      <c r="O558" s="3392"/>
      <c r="P558" s="3393"/>
      <c r="Q558" s="3393"/>
      <c r="R558" s="3276"/>
      <c r="S558" s="3276"/>
      <c r="T558" s="3239" t="str">
        <f t="shared" si="9"/>
        <v>有</v>
      </c>
    </row>
    <row r="559" spans="1:20">
      <c r="A559" s="3393">
        <v>557</v>
      </c>
      <c r="B559" s="3393">
        <v>2</v>
      </c>
      <c r="C559" s="3393">
        <v>1</v>
      </c>
      <c r="D559" s="3392">
        <v>611</v>
      </c>
      <c r="E559" s="3275">
        <v>628</v>
      </c>
      <c r="F559" s="3276">
        <v>1</v>
      </c>
      <c r="G559" s="3276">
        <v>1</v>
      </c>
      <c r="H559" s="3276">
        <v>1</v>
      </c>
      <c r="I559" s="3275" t="s">
        <v>3332</v>
      </c>
      <c r="J559" s="3275" t="s">
        <v>3335</v>
      </c>
      <c r="K559" s="3409">
        <v>55.07</v>
      </c>
      <c r="L559" s="3412">
        <v>40.32</v>
      </c>
      <c r="M559" s="3276"/>
      <c r="N559" s="3276"/>
      <c r="O559" s="3392"/>
      <c r="P559" s="3393"/>
      <c r="Q559" s="3393"/>
      <c r="R559" s="3276"/>
      <c r="S559" s="3276"/>
      <c r="T559" s="3239" t="str">
        <f t="shared" si="9"/>
        <v>有</v>
      </c>
    </row>
    <row r="560" spans="1:20">
      <c r="A560" s="3393">
        <v>558</v>
      </c>
      <c r="B560" s="3393">
        <v>2</v>
      </c>
      <c r="C560" s="3393">
        <v>1</v>
      </c>
      <c r="D560" s="3392">
        <v>612</v>
      </c>
      <c r="E560" s="3275">
        <v>629</v>
      </c>
      <c r="F560" s="3276">
        <v>1</v>
      </c>
      <c r="G560" s="3276">
        <v>1</v>
      </c>
      <c r="H560" s="3276">
        <v>1</v>
      </c>
      <c r="I560" s="3275" t="s">
        <v>3332</v>
      </c>
      <c r="J560" s="3275" t="s">
        <v>3335</v>
      </c>
      <c r="K560" s="3409">
        <v>55.07</v>
      </c>
      <c r="L560" s="3412">
        <v>40.32</v>
      </c>
      <c r="M560" s="3276"/>
      <c r="N560" s="3276"/>
      <c r="O560" s="3392"/>
      <c r="P560" s="3393"/>
      <c r="Q560" s="3393"/>
      <c r="R560" s="3276"/>
      <c r="S560" s="3276"/>
      <c r="T560" s="3239" t="str">
        <f t="shared" si="9"/>
        <v>有</v>
      </c>
    </row>
    <row r="561" spans="1:20">
      <c r="A561" s="3393">
        <v>559</v>
      </c>
      <c r="B561" s="3393">
        <v>2</v>
      </c>
      <c r="C561" s="3393">
        <v>1</v>
      </c>
      <c r="D561" s="3392">
        <v>614</v>
      </c>
      <c r="E561" s="3275">
        <v>630</v>
      </c>
      <c r="F561" s="3276">
        <v>1</v>
      </c>
      <c r="G561" s="3276">
        <v>1</v>
      </c>
      <c r="H561" s="3276">
        <v>1</v>
      </c>
      <c r="I561" s="3275" t="s">
        <v>3332</v>
      </c>
      <c r="J561" s="3275" t="s">
        <v>3335</v>
      </c>
      <c r="K561" s="3409">
        <v>55.07</v>
      </c>
      <c r="L561" s="3412">
        <v>40.32</v>
      </c>
      <c r="M561" s="3276"/>
      <c r="N561" s="3276"/>
      <c r="O561" s="3392"/>
      <c r="P561" s="3393"/>
      <c r="Q561" s="3393"/>
      <c r="R561" s="3276"/>
      <c r="S561" s="3276"/>
      <c r="T561" s="3239" t="str">
        <f t="shared" si="9"/>
        <v>有</v>
      </c>
    </row>
    <row r="562" spans="1:20" hidden="1">
      <c r="A562" s="3393">
        <v>560</v>
      </c>
      <c r="B562" s="3393">
        <v>2</v>
      </c>
      <c r="C562" s="3393">
        <v>1</v>
      </c>
      <c r="D562" s="3392">
        <v>615</v>
      </c>
      <c r="E562" s="3275">
        <v>617</v>
      </c>
      <c r="F562" s="3276">
        <v>1</v>
      </c>
      <c r="G562" s="3276">
        <v>0</v>
      </c>
      <c r="H562" s="3276">
        <v>1</v>
      </c>
      <c r="I562" s="3278" t="s">
        <v>3304</v>
      </c>
      <c r="J562" s="3275" t="s">
        <v>3306</v>
      </c>
      <c r="K562" s="3409">
        <v>44.06</v>
      </c>
      <c r="L562" s="3412">
        <v>32.26</v>
      </c>
      <c r="M562" s="3276"/>
      <c r="N562" s="3276"/>
      <c r="O562" s="3392"/>
      <c r="P562" s="3393"/>
      <c r="Q562" s="3393"/>
      <c r="R562" s="3276"/>
      <c r="S562" s="3276"/>
      <c r="T562" s="3239" t="str">
        <f t="shared" si="9"/>
        <v>无</v>
      </c>
    </row>
    <row r="563" spans="1:20">
      <c r="A563" s="3393">
        <v>561</v>
      </c>
      <c r="B563" s="3393">
        <v>2</v>
      </c>
      <c r="C563" s="3393">
        <v>1</v>
      </c>
      <c r="D563" s="3392">
        <v>616</v>
      </c>
      <c r="E563" s="3275">
        <v>631</v>
      </c>
      <c r="F563" s="3276">
        <v>1</v>
      </c>
      <c r="G563" s="3276">
        <v>1</v>
      </c>
      <c r="H563" s="3276">
        <v>1</v>
      </c>
      <c r="I563" s="3275" t="s">
        <v>3332</v>
      </c>
      <c r="J563" s="3275" t="s">
        <v>3335</v>
      </c>
      <c r="K563" s="3409">
        <v>55.07</v>
      </c>
      <c r="L563" s="3412">
        <v>40.32</v>
      </c>
      <c r="M563" s="3276"/>
      <c r="N563" s="3276"/>
      <c r="O563" s="3392"/>
      <c r="P563" s="3393"/>
      <c r="Q563" s="3393"/>
      <c r="R563" s="3276"/>
      <c r="S563" s="3276"/>
      <c r="T563" s="3239" t="str">
        <f t="shared" si="9"/>
        <v>有</v>
      </c>
    </row>
    <row r="564" spans="1:20" hidden="1">
      <c r="A564" s="3393">
        <v>562</v>
      </c>
      <c r="B564" s="3393">
        <v>2</v>
      </c>
      <c r="C564" s="3393">
        <v>1</v>
      </c>
      <c r="D564" s="3392">
        <v>617</v>
      </c>
      <c r="E564" s="3275">
        <v>616</v>
      </c>
      <c r="F564" s="3276">
        <v>1</v>
      </c>
      <c r="G564" s="3276">
        <v>0</v>
      </c>
      <c r="H564" s="3276">
        <v>1</v>
      </c>
      <c r="I564" s="3278" t="s">
        <v>3304</v>
      </c>
      <c r="J564" s="3275" t="s">
        <v>3305</v>
      </c>
      <c r="K564" s="3409">
        <v>43.08</v>
      </c>
      <c r="L564" s="3412">
        <v>31.54</v>
      </c>
      <c r="M564" s="3276"/>
      <c r="N564" s="3276"/>
      <c r="O564" s="3392"/>
      <c r="P564" s="3393"/>
      <c r="Q564" s="3393"/>
      <c r="R564" s="3276"/>
      <c r="S564" s="3276"/>
      <c r="T564" s="3239" t="str">
        <f t="shared" si="9"/>
        <v>无</v>
      </c>
    </row>
    <row r="565" spans="1:20" hidden="1">
      <c r="A565" s="3393">
        <v>563</v>
      </c>
      <c r="B565" s="3393">
        <v>2</v>
      </c>
      <c r="C565" s="3393">
        <v>1</v>
      </c>
      <c r="D565" s="3392">
        <v>618</v>
      </c>
      <c r="E565" s="3275">
        <v>615</v>
      </c>
      <c r="F565" s="3276">
        <v>1</v>
      </c>
      <c r="G565" s="3276">
        <v>0</v>
      </c>
      <c r="H565" s="3276">
        <v>1</v>
      </c>
      <c r="I565" s="3275" t="s">
        <v>3304</v>
      </c>
      <c r="J565" s="3275" t="s">
        <v>3305</v>
      </c>
      <c r="K565" s="3409">
        <v>43.08</v>
      </c>
      <c r="L565" s="3412">
        <v>31.54</v>
      </c>
      <c r="M565" s="3276"/>
      <c r="N565" s="3276"/>
      <c r="O565" s="3392"/>
      <c r="P565" s="3393"/>
      <c r="Q565" s="3393"/>
      <c r="R565" s="3276"/>
      <c r="S565" s="3276"/>
      <c r="T565" s="3239" t="str">
        <f t="shared" si="9"/>
        <v>无</v>
      </c>
    </row>
    <row r="566" spans="1:20">
      <c r="A566" s="3393">
        <v>564</v>
      </c>
      <c r="B566" s="3393">
        <v>2</v>
      </c>
      <c r="C566" s="3393">
        <v>1</v>
      </c>
      <c r="D566" s="3392">
        <v>619</v>
      </c>
      <c r="E566" s="3275">
        <v>632</v>
      </c>
      <c r="F566" s="3276">
        <v>1</v>
      </c>
      <c r="G566" s="3276">
        <v>1</v>
      </c>
      <c r="H566" s="3276">
        <v>1</v>
      </c>
      <c r="I566" s="3275" t="s">
        <v>3332</v>
      </c>
      <c r="J566" s="3275" t="s">
        <v>3335</v>
      </c>
      <c r="K566" s="3409">
        <v>55.07</v>
      </c>
      <c r="L566" s="3412">
        <v>40.32</v>
      </c>
      <c r="M566" s="3276"/>
      <c r="N566" s="3276"/>
      <c r="O566" s="3392"/>
      <c r="P566" s="3393"/>
      <c r="Q566" s="3393"/>
      <c r="R566" s="3276"/>
      <c r="S566" s="3276"/>
      <c r="T566" s="3239" t="str">
        <f t="shared" si="9"/>
        <v>有</v>
      </c>
    </row>
    <row r="567" spans="1:20" hidden="1">
      <c r="A567" s="3393">
        <v>565</v>
      </c>
      <c r="B567" s="3393">
        <v>2</v>
      </c>
      <c r="C567" s="3393">
        <v>1</v>
      </c>
      <c r="D567" s="3392">
        <v>620</v>
      </c>
      <c r="E567" s="3275">
        <v>614</v>
      </c>
      <c r="F567" s="3276">
        <v>1</v>
      </c>
      <c r="G567" s="3276">
        <v>0</v>
      </c>
      <c r="H567" s="3276">
        <v>1</v>
      </c>
      <c r="I567" s="3275" t="s">
        <v>3304</v>
      </c>
      <c r="J567" s="3275" t="s">
        <v>3305</v>
      </c>
      <c r="K567" s="3409">
        <v>43.08</v>
      </c>
      <c r="L567" s="3412">
        <v>31.54</v>
      </c>
      <c r="M567" s="3276"/>
      <c r="N567" s="3276"/>
      <c r="O567" s="3392"/>
      <c r="P567" s="3393"/>
      <c r="Q567" s="3393"/>
      <c r="R567" s="3276"/>
      <c r="S567" s="3276"/>
      <c r="T567" s="3239" t="str">
        <f t="shared" si="9"/>
        <v>无</v>
      </c>
    </row>
    <row r="568" spans="1:20">
      <c r="A568" s="3393">
        <v>566</v>
      </c>
      <c r="B568" s="3393">
        <v>2</v>
      </c>
      <c r="C568" s="3393">
        <v>1</v>
      </c>
      <c r="D568" s="3392">
        <v>621</v>
      </c>
      <c r="E568" s="3275">
        <v>633</v>
      </c>
      <c r="F568" s="3276">
        <v>1</v>
      </c>
      <c r="G568" s="3276">
        <v>1</v>
      </c>
      <c r="H568" s="3276">
        <v>1</v>
      </c>
      <c r="I568" s="3275" t="s">
        <v>3332</v>
      </c>
      <c r="J568" s="3275" t="s">
        <v>3335</v>
      </c>
      <c r="K568" s="3409">
        <v>55.07</v>
      </c>
      <c r="L568" s="3412">
        <v>40.32</v>
      </c>
      <c r="M568" s="3276"/>
      <c r="N568" s="3276"/>
      <c r="O568" s="3392"/>
      <c r="P568" s="3393"/>
      <c r="Q568" s="3393"/>
      <c r="R568" s="3276"/>
      <c r="S568" s="3276"/>
      <c r="T568" s="3239" t="str">
        <f t="shared" si="9"/>
        <v>有</v>
      </c>
    </row>
    <row r="569" spans="1:20" hidden="1">
      <c r="A569" s="3393">
        <v>567</v>
      </c>
      <c r="B569" s="3393">
        <v>2</v>
      </c>
      <c r="C569" s="3393">
        <v>1</v>
      </c>
      <c r="D569" s="3392">
        <v>622</v>
      </c>
      <c r="E569" s="3275">
        <v>613</v>
      </c>
      <c r="F569" s="3276">
        <v>1</v>
      </c>
      <c r="G569" s="3276">
        <v>0</v>
      </c>
      <c r="H569" s="3276">
        <v>1</v>
      </c>
      <c r="I569" s="3275" t="s">
        <v>3304</v>
      </c>
      <c r="J569" s="3275" t="s">
        <v>3305</v>
      </c>
      <c r="K569" s="3409">
        <v>43.08</v>
      </c>
      <c r="L569" s="3412">
        <v>31.54</v>
      </c>
      <c r="M569" s="3276"/>
      <c r="N569" s="3276"/>
      <c r="O569" s="3392"/>
      <c r="P569" s="3393"/>
      <c r="Q569" s="3393"/>
      <c r="R569" s="3276"/>
      <c r="S569" s="3276"/>
      <c r="T569" s="3239" t="str">
        <f t="shared" si="9"/>
        <v>无</v>
      </c>
    </row>
    <row r="570" spans="1:20">
      <c r="A570" s="3393">
        <v>568</v>
      </c>
      <c r="B570" s="3393">
        <v>2</v>
      </c>
      <c r="C570" s="3393">
        <v>1</v>
      </c>
      <c r="D570" s="3392">
        <v>623</v>
      </c>
      <c r="E570" s="3275">
        <v>634</v>
      </c>
      <c r="F570" s="3276">
        <v>1</v>
      </c>
      <c r="G570" s="3276">
        <v>1</v>
      </c>
      <c r="H570" s="3276">
        <v>1</v>
      </c>
      <c r="I570" s="3275" t="s">
        <v>3332</v>
      </c>
      <c r="J570" s="3275" t="s">
        <v>3335</v>
      </c>
      <c r="K570" s="3409">
        <v>55.07</v>
      </c>
      <c r="L570" s="3412">
        <v>40.32</v>
      </c>
      <c r="M570" s="3276"/>
      <c r="N570" s="3276"/>
      <c r="O570" s="3392"/>
      <c r="P570" s="3393"/>
      <c r="Q570" s="3393"/>
      <c r="R570" s="3276"/>
      <c r="S570" s="3276"/>
      <c r="T570" s="3239" t="str">
        <f t="shared" si="9"/>
        <v>有</v>
      </c>
    </row>
    <row r="571" spans="1:20" hidden="1">
      <c r="A571" s="3393">
        <v>569</v>
      </c>
      <c r="B571" s="3393">
        <v>2</v>
      </c>
      <c r="C571" s="3393">
        <v>1</v>
      </c>
      <c r="D571" s="3392">
        <v>624</v>
      </c>
      <c r="E571" s="3275">
        <v>612</v>
      </c>
      <c r="F571" s="3276">
        <v>1</v>
      </c>
      <c r="G571" s="3276">
        <v>0</v>
      </c>
      <c r="H571" s="3276">
        <v>1</v>
      </c>
      <c r="I571" s="3275" t="s">
        <v>3304</v>
      </c>
      <c r="J571" s="3275" t="s">
        <v>3305</v>
      </c>
      <c r="K571" s="3409">
        <v>43.08</v>
      </c>
      <c r="L571" s="3412">
        <v>31.54</v>
      </c>
      <c r="M571" s="3276"/>
      <c r="N571" s="3276"/>
      <c r="O571" s="3392">
        <v>2.9</v>
      </c>
      <c r="P571" s="3392" t="s">
        <v>3297</v>
      </c>
      <c r="Q571" s="3392" t="s">
        <v>3298</v>
      </c>
      <c r="R571" s="3276"/>
      <c r="S571" s="3276"/>
      <c r="T571" s="3239" t="str">
        <f t="shared" si="9"/>
        <v>无</v>
      </c>
    </row>
    <row r="572" spans="1:20">
      <c r="A572" s="3393">
        <v>570</v>
      </c>
      <c r="B572" s="3393">
        <v>2</v>
      </c>
      <c r="C572" s="3393">
        <v>1</v>
      </c>
      <c r="D572" s="3392">
        <v>625</v>
      </c>
      <c r="E572" s="3275">
        <v>635</v>
      </c>
      <c r="F572" s="3276">
        <v>1</v>
      </c>
      <c r="G572" s="3276">
        <v>1</v>
      </c>
      <c r="H572" s="3276">
        <v>1</v>
      </c>
      <c r="I572" s="3275" t="s">
        <v>3332</v>
      </c>
      <c r="J572" s="3275" t="s">
        <v>3336</v>
      </c>
      <c r="K572" s="3409">
        <v>58.13</v>
      </c>
      <c r="L572" s="3412">
        <v>42.56</v>
      </c>
      <c r="M572" s="3276"/>
      <c r="N572" s="3276"/>
      <c r="O572" s="3392"/>
      <c r="P572" s="3393"/>
      <c r="Q572" s="3393"/>
      <c r="R572" s="3276"/>
      <c r="S572" s="3276"/>
      <c r="T572" s="3239" t="str">
        <f t="shared" si="9"/>
        <v>有</v>
      </c>
    </row>
    <row r="573" spans="1:20" hidden="1">
      <c r="A573" s="3393">
        <v>571</v>
      </c>
      <c r="B573" s="3393">
        <v>2</v>
      </c>
      <c r="C573" s="3393">
        <v>1</v>
      </c>
      <c r="D573" s="3392">
        <v>626</v>
      </c>
      <c r="E573" s="3275">
        <v>611</v>
      </c>
      <c r="F573" s="3276">
        <v>1</v>
      </c>
      <c r="G573" s="3276">
        <v>0</v>
      </c>
      <c r="H573" s="3276">
        <v>1</v>
      </c>
      <c r="I573" s="3275" t="s">
        <v>3304</v>
      </c>
      <c r="J573" s="3275" t="s">
        <v>3502</v>
      </c>
      <c r="K573" s="3409">
        <v>43.68</v>
      </c>
      <c r="L573" s="3412">
        <v>31.98</v>
      </c>
      <c r="M573" s="3276"/>
      <c r="N573" s="3276"/>
      <c r="O573" s="3392"/>
      <c r="P573" s="3393"/>
      <c r="Q573" s="3393"/>
      <c r="R573" s="3276"/>
      <c r="S573" s="3276"/>
      <c r="T573" s="3239" t="str">
        <f t="shared" si="9"/>
        <v>无</v>
      </c>
    </row>
    <row r="574" spans="1:20">
      <c r="A574" s="3393">
        <v>572</v>
      </c>
      <c r="B574" s="3393">
        <v>2</v>
      </c>
      <c r="C574" s="3393">
        <v>1</v>
      </c>
      <c r="D574" s="3392">
        <v>627</v>
      </c>
      <c r="E574" s="3275">
        <v>610</v>
      </c>
      <c r="F574" s="3276">
        <v>1</v>
      </c>
      <c r="G574" s="3276">
        <v>1</v>
      </c>
      <c r="H574" s="3276">
        <v>1</v>
      </c>
      <c r="I574" s="3275" t="s">
        <v>3304</v>
      </c>
      <c r="J574" s="3275" t="s">
        <v>3325</v>
      </c>
      <c r="K574" s="3409">
        <v>54.46</v>
      </c>
      <c r="L574" s="3412">
        <v>39.869999999999997</v>
      </c>
      <c r="M574" s="3276"/>
      <c r="N574" s="3276"/>
      <c r="O574" s="3392"/>
      <c r="P574" s="3393"/>
      <c r="Q574" s="3393"/>
      <c r="R574" s="3276"/>
      <c r="S574" s="3276"/>
      <c r="T574" s="3239" t="str">
        <f t="shared" si="9"/>
        <v>有</v>
      </c>
    </row>
    <row r="575" spans="1:20">
      <c r="A575" s="3393">
        <v>573</v>
      </c>
      <c r="B575" s="3393">
        <v>2</v>
      </c>
      <c r="C575" s="3393">
        <v>1</v>
      </c>
      <c r="D575" s="3392">
        <v>628</v>
      </c>
      <c r="E575" s="3275">
        <v>636</v>
      </c>
      <c r="F575" s="3276">
        <v>1</v>
      </c>
      <c r="G575" s="3276">
        <v>1</v>
      </c>
      <c r="H575" s="3276">
        <v>1</v>
      </c>
      <c r="I575" s="3275" t="s">
        <v>3312</v>
      </c>
      <c r="J575" s="3275" t="s">
        <v>3337</v>
      </c>
      <c r="K575" s="3409">
        <v>55.21</v>
      </c>
      <c r="L575" s="3412">
        <v>40.42</v>
      </c>
      <c r="M575" s="3276"/>
      <c r="N575" s="3276"/>
      <c r="O575" s="3392"/>
      <c r="P575" s="3393"/>
      <c r="Q575" s="3393"/>
      <c r="R575" s="3276"/>
      <c r="S575" s="3276"/>
      <c r="T575" s="3239" t="str">
        <f t="shared" si="9"/>
        <v>有</v>
      </c>
    </row>
    <row r="576" spans="1:20">
      <c r="A576" s="3393">
        <v>574</v>
      </c>
      <c r="B576" s="3393">
        <v>2</v>
      </c>
      <c r="C576" s="3393">
        <v>1</v>
      </c>
      <c r="D576" s="3392">
        <v>629</v>
      </c>
      <c r="E576" s="3275">
        <v>638</v>
      </c>
      <c r="F576" s="3276">
        <v>1</v>
      </c>
      <c r="G576" s="3276">
        <v>1</v>
      </c>
      <c r="H576" s="3276">
        <v>1</v>
      </c>
      <c r="I576" s="3275" t="s">
        <v>3312</v>
      </c>
      <c r="J576" s="3275" t="s">
        <v>3338</v>
      </c>
      <c r="K576" s="3409">
        <v>54.46</v>
      </c>
      <c r="L576" s="3412">
        <v>39.869999999999997</v>
      </c>
      <c r="M576" s="3276"/>
      <c r="N576" s="3276"/>
      <c r="O576" s="3392"/>
      <c r="P576" s="3393"/>
      <c r="Q576" s="3393"/>
      <c r="R576" s="3276"/>
      <c r="S576" s="3276"/>
      <c r="T576" s="3239" t="str">
        <f t="shared" si="9"/>
        <v>有</v>
      </c>
    </row>
    <row r="577" spans="1:20">
      <c r="A577" s="3393">
        <v>575</v>
      </c>
      <c r="B577" s="3393">
        <v>2</v>
      </c>
      <c r="C577" s="3393">
        <v>1</v>
      </c>
      <c r="D577" s="3392">
        <v>630</v>
      </c>
      <c r="E577" s="3275">
        <v>637</v>
      </c>
      <c r="F577" s="3276">
        <v>1</v>
      </c>
      <c r="G577" s="3276">
        <v>1</v>
      </c>
      <c r="H577" s="3276">
        <v>1</v>
      </c>
      <c r="I577" s="3275" t="s">
        <v>3312</v>
      </c>
      <c r="J577" s="3275" t="s">
        <v>3335</v>
      </c>
      <c r="K577" s="3409">
        <v>55.07</v>
      </c>
      <c r="L577" s="3412">
        <v>40.32</v>
      </c>
      <c r="M577" s="3276"/>
      <c r="N577" s="3276"/>
      <c r="O577" s="3392"/>
      <c r="P577" s="3393"/>
      <c r="Q577" s="3393"/>
      <c r="R577" s="3276"/>
      <c r="S577" s="3276"/>
      <c r="T577" s="3239" t="str">
        <f t="shared" si="9"/>
        <v>有</v>
      </c>
    </row>
    <row r="578" spans="1:20">
      <c r="A578" s="3393">
        <v>576</v>
      </c>
      <c r="B578" s="3393">
        <v>2</v>
      </c>
      <c r="C578" s="3393">
        <v>1</v>
      </c>
      <c r="D578" s="3392">
        <v>631</v>
      </c>
      <c r="E578" s="3275">
        <v>639</v>
      </c>
      <c r="F578" s="3276">
        <v>4</v>
      </c>
      <c r="G578" s="3276">
        <v>1</v>
      </c>
      <c r="H578" s="3276">
        <v>1</v>
      </c>
      <c r="I578" s="3275" t="s">
        <v>3316</v>
      </c>
      <c r="J578" s="3275" t="s">
        <v>3319</v>
      </c>
      <c r="K578" s="3409">
        <v>103.44</v>
      </c>
      <c r="L578" s="3412">
        <v>75.73</v>
      </c>
      <c r="M578" s="3276"/>
      <c r="N578" s="3276"/>
      <c r="O578" s="3392"/>
      <c r="P578" s="3393"/>
      <c r="Q578" s="3393"/>
      <c r="R578" s="3276"/>
      <c r="S578" s="3276"/>
      <c r="T578" s="3239" t="str">
        <f t="shared" si="9"/>
        <v>有</v>
      </c>
    </row>
    <row r="579" spans="1:20">
      <c r="A579" s="3393">
        <v>577</v>
      </c>
      <c r="B579" s="3393">
        <v>2</v>
      </c>
      <c r="C579" s="3393">
        <v>1</v>
      </c>
      <c r="D579" s="3392">
        <v>632</v>
      </c>
      <c r="E579" s="3275">
        <v>609</v>
      </c>
      <c r="F579" s="3276">
        <v>1</v>
      </c>
      <c r="G579" s="3276">
        <v>1</v>
      </c>
      <c r="H579" s="3276">
        <v>1</v>
      </c>
      <c r="I579" s="3275" t="s">
        <v>3304</v>
      </c>
      <c r="J579" s="3275" t="s">
        <v>3328</v>
      </c>
      <c r="K579" s="3409">
        <v>54.58</v>
      </c>
      <c r="L579" s="3412">
        <v>39.96</v>
      </c>
      <c r="M579" s="3276"/>
      <c r="N579" s="3276"/>
      <c r="O579" s="3392"/>
      <c r="P579" s="3393"/>
      <c r="Q579" s="3393"/>
      <c r="R579" s="3276"/>
      <c r="S579" s="3276"/>
      <c r="T579" s="3239" t="str">
        <f t="shared" si="9"/>
        <v>有</v>
      </c>
    </row>
    <row r="580" spans="1:20">
      <c r="A580" s="3393">
        <v>578</v>
      </c>
      <c r="B580" s="3393">
        <v>2</v>
      </c>
      <c r="C580" s="3393">
        <v>1</v>
      </c>
      <c r="D580" s="3392">
        <v>633</v>
      </c>
      <c r="E580" s="3275">
        <v>608</v>
      </c>
      <c r="F580" s="3276">
        <v>1</v>
      </c>
      <c r="G580" s="3276">
        <v>1</v>
      </c>
      <c r="H580" s="3276">
        <v>1</v>
      </c>
      <c r="I580" s="3275" t="s">
        <v>3302</v>
      </c>
      <c r="J580" s="3275" t="s">
        <v>3311</v>
      </c>
      <c r="K580" s="3409">
        <v>52.64</v>
      </c>
      <c r="L580" s="3412">
        <v>38.54</v>
      </c>
      <c r="M580" s="3276"/>
      <c r="N580" s="3276"/>
      <c r="O580" s="3392"/>
      <c r="P580" s="3393"/>
      <c r="Q580" s="3393"/>
      <c r="R580" s="3276"/>
      <c r="S580" s="3276"/>
      <c r="T580" s="3239" t="str">
        <f t="shared" ref="T580:T643" si="10">IF(OR(J580="无障碍宿舍",J580="无障碍宿舍-01",J580="无障碍宿舍-02",J580="40平",J580="40平-01",J580="40平-02",J580="40平-03",J580="40平-04",J580="40平-06",J580="40平-07",J580="D2"),"无","有")</f>
        <v>有</v>
      </c>
    </row>
    <row r="581" spans="1:20">
      <c r="A581" s="3393">
        <v>579</v>
      </c>
      <c r="B581" s="3393">
        <v>2</v>
      </c>
      <c r="C581" s="3393">
        <v>1</v>
      </c>
      <c r="D581" s="3392">
        <v>634</v>
      </c>
      <c r="E581" s="3275">
        <v>607</v>
      </c>
      <c r="F581" s="3276">
        <v>2</v>
      </c>
      <c r="G581" s="3276">
        <v>1</v>
      </c>
      <c r="H581" s="3276">
        <v>1</v>
      </c>
      <c r="I581" s="3275" t="s">
        <v>3300</v>
      </c>
      <c r="J581" s="3275" t="s">
        <v>3313</v>
      </c>
      <c r="K581" s="3409">
        <v>91.88</v>
      </c>
      <c r="L581" s="3412">
        <v>67.27</v>
      </c>
      <c r="M581" s="3276"/>
      <c r="N581" s="3276"/>
      <c r="O581" s="3392"/>
      <c r="P581" s="3393"/>
      <c r="Q581" s="3393"/>
      <c r="R581" s="3276"/>
      <c r="S581" s="3276"/>
      <c r="T581" s="3239" t="str">
        <f t="shared" si="10"/>
        <v>有</v>
      </c>
    </row>
    <row r="582" spans="1:20">
      <c r="A582" s="3393">
        <v>580</v>
      </c>
      <c r="B582" s="3393">
        <v>2</v>
      </c>
      <c r="C582" s="3393">
        <v>1</v>
      </c>
      <c r="D582" s="3392">
        <v>635</v>
      </c>
      <c r="E582" s="3275">
        <v>601</v>
      </c>
      <c r="F582" s="3276">
        <v>4</v>
      </c>
      <c r="G582" s="3276">
        <v>1</v>
      </c>
      <c r="H582" s="3276">
        <v>1</v>
      </c>
      <c r="I582" s="3275" t="s">
        <v>3318</v>
      </c>
      <c r="J582" s="3275" t="s">
        <v>3317</v>
      </c>
      <c r="K582" s="3409">
        <v>103.44</v>
      </c>
      <c r="L582" s="3412">
        <v>75.73</v>
      </c>
      <c r="M582" s="3276"/>
      <c r="N582" s="3276"/>
      <c r="O582" s="3392"/>
      <c r="P582" s="3393"/>
      <c r="Q582" s="3393"/>
      <c r="R582" s="3276"/>
      <c r="S582" s="3276"/>
      <c r="T582" s="3239" t="str">
        <f t="shared" si="10"/>
        <v>有</v>
      </c>
    </row>
    <row r="583" spans="1:20">
      <c r="A583" s="3393">
        <v>581</v>
      </c>
      <c r="B583" s="3393">
        <v>2</v>
      </c>
      <c r="C583" s="3393">
        <v>1</v>
      </c>
      <c r="D583" s="3392">
        <v>636</v>
      </c>
      <c r="E583" s="3275">
        <v>604</v>
      </c>
      <c r="F583" s="3276">
        <v>1</v>
      </c>
      <c r="G583" s="3276">
        <v>1</v>
      </c>
      <c r="H583" s="3276">
        <v>1</v>
      </c>
      <c r="I583" s="3275" t="s">
        <v>3300</v>
      </c>
      <c r="J583" s="3275" t="s">
        <v>3326</v>
      </c>
      <c r="K583" s="3409">
        <v>55.07</v>
      </c>
      <c r="L583" s="3412">
        <v>40.32</v>
      </c>
      <c r="M583" s="3276"/>
      <c r="N583" s="3276"/>
      <c r="O583" s="3392"/>
      <c r="P583" s="3393"/>
      <c r="Q583" s="3393"/>
      <c r="R583" s="3276"/>
      <c r="S583" s="3276"/>
      <c r="T583" s="3239" t="str">
        <f t="shared" si="10"/>
        <v>有</v>
      </c>
    </row>
    <row r="584" spans="1:20">
      <c r="A584" s="3393">
        <v>582</v>
      </c>
      <c r="B584" s="3393">
        <v>2</v>
      </c>
      <c r="C584" s="3393">
        <v>1</v>
      </c>
      <c r="D584" s="3392">
        <v>637</v>
      </c>
      <c r="E584" s="3275">
        <v>602</v>
      </c>
      <c r="F584" s="3276">
        <v>1</v>
      </c>
      <c r="G584" s="3276">
        <v>1</v>
      </c>
      <c r="H584" s="3276">
        <v>1</v>
      </c>
      <c r="I584" s="3275" t="s">
        <v>3300</v>
      </c>
      <c r="J584" s="3275" t="s">
        <v>3324</v>
      </c>
      <c r="K584" s="3409">
        <v>56.3</v>
      </c>
      <c r="L584" s="3412">
        <v>41.22</v>
      </c>
      <c r="M584" s="3276"/>
      <c r="N584" s="3276"/>
      <c r="O584" s="3392"/>
      <c r="P584" s="3393"/>
      <c r="Q584" s="3393"/>
      <c r="R584" s="3276"/>
      <c r="S584" s="3276"/>
      <c r="T584" s="3239" t="str">
        <f t="shared" si="10"/>
        <v>有</v>
      </c>
    </row>
    <row r="585" spans="1:20">
      <c r="A585" s="3393">
        <v>583</v>
      </c>
      <c r="B585" s="3393">
        <v>2</v>
      </c>
      <c r="C585" s="3393">
        <v>1</v>
      </c>
      <c r="D585" s="3392">
        <v>638</v>
      </c>
      <c r="E585" s="3275">
        <v>603</v>
      </c>
      <c r="F585" s="3276">
        <v>1</v>
      </c>
      <c r="G585" s="3276">
        <v>1</v>
      </c>
      <c r="H585" s="3276">
        <v>1</v>
      </c>
      <c r="I585" s="3275" t="s">
        <v>3300</v>
      </c>
      <c r="J585" s="3275" t="s">
        <v>3325</v>
      </c>
      <c r="K585" s="3409">
        <v>54.46</v>
      </c>
      <c r="L585" s="3412">
        <v>39.869999999999997</v>
      </c>
      <c r="M585" s="3276"/>
      <c r="N585" s="3276"/>
      <c r="O585" s="3392"/>
      <c r="P585" s="3393"/>
      <c r="Q585" s="3393"/>
      <c r="R585" s="3276"/>
      <c r="S585" s="3276"/>
      <c r="T585" s="3239" t="str">
        <f t="shared" si="10"/>
        <v>有</v>
      </c>
    </row>
    <row r="586" spans="1:20">
      <c r="A586" s="3393">
        <v>584</v>
      </c>
      <c r="B586" s="3393">
        <v>2</v>
      </c>
      <c r="C586" s="3393">
        <v>1</v>
      </c>
      <c r="D586" s="3392">
        <v>639</v>
      </c>
      <c r="E586" s="3275">
        <v>605</v>
      </c>
      <c r="F586" s="3276">
        <v>1</v>
      </c>
      <c r="G586" s="3276">
        <v>1</v>
      </c>
      <c r="H586" s="3276">
        <v>1</v>
      </c>
      <c r="I586" s="3275" t="s">
        <v>3300</v>
      </c>
      <c r="J586" s="3275" t="s">
        <v>3326</v>
      </c>
      <c r="K586" s="3409">
        <v>55.07</v>
      </c>
      <c r="L586" s="3412">
        <v>40.32</v>
      </c>
      <c r="M586" s="3276"/>
      <c r="N586" s="3276"/>
      <c r="O586" s="3392"/>
      <c r="P586" s="3393"/>
      <c r="Q586" s="3393"/>
      <c r="R586" s="3276"/>
      <c r="S586" s="3276"/>
      <c r="T586" s="3239" t="str">
        <f t="shared" si="10"/>
        <v>有</v>
      </c>
    </row>
    <row r="587" spans="1:20">
      <c r="A587" s="3393">
        <v>585</v>
      </c>
      <c r="B587" s="3393">
        <v>2</v>
      </c>
      <c r="C587" s="3393">
        <v>1</v>
      </c>
      <c r="D587" s="3392">
        <v>640</v>
      </c>
      <c r="E587" s="3275">
        <v>606</v>
      </c>
      <c r="F587" s="3276">
        <v>1</v>
      </c>
      <c r="G587" s="3276">
        <v>1</v>
      </c>
      <c r="H587" s="3276">
        <v>1</v>
      </c>
      <c r="I587" s="3275" t="s">
        <v>3300</v>
      </c>
      <c r="J587" s="3275" t="s">
        <v>3327</v>
      </c>
      <c r="K587" s="3409">
        <v>54.59</v>
      </c>
      <c r="L587" s="3412">
        <v>39.97</v>
      </c>
      <c r="M587" s="3276"/>
      <c r="N587" s="3276"/>
      <c r="O587" s="3392"/>
      <c r="P587" s="3393"/>
      <c r="Q587" s="3393"/>
      <c r="R587" s="3276"/>
      <c r="S587" s="3276"/>
      <c r="T587" s="3239" t="str">
        <f t="shared" si="10"/>
        <v>有</v>
      </c>
    </row>
    <row r="588" spans="1:20" hidden="1">
      <c r="A588" s="3393">
        <v>586</v>
      </c>
      <c r="B588" s="3393">
        <v>2</v>
      </c>
      <c r="C588" s="3393">
        <v>1</v>
      </c>
      <c r="D588" s="3392">
        <v>701</v>
      </c>
      <c r="E588" s="3275">
        <v>723</v>
      </c>
      <c r="F588" s="3276">
        <v>1</v>
      </c>
      <c r="G588" s="3276">
        <v>0</v>
      </c>
      <c r="H588" s="3276">
        <v>1</v>
      </c>
      <c r="I588" s="3275" t="s">
        <v>3332</v>
      </c>
      <c r="J588" s="3275" t="s">
        <v>3500</v>
      </c>
      <c r="K588" s="3409">
        <v>48.16</v>
      </c>
      <c r="L588" s="3412">
        <v>35.26</v>
      </c>
      <c r="M588" s="3276"/>
      <c r="N588" s="3276"/>
      <c r="O588" s="3392"/>
      <c r="P588" s="3393"/>
      <c r="Q588" s="3393"/>
      <c r="R588" s="3276"/>
      <c r="S588" s="3276"/>
      <c r="T588" s="3239" t="str">
        <f t="shared" si="10"/>
        <v>无</v>
      </c>
    </row>
    <row r="589" spans="1:20" hidden="1">
      <c r="A589" s="3393">
        <v>587</v>
      </c>
      <c r="B589" s="3393">
        <v>2</v>
      </c>
      <c r="C589" s="3393">
        <v>1</v>
      </c>
      <c r="D589" s="3392">
        <v>702</v>
      </c>
      <c r="E589" s="3275">
        <v>722</v>
      </c>
      <c r="F589" s="3276">
        <v>1</v>
      </c>
      <c r="G589" s="3276">
        <v>0</v>
      </c>
      <c r="H589" s="3276">
        <v>1</v>
      </c>
      <c r="I589" s="3275" t="s">
        <v>3312</v>
      </c>
      <c r="J589" s="3275" t="s">
        <v>3323</v>
      </c>
      <c r="K589" s="3409">
        <v>44.28</v>
      </c>
      <c r="L589" s="3412">
        <v>32.42</v>
      </c>
      <c r="M589" s="3276"/>
      <c r="N589" s="3276"/>
      <c r="O589" s="3392"/>
      <c r="P589" s="3393"/>
      <c r="Q589" s="3393"/>
      <c r="R589" s="3276"/>
      <c r="S589" s="3276"/>
      <c r="T589" s="3239" t="str">
        <f t="shared" si="10"/>
        <v>无</v>
      </c>
    </row>
    <row r="590" spans="1:20">
      <c r="A590" s="3393">
        <v>588</v>
      </c>
      <c r="B590" s="3393">
        <v>2</v>
      </c>
      <c r="C590" s="3393">
        <v>1</v>
      </c>
      <c r="D590" s="3392">
        <v>703</v>
      </c>
      <c r="E590" s="3275">
        <v>721</v>
      </c>
      <c r="F590" s="3276">
        <v>1</v>
      </c>
      <c r="G590" s="3276">
        <v>1</v>
      </c>
      <c r="H590" s="3276">
        <v>1</v>
      </c>
      <c r="I590" s="3275" t="s">
        <v>3310</v>
      </c>
      <c r="J590" s="3275" t="s">
        <v>3303</v>
      </c>
      <c r="K590" s="3409">
        <v>55.34</v>
      </c>
      <c r="L590" s="3412">
        <v>40.520000000000003</v>
      </c>
      <c r="M590" s="3276"/>
      <c r="N590" s="3276"/>
      <c r="O590" s="3392"/>
      <c r="P590" s="3393"/>
      <c r="Q590" s="3393"/>
      <c r="R590" s="3276"/>
      <c r="S590" s="3276"/>
      <c r="T590" s="3239" t="str">
        <f t="shared" si="10"/>
        <v>有</v>
      </c>
    </row>
    <row r="591" spans="1:20" hidden="1">
      <c r="A591" s="3393">
        <v>589</v>
      </c>
      <c r="B591" s="3393">
        <v>2</v>
      </c>
      <c r="C591" s="3393">
        <v>1</v>
      </c>
      <c r="D591" s="3392">
        <v>704</v>
      </c>
      <c r="E591" s="3275">
        <v>724</v>
      </c>
      <c r="F591" s="3276">
        <v>1</v>
      </c>
      <c r="G591" s="3276">
        <v>0</v>
      </c>
      <c r="H591" s="3276">
        <v>1</v>
      </c>
      <c r="I591" s="3275" t="s">
        <v>3332</v>
      </c>
      <c r="J591" s="3275" t="s">
        <v>3501</v>
      </c>
      <c r="K591" s="3409">
        <v>47.12</v>
      </c>
      <c r="L591" s="3412">
        <v>34.5</v>
      </c>
      <c r="M591" s="3276"/>
      <c r="N591" s="3276"/>
      <c r="O591" s="3392"/>
      <c r="P591" s="3393"/>
      <c r="Q591" s="3393"/>
      <c r="R591" s="3276"/>
      <c r="S591" s="3276"/>
      <c r="T591" s="3239" t="str">
        <f t="shared" si="10"/>
        <v>无</v>
      </c>
    </row>
    <row r="592" spans="1:20">
      <c r="A592" s="3393">
        <v>590</v>
      </c>
      <c r="B592" s="3393">
        <v>2</v>
      </c>
      <c r="C592" s="3393">
        <v>1</v>
      </c>
      <c r="D592" s="3392">
        <v>705</v>
      </c>
      <c r="E592" s="3275">
        <v>725</v>
      </c>
      <c r="F592" s="3276">
        <v>1</v>
      </c>
      <c r="G592" s="3276">
        <v>1</v>
      </c>
      <c r="H592" s="3276">
        <v>1</v>
      </c>
      <c r="I592" s="3275" t="s">
        <v>3332</v>
      </c>
      <c r="J592" s="3275" t="s">
        <v>3335</v>
      </c>
      <c r="K592" s="3409">
        <v>55.07</v>
      </c>
      <c r="L592" s="3412">
        <v>40.32</v>
      </c>
      <c r="M592" s="3276"/>
      <c r="N592" s="3276"/>
      <c r="O592" s="3392"/>
      <c r="P592" s="3393"/>
      <c r="Q592" s="3393"/>
      <c r="R592" s="3276"/>
      <c r="S592" s="3276"/>
      <c r="T592" s="3239" t="str">
        <f t="shared" si="10"/>
        <v>有</v>
      </c>
    </row>
    <row r="593" spans="1:20" hidden="1">
      <c r="A593" s="3393">
        <v>591</v>
      </c>
      <c r="B593" s="3393">
        <v>2</v>
      </c>
      <c r="C593" s="3393">
        <v>1</v>
      </c>
      <c r="D593" s="3392">
        <v>706</v>
      </c>
      <c r="E593" s="3275">
        <v>720</v>
      </c>
      <c r="F593" s="3276">
        <v>1</v>
      </c>
      <c r="G593" s="3276">
        <v>0</v>
      </c>
      <c r="H593" s="3276">
        <v>1</v>
      </c>
      <c r="I593" s="3278" t="s">
        <v>3304</v>
      </c>
      <c r="J593" s="3275" t="s">
        <v>3305</v>
      </c>
      <c r="K593" s="3409">
        <v>43.08</v>
      </c>
      <c r="L593" s="3412">
        <v>31.54</v>
      </c>
      <c r="M593" s="3276"/>
      <c r="N593" s="3276"/>
      <c r="O593" s="3392"/>
      <c r="P593" s="3393"/>
      <c r="Q593" s="3393"/>
      <c r="R593" s="3276"/>
      <c r="S593" s="3276"/>
      <c r="T593" s="3239" t="str">
        <f t="shared" si="10"/>
        <v>无</v>
      </c>
    </row>
    <row r="594" spans="1:20" hidden="1">
      <c r="A594" s="3393">
        <v>592</v>
      </c>
      <c r="B594" s="3393">
        <v>2</v>
      </c>
      <c r="C594" s="3393">
        <v>1</v>
      </c>
      <c r="D594" s="3392">
        <v>707</v>
      </c>
      <c r="E594" s="3275">
        <v>719</v>
      </c>
      <c r="F594" s="3276">
        <v>1</v>
      </c>
      <c r="G594" s="3276">
        <v>0</v>
      </c>
      <c r="H594" s="3276">
        <v>1</v>
      </c>
      <c r="I594" s="3278" t="s">
        <v>3304</v>
      </c>
      <c r="J594" s="3275" t="s">
        <v>3305</v>
      </c>
      <c r="K594" s="3409">
        <v>43.08</v>
      </c>
      <c r="L594" s="3412">
        <v>31.54</v>
      </c>
      <c r="M594" s="3276"/>
      <c r="N594" s="3276"/>
      <c r="O594" s="3392"/>
      <c r="P594" s="3393"/>
      <c r="Q594" s="3393"/>
      <c r="R594" s="3276"/>
      <c r="S594" s="3276"/>
      <c r="T594" s="3239" t="str">
        <f t="shared" si="10"/>
        <v>无</v>
      </c>
    </row>
    <row r="595" spans="1:20">
      <c r="A595" s="3393">
        <v>593</v>
      </c>
      <c r="B595" s="3393">
        <v>2</v>
      </c>
      <c r="C595" s="3393">
        <v>1</v>
      </c>
      <c r="D595" s="3392">
        <v>708</v>
      </c>
      <c r="E595" s="3275">
        <v>726</v>
      </c>
      <c r="F595" s="3276">
        <v>1</v>
      </c>
      <c r="G595" s="3276">
        <v>1</v>
      </c>
      <c r="H595" s="3276">
        <v>1</v>
      </c>
      <c r="I595" s="3275" t="s">
        <v>3332</v>
      </c>
      <c r="J595" s="3275" t="s">
        <v>3335</v>
      </c>
      <c r="K595" s="3409">
        <v>55.07</v>
      </c>
      <c r="L595" s="3412">
        <v>40.32</v>
      </c>
      <c r="M595" s="3276"/>
      <c r="N595" s="3276"/>
      <c r="O595" s="3392"/>
      <c r="P595" s="3393"/>
      <c r="Q595" s="3393"/>
      <c r="R595" s="3276"/>
      <c r="S595" s="3276"/>
      <c r="T595" s="3239" t="str">
        <f t="shared" si="10"/>
        <v>有</v>
      </c>
    </row>
    <row r="596" spans="1:20" hidden="1">
      <c r="A596" s="3393">
        <v>594</v>
      </c>
      <c r="B596" s="3393">
        <v>2</v>
      </c>
      <c r="C596" s="3393">
        <v>1</v>
      </c>
      <c r="D596" s="3392">
        <v>709</v>
      </c>
      <c r="E596" s="3275">
        <v>718</v>
      </c>
      <c r="F596" s="3276">
        <v>1</v>
      </c>
      <c r="G596" s="3276">
        <v>0</v>
      </c>
      <c r="H596" s="3276">
        <v>1</v>
      </c>
      <c r="I596" s="3278" t="s">
        <v>3304</v>
      </c>
      <c r="J596" s="3275" t="s">
        <v>3306</v>
      </c>
      <c r="K596" s="3409">
        <v>44.06</v>
      </c>
      <c r="L596" s="3412">
        <v>32.26</v>
      </c>
      <c r="M596" s="3276"/>
      <c r="N596" s="3276"/>
      <c r="O596" s="3392"/>
      <c r="P596" s="3393"/>
      <c r="Q596" s="3393"/>
      <c r="R596" s="3276"/>
      <c r="S596" s="3276"/>
      <c r="T596" s="3239" t="str">
        <f t="shared" si="10"/>
        <v>无</v>
      </c>
    </row>
    <row r="597" spans="1:20">
      <c r="A597" s="3393">
        <v>595</v>
      </c>
      <c r="B597" s="3393">
        <v>2</v>
      </c>
      <c r="C597" s="3393">
        <v>1</v>
      </c>
      <c r="D597" s="3392">
        <v>710</v>
      </c>
      <c r="E597" s="3275">
        <v>727</v>
      </c>
      <c r="F597" s="3276">
        <v>1</v>
      </c>
      <c r="G597" s="3276">
        <v>1</v>
      </c>
      <c r="H597" s="3276">
        <v>1</v>
      </c>
      <c r="I597" s="3275" t="s">
        <v>3332</v>
      </c>
      <c r="J597" s="3275" t="s">
        <v>3335</v>
      </c>
      <c r="K597" s="3409">
        <v>55.07</v>
      </c>
      <c r="L597" s="3412">
        <v>40.32</v>
      </c>
      <c r="M597" s="3276"/>
      <c r="N597" s="3276"/>
      <c r="O597" s="3392"/>
      <c r="P597" s="3393"/>
      <c r="Q597" s="3393"/>
      <c r="R597" s="3276"/>
      <c r="S597" s="3276"/>
      <c r="T597" s="3239" t="str">
        <f t="shared" si="10"/>
        <v>有</v>
      </c>
    </row>
    <row r="598" spans="1:20">
      <c r="A598" s="3393">
        <v>596</v>
      </c>
      <c r="B598" s="3393">
        <v>2</v>
      </c>
      <c r="C598" s="3393">
        <v>1</v>
      </c>
      <c r="D598" s="3392">
        <v>711</v>
      </c>
      <c r="E598" s="3275">
        <v>728</v>
      </c>
      <c r="F598" s="3276">
        <v>1</v>
      </c>
      <c r="G598" s="3276">
        <v>1</v>
      </c>
      <c r="H598" s="3276">
        <v>1</v>
      </c>
      <c r="I598" s="3275" t="s">
        <v>3332</v>
      </c>
      <c r="J598" s="3275" t="s">
        <v>3335</v>
      </c>
      <c r="K598" s="3409">
        <v>55.07</v>
      </c>
      <c r="L598" s="3412">
        <v>40.32</v>
      </c>
      <c r="M598" s="3276"/>
      <c r="N598" s="3276"/>
      <c r="O598" s="3392"/>
      <c r="P598" s="3393"/>
      <c r="Q598" s="3393"/>
      <c r="R598" s="3276"/>
      <c r="S598" s="3276"/>
      <c r="T598" s="3239" t="str">
        <f t="shared" si="10"/>
        <v>有</v>
      </c>
    </row>
    <row r="599" spans="1:20">
      <c r="A599" s="3393">
        <v>597</v>
      </c>
      <c r="B599" s="3393">
        <v>2</v>
      </c>
      <c r="C599" s="3393">
        <v>1</v>
      </c>
      <c r="D599" s="3392">
        <v>712</v>
      </c>
      <c r="E599" s="3275">
        <v>729</v>
      </c>
      <c r="F599" s="3276">
        <v>1</v>
      </c>
      <c r="G599" s="3276">
        <v>1</v>
      </c>
      <c r="H599" s="3276">
        <v>1</v>
      </c>
      <c r="I599" s="3275" t="s">
        <v>3332</v>
      </c>
      <c r="J599" s="3275" t="s">
        <v>3335</v>
      </c>
      <c r="K599" s="3409">
        <v>55.07</v>
      </c>
      <c r="L599" s="3412">
        <v>40.32</v>
      </c>
      <c r="M599" s="3276"/>
      <c r="N599" s="3276"/>
      <c r="O599" s="3392"/>
      <c r="P599" s="3393"/>
      <c r="Q599" s="3393"/>
      <c r="R599" s="3276"/>
      <c r="S599" s="3276"/>
      <c r="T599" s="3239" t="str">
        <f t="shared" si="10"/>
        <v>有</v>
      </c>
    </row>
    <row r="600" spans="1:20">
      <c r="A600" s="3393">
        <v>598</v>
      </c>
      <c r="B600" s="3393">
        <v>2</v>
      </c>
      <c r="C600" s="3393">
        <v>1</v>
      </c>
      <c r="D600" s="3392">
        <v>714</v>
      </c>
      <c r="E600" s="3275">
        <v>730</v>
      </c>
      <c r="F600" s="3276">
        <v>1</v>
      </c>
      <c r="G600" s="3276">
        <v>1</v>
      </c>
      <c r="H600" s="3276">
        <v>1</v>
      </c>
      <c r="I600" s="3275" t="s">
        <v>3332</v>
      </c>
      <c r="J600" s="3275" t="s">
        <v>3335</v>
      </c>
      <c r="K600" s="3409">
        <v>55.07</v>
      </c>
      <c r="L600" s="3412">
        <v>40.32</v>
      </c>
      <c r="M600" s="3276"/>
      <c r="N600" s="3276"/>
      <c r="O600" s="3392"/>
      <c r="P600" s="3393"/>
      <c r="Q600" s="3393"/>
      <c r="R600" s="3276"/>
      <c r="S600" s="3276"/>
      <c r="T600" s="3239" t="str">
        <f t="shared" si="10"/>
        <v>有</v>
      </c>
    </row>
    <row r="601" spans="1:20" hidden="1">
      <c r="A601" s="3393">
        <v>599</v>
      </c>
      <c r="B601" s="3393">
        <v>2</v>
      </c>
      <c r="C601" s="3393">
        <v>1</v>
      </c>
      <c r="D601" s="3392">
        <v>715</v>
      </c>
      <c r="E601" s="3275">
        <v>717</v>
      </c>
      <c r="F601" s="3276">
        <v>1</v>
      </c>
      <c r="G601" s="3276">
        <v>0</v>
      </c>
      <c r="H601" s="3276">
        <v>1</v>
      </c>
      <c r="I601" s="3278" t="s">
        <v>3304</v>
      </c>
      <c r="J601" s="3275" t="s">
        <v>3306</v>
      </c>
      <c r="K601" s="3409">
        <v>44.06</v>
      </c>
      <c r="L601" s="3412">
        <v>32.26</v>
      </c>
      <c r="M601" s="3276"/>
      <c r="N601" s="3276"/>
      <c r="O601" s="3392"/>
      <c r="P601" s="3393"/>
      <c r="Q601" s="3393"/>
      <c r="R601" s="3276"/>
      <c r="S601" s="3276"/>
      <c r="T601" s="3239" t="str">
        <f t="shared" si="10"/>
        <v>无</v>
      </c>
    </row>
    <row r="602" spans="1:20">
      <c r="A602" s="3393">
        <v>600</v>
      </c>
      <c r="B602" s="3393">
        <v>2</v>
      </c>
      <c r="C602" s="3393">
        <v>1</v>
      </c>
      <c r="D602" s="3392">
        <v>716</v>
      </c>
      <c r="E602" s="3275">
        <v>731</v>
      </c>
      <c r="F602" s="3276">
        <v>1</v>
      </c>
      <c r="G602" s="3276">
        <v>1</v>
      </c>
      <c r="H602" s="3276">
        <v>1</v>
      </c>
      <c r="I602" s="3275" t="s">
        <v>3332</v>
      </c>
      <c r="J602" s="3275" t="s">
        <v>3335</v>
      </c>
      <c r="K602" s="3409">
        <v>55.07</v>
      </c>
      <c r="L602" s="3412">
        <v>40.32</v>
      </c>
      <c r="M602" s="3276"/>
      <c r="N602" s="3276"/>
      <c r="O602" s="3392"/>
      <c r="P602" s="3393"/>
      <c r="Q602" s="3393"/>
      <c r="R602" s="3276"/>
      <c r="S602" s="3276"/>
      <c r="T602" s="3239" t="str">
        <f t="shared" si="10"/>
        <v>有</v>
      </c>
    </row>
    <row r="603" spans="1:20" hidden="1">
      <c r="A603" s="3393">
        <v>601</v>
      </c>
      <c r="B603" s="3393">
        <v>2</v>
      </c>
      <c r="C603" s="3393">
        <v>1</v>
      </c>
      <c r="D603" s="3392">
        <v>717</v>
      </c>
      <c r="E603" s="3275">
        <v>716</v>
      </c>
      <c r="F603" s="3276">
        <v>1</v>
      </c>
      <c r="G603" s="3276">
        <v>0</v>
      </c>
      <c r="H603" s="3276">
        <v>1</v>
      </c>
      <c r="I603" s="3278" t="s">
        <v>3304</v>
      </c>
      <c r="J603" s="3275" t="s">
        <v>3305</v>
      </c>
      <c r="K603" s="3409">
        <v>43.08</v>
      </c>
      <c r="L603" s="3412">
        <v>31.54</v>
      </c>
      <c r="M603" s="3276"/>
      <c r="N603" s="3276"/>
      <c r="O603" s="3392"/>
      <c r="P603" s="3393"/>
      <c r="Q603" s="3393"/>
      <c r="R603" s="3276"/>
      <c r="S603" s="3276"/>
      <c r="T603" s="3239" t="str">
        <f t="shared" si="10"/>
        <v>无</v>
      </c>
    </row>
    <row r="604" spans="1:20" hidden="1">
      <c r="A604" s="3393">
        <v>602</v>
      </c>
      <c r="B604" s="3393">
        <v>2</v>
      </c>
      <c r="C604" s="3393">
        <v>1</v>
      </c>
      <c r="D604" s="3392">
        <v>718</v>
      </c>
      <c r="E604" s="3275">
        <v>715</v>
      </c>
      <c r="F604" s="3276">
        <v>1</v>
      </c>
      <c r="G604" s="3276">
        <v>0</v>
      </c>
      <c r="H604" s="3276">
        <v>1</v>
      </c>
      <c r="I604" s="3275" t="s">
        <v>3304</v>
      </c>
      <c r="J604" s="3275" t="s">
        <v>3305</v>
      </c>
      <c r="K604" s="3409">
        <v>43.08</v>
      </c>
      <c r="L604" s="3412">
        <v>31.54</v>
      </c>
      <c r="M604" s="3276"/>
      <c r="N604" s="3276"/>
      <c r="O604" s="3392"/>
      <c r="P604" s="3393"/>
      <c r="Q604" s="3393"/>
      <c r="R604" s="3276"/>
      <c r="S604" s="3276"/>
      <c r="T604" s="3239" t="str">
        <f t="shared" si="10"/>
        <v>无</v>
      </c>
    </row>
    <row r="605" spans="1:20">
      <c r="A605" s="3393">
        <v>603</v>
      </c>
      <c r="B605" s="3393">
        <v>2</v>
      </c>
      <c r="C605" s="3393">
        <v>1</v>
      </c>
      <c r="D605" s="3392">
        <v>719</v>
      </c>
      <c r="E605" s="3275">
        <v>732</v>
      </c>
      <c r="F605" s="3276">
        <v>1</v>
      </c>
      <c r="G605" s="3276">
        <v>1</v>
      </c>
      <c r="H605" s="3276">
        <v>1</v>
      </c>
      <c r="I605" s="3275" t="s">
        <v>3332</v>
      </c>
      <c r="J605" s="3275" t="s">
        <v>3335</v>
      </c>
      <c r="K605" s="3409">
        <v>55.07</v>
      </c>
      <c r="L605" s="3412">
        <v>40.32</v>
      </c>
      <c r="M605" s="3276"/>
      <c r="N605" s="3276"/>
      <c r="O605" s="3392"/>
      <c r="P605" s="3393"/>
      <c r="Q605" s="3393"/>
      <c r="R605" s="3276"/>
      <c r="S605" s="3276"/>
      <c r="T605" s="3239" t="str">
        <f t="shared" si="10"/>
        <v>有</v>
      </c>
    </row>
    <row r="606" spans="1:20" hidden="1">
      <c r="A606" s="3393">
        <v>604</v>
      </c>
      <c r="B606" s="3393">
        <v>2</v>
      </c>
      <c r="C606" s="3393">
        <v>1</v>
      </c>
      <c r="D606" s="3392">
        <v>720</v>
      </c>
      <c r="E606" s="3275">
        <v>714</v>
      </c>
      <c r="F606" s="3276">
        <v>1</v>
      </c>
      <c r="G606" s="3276">
        <v>0</v>
      </c>
      <c r="H606" s="3276">
        <v>1</v>
      </c>
      <c r="I606" s="3275" t="s">
        <v>3304</v>
      </c>
      <c r="J606" s="3275" t="s">
        <v>3305</v>
      </c>
      <c r="K606" s="3409">
        <v>43.08</v>
      </c>
      <c r="L606" s="3412">
        <v>31.54</v>
      </c>
      <c r="M606" s="3276"/>
      <c r="N606" s="3276"/>
      <c r="O606" s="3392"/>
      <c r="P606" s="3393"/>
      <c r="Q606" s="3393"/>
      <c r="R606" s="3276"/>
      <c r="S606" s="3276"/>
      <c r="T606" s="3239" t="str">
        <f t="shared" si="10"/>
        <v>无</v>
      </c>
    </row>
    <row r="607" spans="1:20">
      <c r="A607" s="3393">
        <v>605</v>
      </c>
      <c r="B607" s="3393">
        <v>2</v>
      </c>
      <c r="C607" s="3393">
        <v>1</v>
      </c>
      <c r="D607" s="3392">
        <v>721</v>
      </c>
      <c r="E607" s="3275">
        <v>733</v>
      </c>
      <c r="F607" s="3276">
        <v>1</v>
      </c>
      <c r="G607" s="3276">
        <v>1</v>
      </c>
      <c r="H607" s="3276">
        <v>1</v>
      </c>
      <c r="I607" s="3275" t="s">
        <v>3332</v>
      </c>
      <c r="J607" s="3275" t="s">
        <v>3335</v>
      </c>
      <c r="K607" s="3409">
        <v>55.07</v>
      </c>
      <c r="L607" s="3412">
        <v>40.32</v>
      </c>
      <c r="M607" s="3276"/>
      <c r="N607" s="3276"/>
      <c r="O607" s="3392"/>
      <c r="P607" s="3393"/>
      <c r="Q607" s="3393"/>
      <c r="R607" s="3276"/>
      <c r="S607" s="3276"/>
      <c r="T607" s="3239" t="str">
        <f t="shared" si="10"/>
        <v>有</v>
      </c>
    </row>
    <row r="608" spans="1:20" hidden="1">
      <c r="A608" s="3393">
        <v>606</v>
      </c>
      <c r="B608" s="3393">
        <v>2</v>
      </c>
      <c r="C608" s="3393">
        <v>1</v>
      </c>
      <c r="D608" s="3392">
        <v>722</v>
      </c>
      <c r="E608" s="3275">
        <v>713</v>
      </c>
      <c r="F608" s="3276">
        <v>1</v>
      </c>
      <c r="G608" s="3276">
        <v>0</v>
      </c>
      <c r="H608" s="3276">
        <v>1</v>
      </c>
      <c r="I608" s="3275" t="s">
        <v>3304</v>
      </c>
      <c r="J608" s="3275" t="s">
        <v>3305</v>
      </c>
      <c r="K608" s="3409">
        <v>43.08</v>
      </c>
      <c r="L608" s="3412">
        <v>31.54</v>
      </c>
      <c r="M608" s="3276"/>
      <c r="N608" s="3276"/>
      <c r="O608" s="3392"/>
      <c r="P608" s="3393"/>
      <c r="Q608" s="3393"/>
      <c r="R608" s="3276"/>
      <c r="S608" s="3276"/>
      <c r="T608" s="3239" t="str">
        <f t="shared" si="10"/>
        <v>无</v>
      </c>
    </row>
    <row r="609" spans="1:20">
      <c r="A609" s="3393">
        <v>607</v>
      </c>
      <c r="B609" s="3393">
        <v>2</v>
      </c>
      <c r="C609" s="3393">
        <v>1</v>
      </c>
      <c r="D609" s="3392">
        <v>723</v>
      </c>
      <c r="E609" s="3275">
        <v>734</v>
      </c>
      <c r="F609" s="3276">
        <v>1</v>
      </c>
      <c r="G609" s="3276">
        <v>1</v>
      </c>
      <c r="H609" s="3276">
        <v>1</v>
      </c>
      <c r="I609" s="3275" t="s">
        <v>3332</v>
      </c>
      <c r="J609" s="3275" t="s">
        <v>3335</v>
      </c>
      <c r="K609" s="3409">
        <v>55.07</v>
      </c>
      <c r="L609" s="3412">
        <v>40.32</v>
      </c>
      <c r="M609" s="3276"/>
      <c r="N609" s="3276"/>
      <c r="O609" s="3392"/>
      <c r="P609" s="3393"/>
      <c r="Q609" s="3393"/>
      <c r="R609" s="3276"/>
      <c r="S609" s="3276"/>
      <c r="T609" s="3239" t="str">
        <f t="shared" si="10"/>
        <v>有</v>
      </c>
    </row>
    <row r="610" spans="1:20" hidden="1">
      <c r="A610" s="3393">
        <v>608</v>
      </c>
      <c r="B610" s="3393">
        <v>2</v>
      </c>
      <c r="C610" s="3393">
        <v>1</v>
      </c>
      <c r="D610" s="3392">
        <v>724</v>
      </c>
      <c r="E610" s="3275">
        <v>712</v>
      </c>
      <c r="F610" s="3276">
        <v>1</v>
      </c>
      <c r="G610" s="3276">
        <v>0</v>
      </c>
      <c r="H610" s="3276">
        <v>1</v>
      </c>
      <c r="I610" s="3275" t="s">
        <v>3304</v>
      </c>
      <c r="J610" s="3275" t="s">
        <v>3305</v>
      </c>
      <c r="K610" s="3409">
        <v>43.08</v>
      </c>
      <c r="L610" s="3412">
        <v>31.54</v>
      </c>
      <c r="M610" s="3276"/>
      <c r="N610" s="3276"/>
      <c r="O610" s="3392">
        <v>2.9</v>
      </c>
      <c r="P610" s="3392" t="s">
        <v>3297</v>
      </c>
      <c r="Q610" s="3392" t="s">
        <v>3298</v>
      </c>
      <c r="R610" s="3276"/>
      <c r="S610" s="3276"/>
      <c r="T610" s="3239" t="str">
        <f t="shared" si="10"/>
        <v>无</v>
      </c>
    </row>
    <row r="611" spans="1:20">
      <c r="A611" s="3393">
        <v>609</v>
      </c>
      <c r="B611" s="3393">
        <v>2</v>
      </c>
      <c r="C611" s="3393">
        <v>1</v>
      </c>
      <c r="D611" s="3392">
        <v>725</v>
      </c>
      <c r="E611" s="3275">
        <v>735</v>
      </c>
      <c r="F611" s="3276">
        <v>1</v>
      </c>
      <c r="G611" s="3276">
        <v>1</v>
      </c>
      <c r="H611" s="3276">
        <v>1</v>
      </c>
      <c r="I611" s="3275" t="s">
        <v>3332</v>
      </c>
      <c r="J611" s="3275" t="s">
        <v>3336</v>
      </c>
      <c r="K611" s="3409">
        <v>58.13</v>
      </c>
      <c r="L611" s="3412">
        <v>42.56</v>
      </c>
      <c r="M611" s="3276"/>
      <c r="N611" s="3276"/>
      <c r="O611" s="3392"/>
      <c r="P611" s="3393"/>
      <c r="Q611" s="3393"/>
      <c r="R611" s="3276"/>
      <c r="S611" s="3276"/>
      <c r="T611" s="3239" t="str">
        <f t="shared" si="10"/>
        <v>有</v>
      </c>
    </row>
    <row r="612" spans="1:20" hidden="1">
      <c r="A612" s="3393">
        <v>610</v>
      </c>
      <c r="B612" s="3393">
        <v>2</v>
      </c>
      <c r="C612" s="3393">
        <v>1</v>
      </c>
      <c r="D612" s="3392">
        <v>726</v>
      </c>
      <c r="E612" s="3275">
        <v>711</v>
      </c>
      <c r="F612" s="3276">
        <v>1</v>
      </c>
      <c r="G612" s="3276">
        <v>0</v>
      </c>
      <c r="H612" s="3276">
        <v>1</v>
      </c>
      <c r="I612" s="3275" t="s">
        <v>3304</v>
      </c>
      <c r="J612" s="3275" t="s">
        <v>3502</v>
      </c>
      <c r="K612" s="3409">
        <v>43.68</v>
      </c>
      <c r="L612" s="3412">
        <v>31.98</v>
      </c>
      <c r="M612" s="3276"/>
      <c r="N612" s="3276"/>
      <c r="O612" s="3392"/>
      <c r="P612" s="3393"/>
      <c r="Q612" s="3393"/>
      <c r="R612" s="3276"/>
      <c r="S612" s="3276"/>
      <c r="T612" s="3239" t="str">
        <f t="shared" si="10"/>
        <v>无</v>
      </c>
    </row>
    <row r="613" spans="1:20">
      <c r="A613" s="3393">
        <v>611</v>
      </c>
      <c r="B613" s="3393">
        <v>2</v>
      </c>
      <c r="C613" s="3393">
        <v>1</v>
      </c>
      <c r="D613" s="3392">
        <v>727</v>
      </c>
      <c r="E613" s="3275">
        <v>710</v>
      </c>
      <c r="F613" s="3276">
        <v>1</v>
      </c>
      <c r="G613" s="3276">
        <v>1</v>
      </c>
      <c r="H613" s="3276">
        <v>1</v>
      </c>
      <c r="I613" s="3275" t="s">
        <v>3304</v>
      </c>
      <c r="J613" s="3275" t="s">
        <v>3325</v>
      </c>
      <c r="K613" s="3409">
        <v>54.46</v>
      </c>
      <c r="L613" s="3412">
        <v>39.869999999999997</v>
      </c>
      <c r="M613" s="3276"/>
      <c r="N613" s="3276"/>
      <c r="O613" s="3392"/>
      <c r="P613" s="3393"/>
      <c r="Q613" s="3393"/>
      <c r="R613" s="3276"/>
      <c r="S613" s="3276"/>
      <c r="T613" s="3239" t="str">
        <f t="shared" si="10"/>
        <v>有</v>
      </c>
    </row>
    <row r="614" spans="1:20">
      <c r="A614" s="3393">
        <v>612</v>
      </c>
      <c r="B614" s="3393">
        <v>2</v>
      </c>
      <c r="C614" s="3393">
        <v>1</v>
      </c>
      <c r="D614" s="3392">
        <v>728</v>
      </c>
      <c r="E614" s="3275">
        <v>736</v>
      </c>
      <c r="F614" s="3276">
        <v>1</v>
      </c>
      <c r="G614" s="3276">
        <v>1</v>
      </c>
      <c r="H614" s="3276">
        <v>1</v>
      </c>
      <c r="I614" s="3275" t="s">
        <v>3312</v>
      </c>
      <c r="J614" s="3275" t="s">
        <v>3337</v>
      </c>
      <c r="K614" s="3409">
        <v>55.21</v>
      </c>
      <c r="L614" s="3412">
        <v>40.42</v>
      </c>
      <c r="M614" s="3276"/>
      <c r="N614" s="3276"/>
      <c r="O614" s="3392"/>
      <c r="P614" s="3393"/>
      <c r="Q614" s="3393"/>
      <c r="R614" s="3276"/>
      <c r="S614" s="3276"/>
      <c r="T614" s="3239" t="str">
        <f t="shared" si="10"/>
        <v>有</v>
      </c>
    </row>
    <row r="615" spans="1:20">
      <c r="A615" s="3393">
        <v>613</v>
      </c>
      <c r="B615" s="3393">
        <v>2</v>
      </c>
      <c r="C615" s="3393">
        <v>1</v>
      </c>
      <c r="D615" s="3392">
        <v>729</v>
      </c>
      <c r="E615" s="3275">
        <v>738</v>
      </c>
      <c r="F615" s="3276">
        <v>1</v>
      </c>
      <c r="G615" s="3276">
        <v>1</v>
      </c>
      <c r="H615" s="3276">
        <v>1</v>
      </c>
      <c r="I615" s="3275" t="s">
        <v>3312</v>
      </c>
      <c r="J615" s="3275" t="s">
        <v>3338</v>
      </c>
      <c r="K615" s="3409">
        <v>54.46</v>
      </c>
      <c r="L615" s="3412">
        <v>39.869999999999997</v>
      </c>
      <c r="M615" s="3276"/>
      <c r="N615" s="3276"/>
      <c r="O615" s="3392"/>
      <c r="P615" s="3393"/>
      <c r="Q615" s="3393"/>
      <c r="R615" s="3276"/>
      <c r="S615" s="3276"/>
      <c r="T615" s="3239" t="str">
        <f t="shared" si="10"/>
        <v>有</v>
      </c>
    </row>
    <row r="616" spans="1:20">
      <c r="A616" s="3393">
        <v>614</v>
      </c>
      <c r="B616" s="3393">
        <v>2</v>
      </c>
      <c r="C616" s="3393">
        <v>1</v>
      </c>
      <c r="D616" s="3392">
        <v>730</v>
      </c>
      <c r="E616" s="3275">
        <v>737</v>
      </c>
      <c r="F616" s="3276">
        <v>1</v>
      </c>
      <c r="G616" s="3276">
        <v>1</v>
      </c>
      <c r="H616" s="3276">
        <v>1</v>
      </c>
      <c r="I616" s="3275" t="s">
        <v>3312</v>
      </c>
      <c r="J616" s="3275" t="s">
        <v>3335</v>
      </c>
      <c r="K616" s="3409">
        <v>55.07</v>
      </c>
      <c r="L616" s="3412">
        <v>40.32</v>
      </c>
      <c r="M616" s="3276"/>
      <c r="N616" s="3276"/>
      <c r="O616" s="3392"/>
      <c r="P616" s="3393"/>
      <c r="Q616" s="3393"/>
      <c r="R616" s="3276"/>
      <c r="S616" s="3276"/>
      <c r="T616" s="3239" t="str">
        <f t="shared" si="10"/>
        <v>有</v>
      </c>
    </row>
    <row r="617" spans="1:20">
      <c r="A617" s="3393">
        <v>615</v>
      </c>
      <c r="B617" s="3393">
        <v>2</v>
      </c>
      <c r="C617" s="3393">
        <v>1</v>
      </c>
      <c r="D617" s="3392">
        <v>731</v>
      </c>
      <c r="E617" s="3275">
        <v>739</v>
      </c>
      <c r="F617" s="3276">
        <v>4</v>
      </c>
      <c r="G617" s="3276">
        <v>1</v>
      </c>
      <c r="H617" s="3276">
        <v>1</v>
      </c>
      <c r="I617" s="3275" t="s">
        <v>3316</v>
      </c>
      <c r="J617" s="3275" t="s">
        <v>3319</v>
      </c>
      <c r="K617" s="3409">
        <v>103.44</v>
      </c>
      <c r="L617" s="3412">
        <v>75.73</v>
      </c>
      <c r="M617" s="3276"/>
      <c r="N617" s="3276"/>
      <c r="O617" s="3392"/>
      <c r="P617" s="3393"/>
      <c r="Q617" s="3393"/>
      <c r="R617" s="3276"/>
      <c r="S617" s="3276"/>
      <c r="T617" s="3239" t="str">
        <f t="shared" si="10"/>
        <v>有</v>
      </c>
    </row>
    <row r="618" spans="1:20">
      <c r="A618" s="3393">
        <v>616</v>
      </c>
      <c r="B618" s="3393">
        <v>2</v>
      </c>
      <c r="C618" s="3393">
        <v>1</v>
      </c>
      <c r="D618" s="3392">
        <v>732</v>
      </c>
      <c r="E618" s="3275">
        <v>709</v>
      </c>
      <c r="F618" s="3276">
        <v>1</v>
      </c>
      <c r="G618" s="3276">
        <v>1</v>
      </c>
      <c r="H618" s="3276">
        <v>1</v>
      </c>
      <c r="I618" s="3275" t="s">
        <v>3304</v>
      </c>
      <c r="J618" s="3275" t="s">
        <v>3328</v>
      </c>
      <c r="K618" s="3409">
        <v>54.58</v>
      </c>
      <c r="L618" s="3412">
        <v>39.96</v>
      </c>
      <c r="M618" s="3276"/>
      <c r="N618" s="3276"/>
      <c r="O618" s="3392"/>
      <c r="P618" s="3393"/>
      <c r="Q618" s="3393"/>
      <c r="R618" s="3276"/>
      <c r="S618" s="3276"/>
      <c r="T618" s="3239" t="str">
        <f t="shared" si="10"/>
        <v>有</v>
      </c>
    </row>
    <row r="619" spans="1:20">
      <c r="A619" s="3393">
        <v>617</v>
      </c>
      <c r="B619" s="3393">
        <v>2</v>
      </c>
      <c r="C619" s="3393">
        <v>1</v>
      </c>
      <c r="D619" s="3392">
        <v>733</v>
      </c>
      <c r="E619" s="3275">
        <v>708</v>
      </c>
      <c r="F619" s="3276">
        <v>1</v>
      </c>
      <c r="G619" s="3276">
        <v>1</v>
      </c>
      <c r="H619" s="3276">
        <v>1</v>
      </c>
      <c r="I619" s="3275" t="s">
        <v>3302</v>
      </c>
      <c r="J619" s="3275" t="s">
        <v>3311</v>
      </c>
      <c r="K619" s="3409">
        <v>52.64</v>
      </c>
      <c r="L619" s="3412">
        <v>38.54</v>
      </c>
      <c r="M619" s="3276"/>
      <c r="N619" s="3276"/>
      <c r="O619" s="3392"/>
      <c r="P619" s="3393"/>
      <c r="Q619" s="3393"/>
      <c r="R619" s="3276"/>
      <c r="S619" s="3276"/>
      <c r="T619" s="3239" t="str">
        <f t="shared" si="10"/>
        <v>有</v>
      </c>
    </row>
    <row r="620" spans="1:20">
      <c r="A620" s="3393">
        <v>618</v>
      </c>
      <c r="B620" s="3393">
        <v>2</v>
      </c>
      <c r="C620" s="3393">
        <v>1</v>
      </c>
      <c r="D620" s="3392">
        <v>734</v>
      </c>
      <c r="E620" s="3275">
        <v>707</v>
      </c>
      <c r="F620" s="3276">
        <v>2</v>
      </c>
      <c r="G620" s="3276">
        <v>1</v>
      </c>
      <c r="H620" s="3276">
        <v>1</v>
      </c>
      <c r="I620" s="3275" t="s">
        <v>3300</v>
      </c>
      <c r="J620" s="3275" t="s">
        <v>3313</v>
      </c>
      <c r="K620" s="3409">
        <v>91.88</v>
      </c>
      <c r="L620" s="3412">
        <v>67.27</v>
      </c>
      <c r="M620" s="3276"/>
      <c r="N620" s="3276"/>
      <c r="O620" s="3392"/>
      <c r="P620" s="3393"/>
      <c r="Q620" s="3393"/>
      <c r="R620" s="3276"/>
      <c r="S620" s="3276"/>
      <c r="T620" s="3239" t="str">
        <f t="shared" si="10"/>
        <v>有</v>
      </c>
    </row>
    <row r="621" spans="1:20">
      <c r="A621" s="3393">
        <v>619</v>
      </c>
      <c r="B621" s="3393">
        <v>2</v>
      </c>
      <c r="C621" s="3393">
        <v>1</v>
      </c>
      <c r="D621" s="3392">
        <v>735</v>
      </c>
      <c r="E621" s="3275">
        <v>701</v>
      </c>
      <c r="F621" s="3276">
        <v>4</v>
      </c>
      <c r="G621" s="3276">
        <v>1</v>
      </c>
      <c r="H621" s="3276">
        <v>1</v>
      </c>
      <c r="I621" s="3275" t="s">
        <v>3318</v>
      </c>
      <c r="J621" s="3275" t="s">
        <v>3317</v>
      </c>
      <c r="K621" s="3409">
        <v>103.44</v>
      </c>
      <c r="L621" s="3412">
        <v>75.73</v>
      </c>
      <c r="M621" s="3276"/>
      <c r="N621" s="3276"/>
      <c r="O621" s="3392"/>
      <c r="P621" s="3393"/>
      <c r="Q621" s="3393"/>
      <c r="R621" s="3276"/>
      <c r="S621" s="3276"/>
      <c r="T621" s="3239" t="str">
        <f t="shared" si="10"/>
        <v>有</v>
      </c>
    </row>
    <row r="622" spans="1:20">
      <c r="A622" s="3393">
        <v>620</v>
      </c>
      <c r="B622" s="3393">
        <v>2</v>
      </c>
      <c r="C622" s="3393">
        <v>1</v>
      </c>
      <c r="D622" s="3392">
        <v>736</v>
      </c>
      <c r="E622" s="3275">
        <v>704</v>
      </c>
      <c r="F622" s="3276">
        <v>1</v>
      </c>
      <c r="G622" s="3276">
        <v>1</v>
      </c>
      <c r="H622" s="3276">
        <v>1</v>
      </c>
      <c r="I622" s="3275" t="s">
        <v>3300</v>
      </c>
      <c r="J622" s="3275" t="s">
        <v>3326</v>
      </c>
      <c r="K622" s="3409">
        <v>55.07</v>
      </c>
      <c r="L622" s="3412">
        <v>40.32</v>
      </c>
      <c r="M622" s="3276"/>
      <c r="N622" s="3276"/>
      <c r="O622" s="3392"/>
      <c r="P622" s="3393"/>
      <c r="Q622" s="3393"/>
      <c r="R622" s="3276"/>
      <c r="S622" s="3276"/>
      <c r="T622" s="3239" t="str">
        <f t="shared" si="10"/>
        <v>有</v>
      </c>
    </row>
    <row r="623" spans="1:20">
      <c r="A623" s="3393">
        <v>621</v>
      </c>
      <c r="B623" s="3393">
        <v>2</v>
      </c>
      <c r="C623" s="3393">
        <v>1</v>
      </c>
      <c r="D623" s="3392">
        <v>737</v>
      </c>
      <c r="E623" s="3275">
        <v>702</v>
      </c>
      <c r="F623" s="3276">
        <v>1</v>
      </c>
      <c r="G623" s="3276">
        <v>1</v>
      </c>
      <c r="H623" s="3276">
        <v>1</v>
      </c>
      <c r="I623" s="3275" t="s">
        <v>3300</v>
      </c>
      <c r="J623" s="3275" t="s">
        <v>3324</v>
      </c>
      <c r="K623" s="3409">
        <v>56.3</v>
      </c>
      <c r="L623" s="3412">
        <v>41.22</v>
      </c>
      <c r="M623" s="3276"/>
      <c r="N623" s="3276"/>
      <c r="O623" s="3392"/>
      <c r="P623" s="3393"/>
      <c r="Q623" s="3393"/>
      <c r="R623" s="3276"/>
      <c r="S623" s="3276"/>
      <c r="T623" s="3239" t="str">
        <f t="shared" si="10"/>
        <v>有</v>
      </c>
    </row>
    <row r="624" spans="1:20">
      <c r="A624" s="3393">
        <v>622</v>
      </c>
      <c r="B624" s="3393">
        <v>2</v>
      </c>
      <c r="C624" s="3393">
        <v>1</v>
      </c>
      <c r="D624" s="3392">
        <v>738</v>
      </c>
      <c r="E624" s="3275">
        <v>703</v>
      </c>
      <c r="F624" s="3276">
        <v>1</v>
      </c>
      <c r="G624" s="3276">
        <v>1</v>
      </c>
      <c r="H624" s="3276">
        <v>1</v>
      </c>
      <c r="I624" s="3275" t="s">
        <v>3300</v>
      </c>
      <c r="J624" s="3275" t="s">
        <v>3325</v>
      </c>
      <c r="K624" s="3409">
        <v>54.46</v>
      </c>
      <c r="L624" s="3412">
        <v>39.869999999999997</v>
      </c>
      <c r="M624" s="3276"/>
      <c r="N624" s="3276"/>
      <c r="O624" s="3392"/>
      <c r="P624" s="3393"/>
      <c r="Q624" s="3393"/>
      <c r="R624" s="3276"/>
      <c r="S624" s="3276"/>
      <c r="T624" s="3239" t="str">
        <f t="shared" si="10"/>
        <v>有</v>
      </c>
    </row>
    <row r="625" spans="1:20">
      <c r="A625" s="3393">
        <v>623</v>
      </c>
      <c r="B625" s="3393">
        <v>2</v>
      </c>
      <c r="C625" s="3393">
        <v>1</v>
      </c>
      <c r="D625" s="3392">
        <v>739</v>
      </c>
      <c r="E625" s="3275">
        <v>705</v>
      </c>
      <c r="F625" s="3276">
        <v>1</v>
      </c>
      <c r="G625" s="3276">
        <v>1</v>
      </c>
      <c r="H625" s="3276">
        <v>1</v>
      </c>
      <c r="I625" s="3275" t="s">
        <v>3300</v>
      </c>
      <c r="J625" s="3275" t="s">
        <v>3326</v>
      </c>
      <c r="K625" s="3409">
        <v>55.07</v>
      </c>
      <c r="L625" s="3412">
        <v>40.32</v>
      </c>
      <c r="M625" s="3276"/>
      <c r="N625" s="3276"/>
      <c r="O625" s="3392"/>
      <c r="P625" s="3393"/>
      <c r="Q625" s="3393"/>
      <c r="R625" s="3276"/>
      <c r="S625" s="3276"/>
      <c r="T625" s="3239" t="str">
        <f t="shared" si="10"/>
        <v>有</v>
      </c>
    </row>
    <row r="626" spans="1:20">
      <c r="A626" s="3393">
        <v>624</v>
      </c>
      <c r="B626" s="3393">
        <v>2</v>
      </c>
      <c r="C626" s="3393">
        <v>1</v>
      </c>
      <c r="D626" s="3392">
        <v>740</v>
      </c>
      <c r="E626" s="3275">
        <v>706</v>
      </c>
      <c r="F626" s="3276">
        <v>1</v>
      </c>
      <c r="G626" s="3276">
        <v>1</v>
      </c>
      <c r="H626" s="3276">
        <v>1</v>
      </c>
      <c r="I626" s="3275" t="s">
        <v>3300</v>
      </c>
      <c r="J626" s="3275" t="s">
        <v>3327</v>
      </c>
      <c r="K626" s="3409">
        <v>54.59</v>
      </c>
      <c r="L626" s="3412">
        <v>39.97</v>
      </c>
      <c r="M626" s="3276"/>
      <c r="N626" s="3276"/>
      <c r="O626" s="3392"/>
      <c r="P626" s="3393"/>
      <c r="Q626" s="3393"/>
      <c r="R626" s="3276"/>
      <c r="S626" s="3276"/>
      <c r="T626" s="3239" t="str">
        <f t="shared" si="10"/>
        <v>有</v>
      </c>
    </row>
    <row r="627" spans="1:20" hidden="1">
      <c r="A627" s="3393">
        <v>625</v>
      </c>
      <c r="B627" s="3393">
        <v>2</v>
      </c>
      <c r="C627" s="3393">
        <v>1</v>
      </c>
      <c r="D627" s="3392">
        <v>801</v>
      </c>
      <c r="E627" s="3275">
        <v>823</v>
      </c>
      <c r="F627" s="3276">
        <v>1</v>
      </c>
      <c r="G627" s="3276">
        <v>0</v>
      </c>
      <c r="H627" s="3276">
        <v>1</v>
      </c>
      <c r="I627" s="3275" t="s">
        <v>3332</v>
      </c>
      <c r="J627" s="3275" t="s">
        <v>3500</v>
      </c>
      <c r="K627" s="3409">
        <v>48.16</v>
      </c>
      <c r="L627" s="3412">
        <v>35.26</v>
      </c>
      <c r="M627" s="3276"/>
      <c r="N627" s="3276"/>
      <c r="O627" s="3392"/>
      <c r="P627" s="3393"/>
      <c r="Q627" s="3393"/>
      <c r="R627" s="3276"/>
      <c r="S627" s="3276"/>
      <c r="T627" s="3239" t="str">
        <f t="shared" si="10"/>
        <v>无</v>
      </c>
    </row>
    <row r="628" spans="1:20" hidden="1">
      <c r="A628" s="3393">
        <v>626</v>
      </c>
      <c r="B628" s="3393">
        <v>2</v>
      </c>
      <c r="C628" s="3393">
        <v>1</v>
      </c>
      <c r="D628" s="3392">
        <v>802</v>
      </c>
      <c r="E628" s="3275">
        <v>822</v>
      </c>
      <c r="F628" s="3276">
        <v>1</v>
      </c>
      <c r="G628" s="3276">
        <v>0</v>
      </c>
      <c r="H628" s="3276">
        <v>1</v>
      </c>
      <c r="I628" s="3275" t="s">
        <v>3312</v>
      </c>
      <c r="J628" s="3275" t="s">
        <v>3323</v>
      </c>
      <c r="K628" s="3409">
        <v>44.28</v>
      </c>
      <c r="L628" s="3412">
        <v>32.42</v>
      </c>
      <c r="M628" s="3276"/>
      <c r="N628" s="3276"/>
      <c r="O628" s="3392"/>
      <c r="P628" s="3393"/>
      <c r="Q628" s="3393"/>
      <c r="R628" s="3276"/>
      <c r="S628" s="3276"/>
      <c r="T628" s="3239" t="str">
        <f t="shared" si="10"/>
        <v>无</v>
      </c>
    </row>
    <row r="629" spans="1:20">
      <c r="A629" s="3393">
        <v>627</v>
      </c>
      <c r="B629" s="3393">
        <v>2</v>
      </c>
      <c r="C629" s="3393">
        <v>1</v>
      </c>
      <c r="D629" s="3392">
        <v>803</v>
      </c>
      <c r="E629" s="3275">
        <v>821</v>
      </c>
      <c r="F629" s="3276">
        <v>1</v>
      </c>
      <c r="G629" s="3276">
        <v>1</v>
      </c>
      <c r="H629" s="3276">
        <v>1</v>
      </c>
      <c r="I629" s="3275" t="s">
        <v>3310</v>
      </c>
      <c r="J629" s="3275" t="s">
        <v>3303</v>
      </c>
      <c r="K629" s="3409">
        <v>55.34</v>
      </c>
      <c r="L629" s="3412">
        <v>40.520000000000003</v>
      </c>
      <c r="M629" s="3276"/>
      <c r="N629" s="3276"/>
      <c r="O629" s="3392"/>
      <c r="P629" s="3393"/>
      <c r="Q629" s="3393"/>
      <c r="R629" s="3276"/>
      <c r="S629" s="3276"/>
      <c r="T629" s="3239" t="str">
        <f t="shared" si="10"/>
        <v>有</v>
      </c>
    </row>
    <row r="630" spans="1:20" hidden="1">
      <c r="A630" s="3393">
        <v>628</v>
      </c>
      <c r="B630" s="3393">
        <v>2</v>
      </c>
      <c r="C630" s="3393">
        <v>1</v>
      </c>
      <c r="D630" s="3392">
        <v>804</v>
      </c>
      <c r="E630" s="3275">
        <v>824</v>
      </c>
      <c r="F630" s="3276">
        <v>1</v>
      </c>
      <c r="G630" s="3276">
        <v>0</v>
      </c>
      <c r="H630" s="3276">
        <v>1</v>
      </c>
      <c r="I630" s="3275" t="s">
        <v>3332</v>
      </c>
      <c r="J630" s="3275" t="s">
        <v>3501</v>
      </c>
      <c r="K630" s="3409">
        <v>47.12</v>
      </c>
      <c r="L630" s="3412">
        <v>34.5</v>
      </c>
      <c r="M630" s="3276"/>
      <c r="N630" s="3276"/>
      <c r="O630" s="3392"/>
      <c r="P630" s="3393"/>
      <c r="Q630" s="3393"/>
      <c r="R630" s="3276"/>
      <c r="S630" s="3276"/>
      <c r="T630" s="3239" t="str">
        <f t="shared" si="10"/>
        <v>无</v>
      </c>
    </row>
    <row r="631" spans="1:20">
      <c r="A631" s="3393">
        <v>629</v>
      </c>
      <c r="B631" s="3393">
        <v>2</v>
      </c>
      <c r="C631" s="3393">
        <v>1</v>
      </c>
      <c r="D631" s="3392">
        <v>805</v>
      </c>
      <c r="E631" s="3275">
        <v>825</v>
      </c>
      <c r="F631" s="3276">
        <v>1</v>
      </c>
      <c r="G631" s="3276">
        <v>1</v>
      </c>
      <c r="H631" s="3276">
        <v>1</v>
      </c>
      <c r="I631" s="3275" t="s">
        <v>3332</v>
      </c>
      <c r="J631" s="3275" t="s">
        <v>3335</v>
      </c>
      <c r="K631" s="3409">
        <v>55.07</v>
      </c>
      <c r="L631" s="3412">
        <v>40.32</v>
      </c>
      <c r="M631" s="3276"/>
      <c r="N631" s="3276"/>
      <c r="O631" s="3392"/>
      <c r="P631" s="3393"/>
      <c r="Q631" s="3393"/>
      <c r="R631" s="3276"/>
      <c r="S631" s="3276"/>
      <c r="T631" s="3239" t="str">
        <f t="shared" si="10"/>
        <v>有</v>
      </c>
    </row>
    <row r="632" spans="1:20" hidden="1">
      <c r="A632" s="3393">
        <v>630</v>
      </c>
      <c r="B632" s="3393">
        <v>2</v>
      </c>
      <c r="C632" s="3393">
        <v>1</v>
      </c>
      <c r="D632" s="3392">
        <v>806</v>
      </c>
      <c r="E632" s="3275">
        <v>820</v>
      </c>
      <c r="F632" s="3276">
        <v>1</v>
      </c>
      <c r="G632" s="3276">
        <v>0</v>
      </c>
      <c r="H632" s="3276">
        <v>1</v>
      </c>
      <c r="I632" s="3278" t="s">
        <v>3304</v>
      </c>
      <c r="J632" s="3275" t="s">
        <v>3305</v>
      </c>
      <c r="K632" s="3409">
        <v>43.08</v>
      </c>
      <c r="L632" s="3412">
        <v>31.54</v>
      </c>
      <c r="M632" s="3276"/>
      <c r="N632" s="3276"/>
      <c r="O632" s="3392"/>
      <c r="P632" s="3393"/>
      <c r="Q632" s="3393"/>
      <c r="R632" s="3276"/>
      <c r="S632" s="3276"/>
      <c r="T632" s="3239" t="str">
        <f t="shared" si="10"/>
        <v>无</v>
      </c>
    </row>
    <row r="633" spans="1:20" hidden="1">
      <c r="A633" s="3393">
        <v>631</v>
      </c>
      <c r="B633" s="3393">
        <v>2</v>
      </c>
      <c r="C633" s="3393">
        <v>1</v>
      </c>
      <c r="D633" s="3392">
        <v>807</v>
      </c>
      <c r="E633" s="3275">
        <v>819</v>
      </c>
      <c r="F633" s="3276">
        <v>1</v>
      </c>
      <c r="G633" s="3276">
        <v>0</v>
      </c>
      <c r="H633" s="3276">
        <v>1</v>
      </c>
      <c r="I633" s="3278" t="s">
        <v>3304</v>
      </c>
      <c r="J633" s="3275" t="s">
        <v>3305</v>
      </c>
      <c r="K633" s="3409">
        <v>43.08</v>
      </c>
      <c r="L633" s="3412">
        <v>31.54</v>
      </c>
      <c r="M633" s="3276"/>
      <c r="N633" s="3276"/>
      <c r="O633" s="3392"/>
      <c r="P633" s="3393"/>
      <c r="Q633" s="3393"/>
      <c r="R633" s="3276"/>
      <c r="S633" s="3276"/>
      <c r="T633" s="3239" t="str">
        <f t="shared" si="10"/>
        <v>无</v>
      </c>
    </row>
    <row r="634" spans="1:20">
      <c r="A634" s="3393">
        <v>632</v>
      </c>
      <c r="B634" s="3393">
        <v>2</v>
      </c>
      <c r="C634" s="3393">
        <v>1</v>
      </c>
      <c r="D634" s="3392">
        <v>808</v>
      </c>
      <c r="E634" s="3275">
        <v>826</v>
      </c>
      <c r="F634" s="3276">
        <v>1</v>
      </c>
      <c r="G634" s="3276">
        <v>1</v>
      </c>
      <c r="H634" s="3276">
        <v>1</v>
      </c>
      <c r="I634" s="3275" t="s">
        <v>3332</v>
      </c>
      <c r="J634" s="3275" t="s">
        <v>3335</v>
      </c>
      <c r="K634" s="3409">
        <v>55.07</v>
      </c>
      <c r="L634" s="3412">
        <v>40.32</v>
      </c>
      <c r="M634" s="3276"/>
      <c r="N634" s="3276"/>
      <c r="O634" s="3392"/>
      <c r="P634" s="3393"/>
      <c r="Q634" s="3393"/>
      <c r="R634" s="3276"/>
      <c r="S634" s="3276"/>
      <c r="T634" s="3239" t="str">
        <f t="shared" si="10"/>
        <v>有</v>
      </c>
    </row>
    <row r="635" spans="1:20" hidden="1">
      <c r="A635" s="3393">
        <v>633</v>
      </c>
      <c r="B635" s="3393">
        <v>2</v>
      </c>
      <c r="C635" s="3393">
        <v>1</v>
      </c>
      <c r="D635" s="3392">
        <v>809</v>
      </c>
      <c r="E635" s="3275">
        <v>818</v>
      </c>
      <c r="F635" s="3276">
        <v>1</v>
      </c>
      <c r="G635" s="3276">
        <v>0</v>
      </c>
      <c r="H635" s="3276">
        <v>1</v>
      </c>
      <c r="I635" s="3278" t="s">
        <v>3304</v>
      </c>
      <c r="J635" s="3275" t="s">
        <v>3306</v>
      </c>
      <c r="K635" s="3409">
        <v>44.06</v>
      </c>
      <c r="L635" s="3412">
        <v>32.26</v>
      </c>
      <c r="M635" s="3276"/>
      <c r="N635" s="3276"/>
      <c r="O635" s="3392"/>
      <c r="P635" s="3393"/>
      <c r="Q635" s="3393"/>
      <c r="R635" s="3276"/>
      <c r="S635" s="3276"/>
      <c r="T635" s="3239" t="str">
        <f t="shared" si="10"/>
        <v>无</v>
      </c>
    </row>
    <row r="636" spans="1:20">
      <c r="A636" s="3393">
        <v>634</v>
      </c>
      <c r="B636" s="3393">
        <v>2</v>
      </c>
      <c r="C636" s="3393">
        <v>1</v>
      </c>
      <c r="D636" s="3392">
        <v>810</v>
      </c>
      <c r="E636" s="3275">
        <v>827</v>
      </c>
      <c r="F636" s="3276">
        <v>1</v>
      </c>
      <c r="G636" s="3276">
        <v>1</v>
      </c>
      <c r="H636" s="3276">
        <v>1</v>
      </c>
      <c r="I636" s="3275" t="s">
        <v>3332</v>
      </c>
      <c r="J636" s="3275" t="s">
        <v>3335</v>
      </c>
      <c r="K636" s="3409">
        <v>55.07</v>
      </c>
      <c r="L636" s="3412">
        <v>40.32</v>
      </c>
      <c r="M636" s="3276"/>
      <c r="N636" s="3276"/>
      <c r="O636" s="3392"/>
      <c r="P636" s="3393"/>
      <c r="Q636" s="3393"/>
      <c r="R636" s="3276"/>
      <c r="S636" s="3276"/>
      <c r="T636" s="3239" t="str">
        <f t="shared" si="10"/>
        <v>有</v>
      </c>
    </row>
    <row r="637" spans="1:20">
      <c r="A637" s="3393">
        <v>635</v>
      </c>
      <c r="B637" s="3393">
        <v>2</v>
      </c>
      <c r="C637" s="3393">
        <v>1</v>
      </c>
      <c r="D637" s="3392">
        <v>811</v>
      </c>
      <c r="E637" s="3275">
        <v>828</v>
      </c>
      <c r="F637" s="3276">
        <v>1</v>
      </c>
      <c r="G637" s="3276">
        <v>1</v>
      </c>
      <c r="H637" s="3276">
        <v>1</v>
      </c>
      <c r="I637" s="3275" t="s">
        <v>3332</v>
      </c>
      <c r="J637" s="3275" t="s">
        <v>3335</v>
      </c>
      <c r="K637" s="3409">
        <v>55.07</v>
      </c>
      <c r="L637" s="3412">
        <v>40.32</v>
      </c>
      <c r="M637" s="3276"/>
      <c r="N637" s="3276"/>
      <c r="O637" s="3392"/>
      <c r="P637" s="3393"/>
      <c r="Q637" s="3393"/>
      <c r="R637" s="3276"/>
      <c r="S637" s="3276"/>
      <c r="T637" s="3239" t="str">
        <f t="shared" si="10"/>
        <v>有</v>
      </c>
    </row>
    <row r="638" spans="1:20">
      <c r="A638" s="3393">
        <v>636</v>
      </c>
      <c r="B638" s="3393">
        <v>2</v>
      </c>
      <c r="C638" s="3393">
        <v>1</v>
      </c>
      <c r="D638" s="3392">
        <v>812</v>
      </c>
      <c r="E638" s="3275">
        <v>829</v>
      </c>
      <c r="F638" s="3276">
        <v>1</v>
      </c>
      <c r="G638" s="3276">
        <v>1</v>
      </c>
      <c r="H638" s="3276">
        <v>1</v>
      </c>
      <c r="I638" s="3275" t="s">
        <v>3332</v>
      </c>
      <c r="J638" s="3275" t="s">
        <v>3335</v>
      </c>
      <c r="K638" s="3409">
        <v>55.07</v>
      </c>
      <c r="L638" s="3412">
        <v>40.32</v>
      </c>
      <c r="M638" s="3276"/>
      <c r="N638" s="3276"/>
      <c r="O638" s="3392"/>
      <c r="P638" s="3393"/>
      <c r="Q638" s="3393"/>
      <c r="R638" s="3276"/>
      <c r="S638" s="3276"/>
      <c r="T638" s="3239" t="str">
        <f t="shared" si="10"/>
        <v>有</v>
      </c>
    </row>
    <row r="639" spans="1:20">
      <c r="A639" s="3393">
        <v>637</v>
      </c>
      <c r="B639" s="3393">
        <v>2</v>
      </c>
      <c r="C639" s="3393">
        <v>1</v>
      </c>
      <c r="D639" s="3392">
        <v>814</v>
      </c>
      <c r="E639" s="3275">
        <v>830</v>
      </c>
      <c r="F639" s="3276">
        <v>1</v>
      </c>
      <c r="G639" s="3276">
        <v>1</v>
      </c>
      <c r="H639" s="3276">
        <v>1</v>
      </c>
      <c r="I639" s="3275" t="s">
        <v>3332</v>
      </c>
      <c r="J639" s="3275" t="s">
        <v>3335</v>
      </c>
      <c r="K639" s="3409">
        <v>55.07</v>
      </c>
      <c r="L639" s="3412">
        <v>40.32</v>
      </c>
      <c r="M639" s="3276"/>
      <c r="N639" s="3276"/>
      <c r="O639" s="3392"/>
      <c r="P639" s="3393"/>
      <c r="Q639" s="3393"/>
      <c r="R639" s="3276"/>
      <c r="S639" s="3276"/>
      <c r="T639" s="3239" t="str">
        <f t="shared" si="10"/>
        <v>有</v>
      </c>
    </row>
    <row r="640" spans="1:20" hidden="1">
      <c r="A640" s="3393">
        <v>638</v>
      </c>
      <c r="B640" s="3393">
        <v>2</v>
      </c>
      <c r="C640" s="3393">
        <v>1</v>
      </c>
      <c r="D640" s="3392">
        <v>815</v>
      </c>
      <c r="E640" s="3275">
        <v>817</v>
      </c>
      <c r="F640" s="3276">
        <v>1</v>
      </c>
      <c r="G640" s="3276">
        <v>0</v>
      </c>
      <c r="H640" s="3276">
        <v>1</v>
      </c>
      <c r="I640" s="3278" t="s">
        <v>3304</v>
      </c>
      <c r="J640" s="3275" t="s">
        <v>3306</v>
      </c>
      <c r="K640" s="3409">
        <v>44.06</v>
      </c>
      <c r="L640" s="3412">
        <v>32.26</v>
      </c>
      <c r="M640" s="3276"/>
      <c r="N640" s="3276"/>
      <c r="O640" s="3392"/>
      <c r="P640" s="3393"/>
      <c r="Q640" s="3393"/>
      <c r="R640" s="3276"/>
      <c r="S640" s="3276"/>
      <c r="T640" s="3239" t="str">
        <f t="shared" si="10"/>
        <v>无</v>
      </c>
    </row>
    <row r="641" spans="1:20">
      <c r="A641" s="3393">
        <v>639</v>
      </c>
      <c r="B641" s="3393">
        <v>2</v>
      </c>
      <c r="C641" s="3393">
        <v>1</v>
      </c>
      <c r="D641" s="3392">
        <v>816</v>
      </c>
      <c r="E641" s="3275">
        <v>831</v>
      </c>
      <c r="F641" s="3276">
        <v>1</v>
      </c>
      <c r="G641" s="3276">
        <v>1</v>
      </c>
      <c r="H641" s="3276">
        <v>1</v>
      </c>
      <c r="I641" s="3275" t="s">
        <v>3332</v>
      </c>
      <c r="J641" s="3275" t="s">
        <v>3335</v>
      </c>
      <c r="K641" s="3409">
        <v>55.07</v>
      </c>
      <c r="L641" s="3412">
        <v>40.32</v>
      </c>
      <c r="M641" s="3276"/>
      <c r="N641" s="3276"/>
      <c r="O641" s="3392"/>
      <c r="P641" s="3393"/>
      <c r="Q641" s="3393"/>
      <c r="R641" s="3276"/>
      <c r="S641" s="3276"/>
      <c r="T641" s="3239" t="str">
        <f t="shared" si="10"/>
        <v>有</v>
      </c>
    </row>
    <row r="642" spans="1:20" hidden="1">
      <c r="A642" s="3393">
        <v>640</v>
      </c>
      <c r="B642" s="3393">
        <v>2</v>
      </c>
      <c r="C642" s="3393">
        <v>1</v>
      </c>
      <c r="D642" s="3392">
        <v>817</v>
      </c>
      <c r="E642" s="3275">
        <v>816</v>
      </c>
      <c r="F642" s="3276">
        <v>1</v>
      </c>
      <c r="G642" s="3276">
        <v>0</v>
      </c>
      <c r="H642" s="3276">
        <v>1</v>
      </c>
      <c r="I642" s="3278" t="s">
        <v>3304</v>
      </c>
      <c r="J642" s="3275" t="s">
        <v>3305</v>
      </c>
      <c r="K642" s="3409">
        <v>43.08</v>
      </c>
      <c r="L642" s="3412">
        <v>31.54</v>
      </c>
      <c r="M642" s="3276"/>
      <c r="N642" s="3276"/>
      <c r="O642" s="3392"/>
      <c r="P642" s="3393"/>
      <c r="Q642" s="3393"/>
      <c r="R642" s="3276"/>
      <c r="S642" s="3276"/>
      <c r="T642" s="3239" t="str">
        <f t="shared" si="10"/>
        <v>无</v>
      </c>
    </row>
    <row r="643" spans="1:20" hidden="1">
      <c r="A643" s="3393">
        <v>641</v>
      </c>
      <c r="B643" s="3393">
        <v>2</v>
      </c>
      <c r="C643" s="3393">
        <v>1</v>
      </c>
      <c r="D643" s="3392">
        <v>818</v>
      </c>
      <c r="E643" s="3275">
        <v>815</v>
      </c>
      <c r="F643" s="3276">
        <v>1</v>
      </c>
      <c r="G643" s="3276">
        <v>0</v>
      </c>
      <c r="H643" s="3276">
        <v>1</v>
      </c>
      <c r="I643" s="3275" t="s">
        <v>3304</v>
      </c>
      <c r="J643" s="3275" t="s">
        <v>3305</v>
      </c>
      <c r="K643" s="3409">
        <v>43.08</v>
      </c>
      <c r="L643" s="3412">
        <v>31.54</v>
      </c>
      <c r="M643" s="3276"/>
      <c r="N643" s="3276"/>
      <c r="O643" s="3392"/>
      <c r="P643" s="3393"/>
      <c r="Q643" s="3393"/>
      <c r="R643" s="3276"/>
      <c r="S643" s="3276"/>
      <c r="T643" s="3239" t="str">
        <f t="shared" si="10"/>
        <v>无</v>
      </c>
    </row>
    <row r="644" spans="1:20">
      <c r="A644" s="3393">
        <v>642</v>
      </c>
      <c r="B644" s="3393">
        <v>2</v>
      </c>
      <c r="C644" s="3393">
        <v>1</v>
      </c>
      <c r="D644" s="3392">
        <v>819</v>
      </c>
      <c r="E644" s="3275">
        <v>832</v>
      </c>
      <c r="F644" s="3276">
        <v>1</v>
      </c>
      <c r="G644" s="3276">
        <v>1</v>
      </c>
      <c r="H644" s="3276">
        <v>1</v>
      </c>
      <c r="I644" s="3275" t="s">
        <v>3332</v>
      </c>
      <c r="J644" s="3275" t="s">
        <v>3335</v>
      </c>
      <c r="K644" s="3409">
        <v>55.07</v>
      </c>
      <c r="L644" s="3412">
        <v>40.32</v>
      </c>
      <c r="M644" s="3276"/>
      <c r="N644" s="3276"/>
      <c r="O644" s="3392"/>
      <c r="P644" s="3393"/>
      <c r="Q644" s="3393"/>
      <c r="R644" s="3276"/>
      <c r="S644" s="3276"/>
      <c r="T644" s="3239" t="str">
        <f t="shared" ref="T644:T707" si="11">IF(OR(J644="无障碍宿舍",J644="无障碍宿舍-01",J644="无障碍宿舍-02",J644="40平",J644="40平-01",J644="40平-02",J644="40平-03",J644="40平-04",J644="40平-06",J644="40平-07",J644="D2"),"无","有")</f>
        <v>有</v>
      </c>
    </row>
    <row r="645" spans="1:20" hidden="1">
      <c r="A645" s="3393">
        <v>643</v>
      </c>
      <c r="B645" s="3393">
        <v>2</v>
      </c>
      <c r="C645" s="3393">
        <v>1</v>
      </c>
      <c r="D645" s="3392">
        <v>820</v>
      </c>
      <c r="E645" s="3275">
        <v>814</v>
      </c>
      <c r="F645" s="3276">
        <v>1</v>
      </c>
      <c r="G645" s="3276">
        <v>0</v>
      </c>
      <c r="H645" s="3276">
        <v>1</v>
      </c>
      <c r="I645" s="3275" t="s">
        <v>3304</v>
      </c>
      <c r="J645" s="3275" t="s">
        <v>3305</v>
      </c>
      <c r="K645" s="3409">
        <v>43.08</v>
      </c>
      <c r="L645" s="3412">
        <v>31.54</v>
      </c>
      <c r="M645" s="3276"/>
      <c r="N645" s="3276"/>
      <c r="O645" s="3392"/>
      <c r="P645" s="3393"/>
      <c r="Q645" s="3393"/>
      <c r="R645" s="3276"/>
      <c r="S645" s="3276"/>
      <c r="T645" s="3239" t="str">
        <f t="shared" si="11"/>
        <v>无</v>
      </c>
    </row>
    <row r="646" spans="1:20">
      <c r="A646" s="3393">
        <v>644</v>
      </c>
      <c r="B646" s="3393">
        <v>2</v>
      </c>
      <c r="C646" s="3393">
        <v>1</v>
      </c>
      <c r="D646" s="3392">
        <v>821</v>
      </c>
      <c r="E646" s="3275">
        <v>833</v>
      </c>
      <c r="F646" s="3276">
        <v>1</v>
      </c>
      <c r="G646" s="3276">
        <v>1</v>
      </c>
      <c r="H646" s="3276">
        <v>1</v>
      </c>
      <c r="I646" s="3275" t="s">
        <v>3332</v>
      </c>
      <c r="J646" s="3275" t="s">
        <v>3335</v>
      </c>
      <c r="K646" s="3409">
        <v>55.07</v>
      </c>
      <c r="L646" s="3412">
        <v>40.32</v>
      </c>
      <c r="M646" s="3276"/>
      <c r="N646" s="3276"/>
      <c r="O646" s="3392"/>
      <c r="P646" s="3393"/>
      <c r="Q646" s="3393"/>
      <c r="R646" s="3276"/>
      <c r="S646" s="3276"/>
      <c r="T646" s="3239" t="str">
        <f t="shared" si="11"/>
        <v>有</v>
      </c>
    </row>
    <row r="647" spans="1:20" hidden="1">
      <c r="A647" s="3393">
        <v>645</v>
      </c>
      <c r="B647" s="3393">
        <v>2</v>
      </c>
      <c r="C647" s="3393">
        <v>1</v>
      </c>
      <c r="D647" s="3392">
        <v>822</v>
      </c>
      <c r="E647" s="3275">
        <v>813</v>
      </c>
      <c r="F647" s="3276">
        <v>1</v>
      </c>
      <c r="G647" s="3276">
        <v>0</v>
      </c>
      <c r="H647" s="3276">
        <v>1</v>
      </c>
      <c r="I647" s="3275" t="s">
        <v>3304</v>
      </c>
      <c r="J647" s="3275" t="s">
        <v>3305</v>
      </c>
      <c r="K647" s="3409">
        <v>43.08</v>
      </c>
      <c r="L647" s="3412">
        <v>31.54</v>
      </c>
      <c r="M647" s="3276"/>
      <c r="N647" s="3276"/>
      <c r="O647" s="3392"/>
      <c r="P647" s="3393"/>
      <c r="Q647" s="3393"/>
      <c r="R647" s="3276"/>
      <c r="S647" s="3276"/>
      <c r="T647" s="3239" t="str">
        <f t="shared" si="11"/>
        <v>无</v>
      </c>
    </row>
    <row r="648" spans="1:20">
      <c r="A648" s="3393">
        <v>646</v>
      </c>
      <c r="B648" s="3393">
        <v>2</v>
      </c>
      <c r="C648" s="3393">
        <v>1</v>
      </c>
      <c r="D648" s="3392">
        <v>823</v>
      </c>
      <c r="E648" s="3275">
        <v>834</v>
      </c>
      <c r="F648" s="3276">
        <v>1</v>
      </c>
      <c r="G648" s="3276">
        <v>1</v>
      </c>
      <c r="H648" s="3276">
        <v>1</v>
      </c>
      <c r="I648" s="3275" t="s">
        <v>3332</v>
      </c>
      <c r="J648" s="3275" t="s">
        <v>3335</v>
      </c>
      <c r="K648" s="3409">
        <v>55.07</v>
      </c>
      <c r="L648" s="3412">
        <v>40.32</v>
      </c>
      <c r="M648" s="3276"/>
      <c r="N648" s="3276"/>
      <c r="O648" s="3392"/>
      <c r="P648" s="3393"/>
      <c r="Q648" s="3393"/>
      <c r="R648" s="3276"/>
      <c r="S648" s="3276"/>
      <c r="T648" s="3239" t="str">
        <f t="shared" si="11"/>
        <v>有</v>
      </c>
    </row>
    <row r="649" spans="1:20" hidden="1">
      <c r="A649" s="3393">
        <v>647</v>
      </c>
      <c r="B649" s="3393">
        <v>2</v>
      </c>
      <c r="C649" s="3393">
        <v>1</v>
      </c>
      <c r="D649" s="3392">
        <v>824</v>
      </c>
      <c r="E649" s="3275">
        <v>812</v>
      </c>
      <c r="F649" s="3276">
        <v>1</v>
      </c>
      <c r="G649" s="3276">
        <v>0</v>
      </c>
      <c r="H649" s="3276">
        <v>1</v>
      </c>
      <c r="I649" s="3275" t="s">
        <v>3304</v>
      </c>
      <c r="J649" s="3275" t="s">
        <v>3305</v>
      </c>
      <c r="K649" s="3409">
        <v>43.08</v>
      </c>
      <c r="L649" s="3412">
        <v>31.54</v>
      </c>
      <c r="M649" s="3276"/>
      <c r="N649" s="3276"/>
      <c r="O649" s="3392">
        <v>2.9</v>
      </c>
      <c r="P649" s="3392" t="s">
        <v>3297</v>
      </c>
      <c r="Q649" s="3392" t="s">
        <v>3298</v>
      </c>
      <c r="R649" s="3276"/>
      <c r="S649" s="3276"/>
      <c r="T649" s="3239" t="str">
        <f t="shared" si="11"/>
        <v>无</v>
      </c>
    </row>
    <row r="650" spans="1:20">
      <c r="A650" s="3393">
        <v>648</v>
      </c>
      <c r="B650" s="3393">
        <v>2</v>
      </c>
      <c r="C650" s="3393">
        <v>1</v>
      </c>
      <c r="D650" s="3392">
        <v>825</v>
      </c>
      <c r="E650" s="3275">
        <v>835</v>
      </c>
      <c r="F650" s="3276">
        <v>1</v>
      </c>
      <c r="G650" s="3276">
        <v>1</v>
      </c>
      <c r="H650" s="3276">
        <v>1</v>
      </c>
      <c r="I650" s="3275" t="s">
        <v>3332</v>
      </c>
      <c r="J650" s="3275" t="s">
        <v>3336</v>
      </c>
      <c r="K650" s="3409">
        <v>58.13</v>
      </c>
      <c r="L650" s="3412">
        <v>42.56</v>
      </c>
      <c r="M650" s="3276"/>
      <c r="N650" s="3276"/>
      <c r="O650" s="3392"/>
      <c r="P650" s="3393"/>
      <c r="Q650" s="3393"/>
      <c r="R650" s="3276"/>
      <c r="S650" s="3276"/>
      <c r="T650" s="3239" t="str">
        <f t="shared" si="11"/>
        <v>有</v>
      </c>
    </row>
    <row r="651" spans="1:20" hidden="1">
      <c r="A651" s="3393">
        <v>649</v>
      </c>
      <c r="B651" s="3393">
        <v>2</v>
      </c>
      <c r="C651" s="3393">
        <v>1</v>
      </c>
      <c r="D651" s="3392">
        <v>826</v>
      </c>
      <c r="E651" s="3275">
        <v>811</v>
      </c>
      <c r="F651" s="3276">
        <v>1</v>
      </c>
      <c r="G651" s="3276">
        <v>0</v>
      </c>
      <c r="H651" s="3276">
        <v>1</v>
      </c>
      <c r="I651" s="3275" t="s">
        <v>3304</v>
      </c>
      <c r="J651" s="3275" t="s">
        <v>3502</v>
      </c>
      <c r="K651" s="3409">
        <v>43.68</v>
      </c>
      <c r="L651" s="3412">
        <v>31.98</v>
      </c>
      <c r="M651" s="3276"/>
      <c r="N651" s="3276"/>
      <c r="O651" s="3392"/>
      <c r="P651" s="3393"/>
      <c r="Q651" s="3393"/>
      <c r="R651" s="3276"/>
      <c r="S651" s="3276"/>
      <c r="T651" s="3239" t="str">
        <f t="shared" si="11"/>
        <v>无</v>
      </c>
    </row>
    <row r="652" spans="1:20">
      <c r="A652" s="3393">
        <v>650</v>
      </c>
      <c r="B652" s="3393">
        <v>2</v>
      </c>
      <c r="C652" s="3393">
        <v>1</v>
      </c>
      <c r="D652" s="3392">
        <v>827</v>
      </c>
      <c r="E652" s="3275">
        <v>810</v>
      </c>
      <c r="F652" s="3276">
        <v>1</v>
      </c>
      <c r="G652" s="3276">
        <v>1</v>
      </c>
      <c r="H652" s="3276">
        <v>1</v>
      </c>
      <c r="I652" s="3275" t="s">
        <v>3304</v>
      </c>
      <c r="J652" s="3275" t="s">
        <v>3325</v>
      </c>
      <c r="K652" s="3409">
        <v>54.46</v>
      </c>
      <c r="L652" s="3412">
        <v>39.869999999999997</v>
      </c>
      <c r="M652" s="3276"/>
      <c r="N652" s="3276"/>
      <c r="O652" s="3392"/>
      <c r="P652" s="3393"/>
      <c r="Q652" s="3393"/>
      <c r="R652" s="3276"/>
      <c r="S652" s="3276"/>
      <c r="T652" s="3239" t="str">
        <f t="shared" si="11"/>
        <v>有</v>
      </c>
    </row>
    <row r="653" spans="1:20">
      <c r="A653" s="3393">
        <v>651</v>
      </c>
      <c r="B653" s="3393">
        <v>2</v>
      </c>
      <c r="C653" s="3393">
        <v>1</v>
      </c>
      <c r="D653" s="3392">
        <v>828</v>
      </c>
      <c r="E653" s="3275">
        <v>836</v>
      </c>
      <c r="F653" s="3276">
        <v>1</v>
      </c>
      <c r="G653" s="3276">
        <v>1</v>
      </c>
      <c r="H653" s="3276">
        <v>1</v>
      </c>
      <c r="I653" s="3275" t="s">
        <v>3312</v>
      </c>
      <c r="J653" s="3275" t="s">
        <v>3337</v>
      </c>
      <c r="K653" s="3409">
        <v>55.21</v>
      </c>
      <c r="L653" s="3412">
        <v>40.42</v>
      </c>
      <c r="M653" s="3276"/>
      <c r="N653" s="3276"/>
      <c r="O653" s="3392"/>
      <c r="P653" s="3393"/>
      <c r="Q653" s="3393"/>
      <c r="R653" s="3276"/>
      <c r="S653" s="3276"/>
      <c r="T653" s="3239" t="str">
        <f t="shared" si="11"/>
        <v>有</v>
      </c>
    </row>
    <row r="654" spans="1:20">
      <c r="A654" s="3393">
        <v>652</v>
      </c>
      <c r="B654" s="3393">
        <v>2</v>
      </c>
      <c r="C654" s="3393">
        <v>1</v>
      </c>
      <c r="D654" s="3392">
        <v>829</v>
      </c>
      <c r="E654" s="3275">
        <v>838</v>
      </c>
      <c r="F654" s="3276">
        <v>1</v>
      </c>
      <c r="G654" s="3276">
        <v>1</v>
      </c>
      <c r="H654" s="3276">
        <v>1</v>
      </c>
      <c r="I654" s="3275" t="s">
        <v>3312</v>
      </c>
      <c r="J654" s="3275" t="s">
        <v>3338</v>
      </c>
      <c r="K654" s="3409">
        <v>54.46</v>
      </c>
      <c r="L654" s="3412">
        <v>39.869999999999997</v>
      </c>
      <c r="M654" s="3276"/>
      <c r="N654" s="3276"/>
      <c r="O654" s="3392"/>
      <c r="P654" s="3393"/>
      <c r="Q654" s="3393"/>
      <c r="R654" s="3276"/>
      <c r="S654" s="3276"/>
      <c r="T654" s="3239" t="str">
        <f t="shared" si="11"/>
        <v>有</v>
      </c>
    </row>
    <row r="655" spans="1:20">
      <c r="A655" s="3393">
        <v>653</v>
      </c>
      <c r="B655" s="3393">
        <v>2</v>
      </c>
      <c r="C655" s="3393">
        <v>1</v>
      </c>
      <c r="D655" s="3392">
        <v>830</v>
      </c>
      <c r="E655" s="3275">
        <v>837</v>
      </c>
      <c r="F655" s="3276">
        <v>1</v>
      </c>
      <c r="G655" s="3276">
        <v>1</v>
      </c>
      <c r="H655" s="3276">
        <v>1</v>
      </c>
      <c r="I655" s="3275" t="s">
        <v>3312</v>
      </c>
      <c r="J655" s="3275" t="s">
        <v>3335</v>
      </c>
      <c r="K655" s="3409">
        <v>55.07</v>
      </c>
      <c r="L655" s="3412">
        <v>40.32</v>
      </c>
      <c r="M655" s="3276"/>
      <c r="N655" s="3276"/>
      <c r="O655" s="3392"/>
      <c r="P655" s="3393"/>
      <c r="Q655" s="3393"/>
      <c r="R655" s="3276"/>
      <c r="S655" s="3276"/>
      <c r="T655" s="3239" t="str">
        <f t="shared" si="11"/>
        <v>有</v>
      </c>
    </row>
    <row r="656" spans="1:20">
      <c r="A656" s="3393">
        <v>654</v>
      </c>
      <c r="B656" s="3393">
        <v>2</v>
      </c>
      <c r="C656" s="3393">
        <v>1</v>
      </c>
      <c r="D656" s="3392">
        <v>831</v>
      </c>
      <c r="E656" s="3275">
        <v>839</v>
      </c>
      <c r="F656" s="3276">
        <v>4</v>
      </c>
      <c r="G656" s="3276">
        <v>1</v>
      </c>
      <c r="H656" s="3276">
        <v>1</v>
      </c>
      <c r="I656" s="3275" t="s">
        <v>3316</v>
      </c>
      <c r="J656" s="3275" t="s">
        <v>3319</v>
      </c>
      <c r="K656" s="3409">
        <v>103.44</v>
      </c>
      <c r="L656" s="3412">
        <v>75.73</v>
      </c>
      <c r="M656" s="3276"/>
      <c r="N656" s="3276"/>
      <c r="O656" s="3392"/>
      <c r="P656" s="3393"/>
      <c r="Q656" s="3393"/>
      <c r="R656" s="3276"/>
      <c r="S656" s="3276"/>
      <c r="T656" s="3239" t="str">
        <f t="shared" si="11"/>
        <v>有</v>
      </c>
    </row>
    <row r="657" spans="1:20">
      <c r="A657" s="3393">
        <v>655</v>
      </c>
      <c r="B657" s="3393">
        <v>2</v>
      </c>
      <c r="C657" s="3393">
        <v>1</v>
      </c>
      <c r="D657" s="3392">
        <v>832</v>
      </c>
      <c r="E657" s="3275">
        <v>809</v>
      </c>
      <c r="F657" s="3276">
        <v>1</v>
      </c>
      <c r="G657" s="3276">
        <v>1</v>
      </c>
      <c r="H657" s="3276">
        <v>1</v>
      </c>
      <c r="I657" s="3275" t="s">
        <v>3304</v>
      </c>
      <c r="J657" s="3275" t="s">
        <v>3328</v>
      </c>
      <c r="K657" s="3409">
        <v>54.58</v>
      </c>
      <c r="L657" s="3412">
        <v>39.96</v>
      </c>
      <c r="M657" s="3276"/>
      <c r="N657" s="3276"/>
      <c r="O657" s="3392"/>
      <c r="P657" s="3393"/>
      <c r="Q657" s="3393"/>
      <c r="R657" s="3276"/>
      <c r="S657" s="3276"/>
      <c r="T657" s="3239" t="str">
        <f t="shared" si="11"/>
        <v>有</v>
      </c>
    </row>
    <row r="658" spans="1:20">
      <c r="A658" s="3393">
        <v>656</v>
      </c>
      <c r="B658" s="3393">
        <v>2</v>
      </c>
      <c r="C658" s="3393">
        <v>1</v>
      </c>
      <c r="D658" s="3392">
        <v>833</v>
      </c>
      <c r="E658" s="3275">
        <v>808</v>
      </c>
      <c r="F658" s="3276">
        <v>1</v>
      </c>
      <c r="G658" s="3276">
        <v>1</v>
      </c>
      <c r="H658" s="3276">
        <v>1</v>
      </c>
      <c r="I658" s="3275" t="s">
        <v>3302</v>
      </c>
      <c r="J658" s="3275" t="s">
        <v>3311</v>
      </c>
      <c r="K658" s="3409">
        <v>52.64</v>
      </c>
      <c r="L658" s="3412">
        <v>38.54</v>
      </c>
      <c r="M658" s="3276"/>
      <c r="N658" s="3276"/>
      <c r="O658" s="3392"/>
      <c r="P658" s="3393"/>
      <c r="Q658" s="3393"/>
      <c r="R658" s="3276"/>
      <c r="S658" s="3276"/>
      <c r="T658" s="3239" t="str">
        <f t="shared" si="11"/>
        <v>有</v>
      </c>
    </row>
    <row r="659" spans="1:20">
      <c r="A659" s="3393">
        <v>657</v>
      </c>
      <c r="B659" s="3393">
        <v>2</v>
      </c>
      <c r="C659" s="3393">
        <v>1</v>
      </c>
      <c r="D659" s="3392">
        <v>834</v>
      </c>
      <c r="E659" s="3275">
        <v>807</v>
      </c>
      <c r="F659" s="3276">
        <v>2</v>
      </c>
      <c r="G659" s="3276">
        <v>1</v>
      </c>
      <c r="H659" s="3276">
        <v>1</v>
      </c>
      <c r="I659" s="3275" t="s">
        <v>3300</v>
      </c>
      <c r="J659" s="3275" t="s">
        <v>3313</v>
      </c>
      <c r="K659" s="3409">
        <v>91.88</v>
      </c>
      <c r="L659" s="3412">
        <v>67.27</v>
      </c>
      <c r="M659" s="3276"/>
      <c r="N659" s="3276"/>
      <c r="O659" s="3392"/>
      <c r="P659" s="3393"/>
      <c r="Q659" s="3393"/>
      <c r="R659" s="3276"/>
      <c r="S659" s="3276"/>
      <c r="T659" s="3239" t="str">
        <f t="shared" si="11"/>
        <v>有</v>
      </c>
    </row>
    <row r="660" spans="1:20">
      <c r="A660" s="3393">
        <v>658</v>
      </c>
      <c r="B660" s="3393">
        <v>2</v>
      </c>
      <c r="C660" s="3393">
        <v>1</v>
      </c>
      <c r="D660" s="3392">
        <v>835</v>
      </c>
      <c r="E660" s="3275">
        <v>801</v>
      </c>
      <c r="F660" s="3276">
        <v>4</v>
      </c>
      <c r="G660" s="3276">
        <v>1</v>
      </c>
      <c r="H660" s="3276">
        <v>1</v>
      </c>
      <c r="I660" s="3275" t="s">
        <v>3318</v>
      </c>
      <c r="J660" s="3275" t="s">
        <v>3317</v>
      </c>
      <c r="K660" s="3409">
        <v>103.44</v>
      </c>
      <c r="L660" s="3412">
        <v>75.73</v>
      </c>
      <c r="M660" s="3276"/>
      <c r="N660" s="3276"/>
      <c r="O660" s="3392"/>
      <c r="P660" s="3393"/>
      <c r="Q660" s="3393"/>
      <c r="R660" s="3276"/>
      <c r="S660" s="3276"/>
      <c r="T660" s="3239" t="str">
        <f t="shared" si="11"/>
        <v>有</v>
      </c>
    </row>
    <row r="661" spans="1:20">
      <c r="A661" s="3393">
        <v>659</v>
      </c>
      <c r="B661" s="3393">
        <v>2</v>
      </c>
      <c r="C661" s="3393">
        <v>1</v>
      </c>
      <c r="D661" s="3392">
        <v>836</v>
      </c>
      <c r="E661" s="3275">
        <v>804</v>
      </c>
      <c r="F661" s="3276">
        <v>1</v>
      </c>
      <c r="G661" s="3276">
        <v>1</v>
      </c>
      <c r="H661" s="3276">
        <v>1</v>
      </c>
      <c r="I661" s="3275" t="s">
        <v>3300</v>
      </c>
      <c r="J661" s="3275" t="s">
        <v>3326</v>
      </c>
      <c r="K661" s="3409">
        <v>55.07</v>
      </c>
      <c r="L661" s="3412">
        <v>40.32</v>
      </c>
      <c r="M661" s="3276"/>
      <c r="N661" s="3276"/>
      <c r="O661" s="3392"/>
      <c r="P661" s="3393"/>
      <c r="Q661" s="3393"/>
      <c r="R661" s="3276"/>
      <c r="S661" s="3276"/>
      <c r="T661" s="3239" t="str">
        <f t="shared" si="11"/>
        <v>有</v>
      </c>
    </row>
    <row r="662" spans="1:20">
      <c r="A662" s="3393">
        <v>660</v>
      </c>
      <c r="B662" s="3393">
        <v>2</v>
      </c>
      <c r="C662" s="3393">
        <v>1</v>
      </c>
      <c r="D662" s="3392">
        <v>837</v>
      </c>
      <c r="E662" s="3275">
        <v>802</v>
      </c>
      <c r="F662" s="3276">
        <v>1</v>
      </c>
      <c r="G662" s="3276">
        <v>1</v>
      </c>
      <c r="H662" s="3276">
        <v>1</v>
      </c>
      <c r="I662" s="3275" t="s">
        <v>3300</v>
      </c>
      <c r="J662" s="3275" t="s">
        <v>3324</v>
      </c>
      <c r="K662" s="3409">
        <v>56.3</v>
      </c>
      <c r="L662" s="3412">
        <v>41.22</v>
      </c>
      <c r="M662" s="3276"/>
      <c r="N662" s="3276"/>
      <c r="O662" s="3392"/>
      <c r="P662" s="3393"/>
      <c r="Q662" s="3393"/>
      <c r="R662" s="3276"/>
      <c r="S662" s="3276"/>
      <c r="T662" s="3239" t="str">
        <f t="shared" si="11"/>
        <v>有</v>
      </c>
    </row>
    <row r="663" spans="1:20">
      <c r="A663" s="3393">
        <v>661</v>
      </c>
      <c r="B663" s="3393">
        <v>2</v>
      </c>
      <c r="C663" s="3393">
        <v>1</v>
      </c>
      <c r="D663" s="3392">
        <v>838</v>
      </c>
      <c r="E663" s="3275">
        <v>803</v>
      </c>
      <c r="F663" s="3276">
        <v>1</v>
      </c>
      <c r="G663" s="3276">
        <v>1</v>
      </c>
      <c r="H663" s="3276">
        <v>1</v>
      </c>
      <c r="I663" s="3275" t="s">
        <v>3300</v>
      </c>
      <c r="J663" s="3275" t="s">
        <v>3325</v>
      </c>
      <c r="K663" s="3409">
        <v>54.46</v>
      </c>
      <c r="L663" s="3412">
        <v>39.869999999999997</v>
      </c>
      <c r="M663" s="3276"/>
      <c r="N663" s="3276"/>
      <c r="O663" s="3392"/>
      <c r="P663" s="3393"/>
      <c r="Q663" s="3393"/>
      <c r="R663" s="3276"/>
      <c r="S663" s="3276"/>
      <c r="T663" s="3239" t="str">
        <f t="shared" si="11"/>
        <v>有</v>
      </c>
    </row>
    <row r="664" spans="1:20">
      <c r="A664" s="3393">
        <v>662</v>
      </c>
      <c r="B664" s="3393">
        <v>2</v>
      </c>
      <c r="C664" s="3393">
        <v>1</v>
      </c>
      <c r="D664" s="3392">
        <v>839</v>
      </c>
      <c r="E664" s="3275">
        <v>805</v>
      </c>
      <c r="F664" s="3276">
        <v>1</v>
      </c>
      <c r="G664" s="3276">
        <v>1</v>
      </c>
      <c r="H664" s="3276">
        <v>1</v>
      </c>
      <c r="I664" s="3275" t="s">
        <v>3300</v>
      </c>
      <c r="J664" s="3275" t="s">
        <v>3326</v>
      </c>
      <c r="K664" s="3409">
        <v>55.07</v>
      </c>
      <c r="L664" s="3412">
        <v>40.32</v>
      </c>
      <c r="M664" s="3276"/>
      <c r="N664" s="3276"/>
      <c r="O664" s="3392"/>
      <c r="P664" s="3393"/>
      <c r="Q664" s="3393"/>
      <c r="R664" s="3276"/>
      <c r="S664" s="3276"/>
      <c r="T664" s="3239" t="str">
        <f t="shared" si="11"/>
        <v>有</v>
      </c>
    </row>
    <row r="665" spans="1:20">
      <c r="A665" s="3393">
        <v>663</v>
      </c>
      <c r="B665" s="3393">
        <v>2</v>
      </c>
      <c r="C665" s="3393">
        <v>1</v>
      </c>
      <c r="D665" s="3392">
        <v>840</v>
      </c>
      <c r="E665" s="3275">
        <v>806</v>
      </c>
      <c r="F665" s="3276">
        <v>1</v>
      </c>
      <c r="G665" s="3276">
        <v>1</v>
      </c>
      <c r="H665" s="3276">
        <v>1</v>
      </c>
      <c r="I665" s="3275" t="s">
        <v>3300</v>
      </c>
      <c r="J665" s="3275" t="s">
        <v>3327</v>
      </c>
      <c r="K665" s="3409">
        <v>54.59</v>
      </c>
      <c r="L665" s="3412">
        <v>39.97</v>
      </c>
      <c r="M665" s="3276"/>
      <c r="N665" s="3276"/>
      <c r="O665" s="3392"/>
      <c r="P665" s="3393"/>
      <c r="Q665" s="3393"/>
      <c r="R665" s="3276"/>
      <c r="S665" s="3276"/>
      <c r="T665" s="3239" t="str">
        <f t="shared" si="11"/>
        <v>有</v>
      </c>
    </row>
    <row r="666" spans="1:20" hidden="1">
      <c r="A666" s="3393">
        <v>664</v>
      </c>
      <c r="B666" s="3393">
        <v>2</v>
      </c>
      <c r="C666" s="3393">
        <v>1</v>
      </c>
      <c r="D666" s="3392">
        <v>901</v>
      </c>
      <c r="E666" s="3275">
        <v>923</v>
      </c>
      <c r="F666" s="3276">
        <v>1</v>
      </c>
      <c r="G666" s="3276">
        <v>0</v>
      </c>
      <c r="H666" s="3276">
        <v>1</v>
      </c>
      <c r="I666" s="3275" t="s">
        <v>3332</v>
      </c>
      <c r="J666" s="3275" t="s">
        <v>3500</v>
      </c>
      <c r="K666" s="3409">
        <v>48.16</v>
      </c>
      <c r="L666" s="3412">
        <v>35.26</v>
      </c>
      <c r="M666" s="3276"/>
      <c r="N666" s="3276"/>
      <c r="O666" s="3392"/>
      <c r="P666" s="3393"/>
      <c r="Q666" s="3393"/>
      <c r="R666" s="3276"/>
      <c r="S666" s="3276"/>
      <c r="T666" s="3239" t="str">
        <f t="shared" si="11"/>
        <v>无</v>
      </c>
    </row>
    <row r="667" spans="1:20" hidden="1">
      <c r="A667" s="3393">
        <v>665</v>
      </c>
      <c r="B667" s="3393">
        <v>2</v>
      </c>
      <c r="C667" s="3393">
        <v>1</v>
      </c>
      <c r="D667" s="3392">
        <v>902</v>
      </c>
      <c r="E667" s="3275">
        <v>922</v>
      </c>
      <c r="F667" s="3276">
        <v>1</v>
      </c>
      <c r="G667" s="3276">
        <v>0</v>
      </c>
      <c r="H667" s="3276">
        <v>1</v>
      </c>
      <c r="I667" s="3275" t="s">
        <v>3312</v>
      </c>
      <c r="J667" s="3275" t="s">
        <v>3323</v>
      </c>
      <c r="K667" s="3409">
        <v>44.28</v>
      </c>
      <c r="L667" s="3412">
        <v>32.42</v>
      </c>
      <c r="M667" s="3276"/>
      <c r="N667" s="3276"/>
      <c r="O667" s="3392"/>
      <c r="P667" s="3393"/>
      <c r="Q667" s="3393"/>
      <c r="R667" s="3276"/>
      <c r="S667" s="3276"/>
      <c r="T667" s="3239" t="str">
        <f t="shared" si="11"/>
        <v>无</v>
      </c>
    </row>
    <row r="668" spans="1:20">
      <c r="A668" s="3393">
        <v>666</v>
      </c>
      <c r="B668" s="3393">
        <v>2</v>
      </c>
      <c r="C668" s="3393">
        <v>1</v>
      </c>
      <c r="D668" s="3392">
        <v>903</v>
      </c>
      <c r="E668" s="3275">
        <v>921</v>
      </c>
      <c r="F668" s="3276">
        <v>1</v>
      </c>
      <c r="G668" s="3276">
        <v>1</v>
      </c>
      <c r="H668" s="3276">
        <v>1</v>
      </c>
      <c r="I668" s="3275" t="s">
        <v>3310</v>
      </c>
      <c r="J668" s="3275" t="s">
        <v>3303</v>
      </c>
      <c r="K668" s="3409">
        <v>55.34</v>
      </c>
      <c r="L668" s="3412">
        <v>40.520000000000003</v>
      </c>
      <c r="M668" s="3276"/>
      <c r="N668" s="3276"/>
      <c r="O668" s="3392"/>
      <c r="P668" s="3393"/>
      <c r="Q668" s="3393"/>
      <c r="R668" s="3276"/>
      <c r="S668" s="3276"/>
      <c r="T668" s="3239" t="str">
        <f t="shared" si="11"/>
        <v>有</v>
      </c>
    </row>
    <row r="669" spans="1:20" hidden="1">
      <c r="A669" s="3393">
        <v>667</v>
      </c>
      <c r="B669" s="3393">
        <v>2</v>
      </c>
      <c r="C669" s="3393">
        <v>1</v>
      </c>
      <c r="D669" s="3392">
        <v>904</v>
      </c>
      <c r="E669" s="3275">
        <v>924</v>
      </c>
      <c r="F669" s="3276">
        <v>1</v>
      </c>
      <c r="G669" s="3276">
        <v>0</v>
      </c>
      <c r="H669" s="3276">
        <v>1</v>
      </c>
      <c r="I669" s="3275" t="s">
        <v>3332</v>
      </c>
      <c r="J669" s="3275" t="s">
        <v>3501</v>
      </c>
      <c r="K669" s="3409">
        <v>47.12</v>
      </c>
      <c r="L669" s="3412">
        <v>34.5</v>
      </c>
      <c r="M669" s="3276"/>
      <c r="N669" s="3276"/>
      <c r="O669" s="3392"/>
      <c r="P669" s="3393"/>
      <c r="Q669" s="3393"/>
      <c r="R669" s="3276"/>
      <c r="S669" s="3276"/>
      <c r="T669" s="3239" t="str">
        <f t="shared" si="11"/>
        <v>无</v>
      </c>
    </row>
    <row r="670" spans="1:20">
      <c r="A670" s="3393">
        <v>668</v>
      </c>
      <c r="B670" s="3393">
        <v>2</v>
      </c>
      <c r="C670" s="3393">
        <v>1</v>
      </c>
      <c r="D670" s="3392">
        <v>905</v>
      </c>
      <c r="E670" s="3275">
        <v>925</v>
      </c>
      <c r="F670" s="3276">
        <v>1</v>
      </c>
      <c r="G670" s="3276">
        <v>1</v>
      </c>
      <c r="H670" s="3276">
        <v>1</v>
      </c>
      <c r="I670" s="3275" t="s">
        <v>3332</v>
      </c>
      <c r="J670" s="3275" t="s">
        <v>3335</v>
      </c>
      <c r="K670" s="3409">
        <v>55.07</v>
      </c>
      <c r="L670" s="3412">
        <v>40.32</v>
      </c>
      <c r="M670" s="3276"/>
      <c r="N670" s="3276"/>
      <c r="O670" s="3392"/>
      <c r="P670" s="3393"/>
      <c r="Q670" s="3393"/>
      <c r="R670" s="3276"/>
      <c r="S670" s="3276"/>
      <c r="T670" s="3239" t="str">
        <f t="shared" si="11"/>
        <v>有</v>
      </c>
    </row>
    <row r="671" spans="1:20" hidden="1">
      <c r="A671" s="3393">
        <v>669</v>
      </c>
      <c r="B671" s="3393">
        <v>2</v>
      </c>
      <c r="C671" s="3393">
        <v>1</v>
      </c>
      <c r="D671" s="3392">
        <v>906</v>
      </c>
      <c r="E671" s="3275">
        <v>920</v>
      </c>
      <c r="F671" s="3276">
        <v>1</v>
      </c>
      <c r="G671" s="3276">
        <v>0</v>
      </c>
      <c r="H671" s="3276">
        <v>1</v>
      </c>
      <c r="I671" s="3278" t="s">
        <v>3304</v>
      </c>
      <c r="J671" s="3275" t="s">
        <v>3305</v>
      </c>
      <c r="K671" s="3409">
        <v>43.08</v>
      </c>
      <c r="L671" s="3412">
        <v>31.54</v>
      </c>
      <c r="M671" s="3276"/>
      <c r="N671" s="3276"/>
      <c r="O671" s="3392"/>
      <c r="P671" s="3393"/>
      <c r="Q671" s="3393"/>
      <c r="R671" s="3276"/>
      <c r="S671" s="3276"/>
      <c r="T671" s="3239" t="str">
        <f t="shared" si="11"/>
        <v>无</v>
      </c>
    </row>
    <row r="672" spans="1:20" hidden="1">
      <c r="A672" s="3393">
        <v>670</v>
      </c>
      <c r="B672" s="3393">
        <v>2</v>
      </c>
      <c r="C672" s="3393">
        <v>1</v>
      </c>
      <c r="D672" s="3392">
        <v>907</v>
      </c>
      <c r="E672" s="3275">
        <v>919</v>
      </c>
      <c r="F672" s="3276">
        <v>1</v>
      </c>
      <c r="G672" s="3276">
        <v>0</v>
      </c>
      <c r="H672" s="3276">
        <v>1</v>
      </c>
      <c r="I672" s="3278" t="s">
        <v>3304</v>
      </c>
      <c r="J672" s="3275" t="s">
        <v>3305</v>
      </c>
      <c r="K672" s="3409">
        <v>43.08</v>
      </c>
      <c r="L672" s="3412">
        <v>31.54</v>
      </c>
      <c r="M672" s="3276"/>
      <c r="N672" s="3276"/>
      <c r="O672" s="3392"/>
      <c r="P672" s="3393"/>
      <c r="Q672" s="3393"/>
      <c r="R672" s="3276"/>
      <c r="S672" s="3276"/>
      <c r="T672" s="3239" t="str">
        <f t="shared" si="11"/>
        <v>无</v>
      </c>
    </row>
    <row r="673" spans="1:20">
      <c r="A673" s="3393">
        <v>671</v>
      </c>
      <c r="B673" s="3393">
        <v>2</v>
      </c>
      <c r="C673" s="3393">
        <v>1</v>
      </c>
      <c r="D673" s="3392">
        <v>908</v>
      </c>
      <c r="E673" s="3275">
        <v>926</v>
      </c>
      <c r="F673" s="3276">
        <v>1</v>
      </c>
      <c r="G673" s="3276">
        <v>1</v>
      </c>
      <c r="H673" s="3276">
        <v>1</v>
      </c>
      <c r="I673" s="3275" t="s">
        <v>3332</v>
      </c>
      <c r="J673" s="3275" t="s">
        <v>3335</v>
      </c>
      <c r="K673" s="3409">
        <v>55.07</v>
      </c>
      <c r="L673" s="3412">
        <v>40.32</v>
      </c>
      <c r="M673" s="3276"/>
      <c r="N673" s="3276"/>
      <c r="O673" s="3392"/>
      <c r="P673" s="3393"/>
      <c r="Q673" s="3393"/>
      <c r="R673" s="3276"/>
      <c r="S673" s="3276"/>
      <c r="T673" s="3239" t="str">
        <f t="shared" si="11"/>
        <v>有</v>
      </c>
    </row>
    <row r="674" spans="1:20" hidden="1">
      <c r="A674" s="3393">
        <v>672</v>
      </c>
      <c r="B674" s="3393">
        <v>2</v>
      </c>
      <c r="C674" s="3393">
        <v>1</v>
      </c>
      <c r="D674" s="3392">
        <v>909</v>
      </c>
      <c r="E674" s="3275">
        <v>918</v>
      </c>
      <c r="F674" s="3276">
        <v>1</v>
      </c>
      <c r="G674" s="3276">
        <v>0</v>
      </c>
      <c r="H674" s="3276">
        <v>1</v>
      </c>
      <c r="I674" s="3278" t="s">
        <v>3304</v>
      </c>
      <c r="J674" s="3275" t="s">
        <v>3306</v>
      </c>
      <c r="K674" s="3409">
        <v>44.06</v>
      </c>
      <c r="L674" s="3412">
        <v>32.26</v>
      </c>
      <c r="M674" s="3276"/>
      <c r="N674" s="3276"/>
      <c r="O674" s="3392"/>
      <c r="P674" s="3393"/>
      <c r="Q674" s="3393"/>
      <c r="R674" s="3276"/>
      <c r="S674" s="3276"/>
      <c r="T674" s="3239" t="str">
        <f t="shared" si="11"/>
        <v>无</v>
      </c>
    </row>
    <row r="675" spans="1:20">
      <c r="A675" s="3393">
        <v>673</v>
      </c>
      <c r="B675" s="3393">
        <v>2</v>
      </c>
      <c r="C675" s="3393">
        <v>1</v>
      </c>
      <c r="D675" s="3392">
        <v>910</v>
      </c>
      <c r="E675" s="3275">
        <v>927</v>
      </c>
      <c r="F675" s="3276">
        <v>1</v>
      </c>
      <c r="G675" s="3276">
        <v>1</v>
      </c>
      <c r="H675" s="3276">
        <v>1</v>
      </c>
      <c r="I675" s="3275" t="s">
        <v>3332</v>
      </c>
      <c r="J675" s="3275" t="s">
        <v>3335</v>
      </c>
      <c r="K675" s="3409">
        <v>55.07</v>
      </c>
      <c r="L675" s="3412">
        <v>40.32</v>
      </c>
      <c r="M675" s="3276"/>
      <c r="N675" s="3276"/>
      <c r="O675" s="3392"/>
      <c r="P675" s="3393"/>
      <c r="Q675" s="3393"/>
      <c r="R675" s="3276"/>
      <c r="S675" s="3276"/>
      <c r="T675" s="3239" t="str">
        <f t="shared" si="11"/>
        <v>有</v>
      </c>
    </row>
    <row r="676" spans="1:20">
      <c r="A676" s="3393">
        <v>674</v>
      </c>
      <c r="B676" s="3393">
        <v>2</v>
      </c>
      <c r="C676" s="3393">
        <v>1</v>
      </c>
      <c r="D676" s="3392">
        <v>911</v>
      </c>
      <c r="E676" s="3275">
        <v>928</v>
      </c>
      <c r="F676" s="3276">
        <v>1</v>
      </c>
      <c r="G676" s="3276">
        <v>1</v>
      </c>
      <c r="H676" s="3276">
        <v>1</v>
      </c>
      <c r="I676" s="3275" t="s">
        <v>3332</v>
      </c>
      <c r="J676" s="3275" t="s">
        <v>3335</v>
      </c>
      <c r="K676" s="3409">
        <v>55.07</v>
      </c>
      <c r="L676" s="3412">
        <v>40.32</v>
      </c>
      <c r="M676" s="3276"/>
      <c r="N676" s="3276"/>
      <c r="O676" s="3392"/>
      <c r="P676" s="3393"/>
      <c r="Q676" s="3393"/>
      <c r="R676" s="3276"/>
      <c r="S676" s="3276"/>
      <c r="T676" s="3239" t="str">
        <f t="shared" si="11"/>
        <v>有</v>
      </c>
    </row>
    <row r="677" spans="1:20">
      <c r="A677" s="3393">
        <v>675</v>
      </c>
      <c r="B677" s="3393">
        <v>2</v>
      </c>
      <c r="C677" s="3393">
        <v>1</v>
      </c>
      <c r="D677" s="3392">
        <v>912</v>
      </c>
      <c r="E677" s="3275">
        <v>929</v>
      </c>
      <c r="F677" s="3276">
        <v>1</v>
      </c>
      <c r="G677" s="3276">
        <v>1</v>
      </c>
      <c r="H677" s="3276">
        <v>1</v>
      </c>
      <c r="I677" s="3275" t="s">
        <v>3332</v>
      </c>
      <c r="J677" s="3275" t="s">
        <v>3335</v>
      </c>
      <c r="K677" s="3409">
        <v>55.07</v>
      </c>
      <c r="L677" s="3412">
        <v>40.32</v>
      </c>
      <c r="M677" s="3276"/>
      <c r="N677" s="3276"/>
      <c r="O677" s="3392"/>
      <c r="P677" s="3393"/>
      <c r="Q677" s="3393"/>
      <c r="R677" s="3276"/>
      <c r="S677" s="3276"/>
      <c r="T677" s="3239" t="str">
        <f t="shared" si="11"/>
        <v>有</v>
      </c>
    </row>
    <row r="678" spans="1:20">
      <c r="A678" s="3393">
        <v>676</v>
      </c>
      <c r="B678" s="3393">
        <v>2</v>
      </c>
      <c r="C678" s="3393">
        <v>1</v>
      </c>
      <c r="D678" s="3392">
        <v>914</v>
      </c>
      <c r="E678" s="3275">
        <v>930</v>
      </c>
      <c r="F678" s="3276">
        <v>1</v>
      </c>
      <c r="G678" s="3276">
        <v>1</v>
      </c>
      <c r="H678" s="3276">
        <v>1</v>
      </c>
      <c r="I678" s="3275" t="s">
        <v>3332</v>
      </c>
      <c r="J678" s="3275" t="s">
        <v>3335</v>
      </c>
      <c r="K678" s="3409">
        <v>55.07</v>
      </c>
      <c r="L678" s="3412">
        <v>40.32</v>
      </c>
      <c r="M678" s="3276"/>
      <c r="N678" s="3276"/>
      <c r="O678" s="3392"/>
      <c r="P678" s="3393"/>
      <c r="Q678" s="3393"/>
      <c r="R678" s="3276"/>
      <c r="S678" s="3276"/>
      <c r="T678" s="3239" t="str">
        <f t="shared" si="11"/>
        <v>有</v>
      </c>
    </row>
    <row r="679" spans="1:20" hidden="1">
      <c r="A679" s="3393">
        <v>677</v>
      </c>
      <c r="B679" s="3393">
        <v>2</v>
      </c>
      <c r="C679" s="3393">
        <v>1</v>
      </c>
      <c r="D679" s="3392">
        <v>915</v>
      </c>
      <c r="E679" s="3275">
        <v>917</v>
      </c>
      <c r="F679" s="3276">
        <v>1</v>
      </c>
      <c r="G679" s="3276">
        <v>0</v>
      </c>
      <c r="H679" s="3276">
        <v>1</v>
      </c>
      <c r="I679" s="3278" t="s">
        <v>3304</v>
      </c>
      <c r="J679" s="3275" t="s">
        <v>3306</v>
      </c>
      <c r="K679" s="3409">
        <v>44.06</v>
      </c>
      <c r="L679" s="3412">
        <v>32.26</v>
      </c>
      <c r="M679" s="3276"/>
      <c r="N679" s="3276"/>
      <c r="O679" s="3392"/>
      <c r="P679" s="3393"/>
      <c r="Q679" s="3393"/>
      <c r="R679" s="3276"/>
      <c r="S679" s="3276"/>
      <c r="T679" s="3239" t="str">
        <f t="shared" si="11"/>
        <v>无</v>
      </c>
    </row>
    <row r="680" spans="1:20">
      <c r="A680" s="3393">
        <v>678</v>
      </c>
      <c r="B680" s="3393">
        <v>2</v>
      </c>
      <c r="C680" s="3393">
        <v>1</v>
      </c>
      <c r="D680" s="3392">
        <v>916</v>
      </c>
      <c r="E680" s="3275">
        <v>931</v>
      </c>
      <c r="F680" s="3276">
        <v>1</v>
      </c>
      <c r="G680" s="3276">
        <v>1</v>
      </c>
      <c r="H680" s="3276">
        <v>1</v>
      </c>
      <c r="I680" s="3275" t="s">
        <v>3332</v>
      </c>
      <c r="J680" s="3275" t="s">
        <v>3335</v>
      </c>
      <c r="K680" s="3409">
        <v>55.07</v>
      </c>
      <c r="L680" s="3412">
        <v>40.32</v>
      </c>
      <c r="M680" s="3276"/>
      <c r="N680" s="3276"/>
      <c r="O680" s="3392"/>
      <c r="P680" s="3393"/>
      <c r="Q680" s="3393"/>
      <c r="R680" s="3276"/>
      <c r="S680" s="3276"/>
      <c r="T680" s="3239" t="str">
        <f t="shared" si="11"/>
        <v>有</v>
      </c>
    </row>
    <row r="681" spans="1:20" hidden="1">
      <c r="A681" s="3393">
        <v>679</v>
      </c>
      <c r="B681" s="3393">
        <v>2</v>
      </c>
      <c r="C681" s="3393">
        <v>1</v>
      </c>
      <c r="D681" s="3392">
        <v>917</v>
      </c>
      <c r="E681" s="3275">
        <v>916</v>
      </c>
      <c r="F681" s="3276">
        <v>1</v>
      </c>
      <c r="G681" s="3276">
        <v>0</v>
      </c>
      <c r="H681" s="3276">
        <v>1</v>
      </c>
      <c r="I681" s="3278" t="s">
        <v>3304</v>
      </c>
      <c r="J681" s="3275" t="s">
        <v>3305</v>
      </c>
      <c r="K681" s="3409">
        <v>43.08</v>
      </c>
      <c r="L681" s="3412">
        <v>31.54</v>
      </c>
      <c r="M681" s="3276"/>
      <c r="N681" s="3276"/>
      <c r="O681" s="3392"/>
      <c r="P681" s="3393"/>
      <c r="Q681" s="3393"/>
      <c r="R681" s="3276"/>
      <c r="S681" s="3276"/>
      <c r="T681" s="3239" t="str">
        <f t="shared" si="11"/>
        <v>无</v>
      </c>
    </row>
    <row r="682" spans="1:20" hidden="1">
      <c r="A682" s="3393">
        <v>680</v>
      </c>
      <c r="B682" s="3393">
        <v>2</v>
      </c>
      <c r="C682" s="3393">
        <v>1</v>
      </c>
      <c r="D682" s="3392">
        <v>918</v>
      </c>
      <c r="E682" s="3275">
        <v>915</v>
      </c>
      <c r="F682" s="3276">
        <v>1</v>
      </c>
      <c r="G682" s="3276">
        <v>0</v>
      </c>
      <c r="H682" s="3276">
        <v>1</v>
      </c>
      <c r="I682" s="3275" t="s">
        <v>3304</v>
      </c>
      <c r="J682" s="3275" t="s">
        <v>3305</v>
      </c>
      <c r="K682" s="3409">
        <v>43.08</v>
      </c>
      <c r="L682" s="3412">
        <v>31.54</v>
      </c>
      <c r="M682" s="3276"/>
      <c r="N682" s="3276"/>
      <c r="O682" s="3392"/>
      <c r="P682" s="3393"/>
      <c r="Q682" s="3393"/>
      <c r="R682" s="3276"/>
      <c r="S682" s="3276"/>
      <c r="T682" s="3239" t="str">
        <f t="shared" si="11"/>
        <v>无</v>
      </c>
    </row>
    <row r="683" spans="1:20">
      <c r="A683" s="3393">
        <v>681</v>
      </c>
      <c r="B683" s="3393">
        <v>2</v>
      </c>
      <c r="C683" s="3393">
        <v>1</v>
      </c>
      <c r="D683" s="3392">
        <v>919</v>
      </c>
      <c r="E683" s="3275">
        <v>932</v>
      </c>
      <c r="F683" s="3276">
        <v>1</v>
      </c>
      <c r="G683" s="3276">
        <v>1</v>
      </c>
      <c r="H683" s="3276">
        <v>1</v>
      </c>
      <c r="I683" s="3275" t="s">
        <v>3332</v>
      </c>
      <c r="J683" s="3275" t="s">
        <v>3335</v>
      </c>
      <c r="K683" s="3409">
        <v>55.07</v>
      </c>
      <c r="L683" s="3412">
        <v>40.32</v>
      </c>
      <c r="M683" s="3276"/>
      <c r="N683" s="3276"/>
      <c r="O683" s="3392"/>
      <c r="P683" s="3393"/>
      <c r="Q683" s="3393"/>
      <c r="R683" s="3276"/>
      <c r="S683" s="3276"/>
      <c r="T683" s="3239" t="str">
        <f t="shared" si="11"/>
        <v>有</v>
      </c>
    </row>
    <row r="684" spans="1:20" hidden="1">
      <c r="A684" s="3393">
        <v>682</v>
      </c>
      <c r="B684" s="3393">
        <v>2</v>
      </c>
      <c r="C684" s="3393">
        <v>1</v>
      </c>
      <c r="D684" s="3392">
        <v>920</v>
      </c>
      <c r="E684" s="3275">
        <v>914</v>
      </c>
      <c r="F684" s="3276">
        <v>1</v>
      </c>
      <c r="G684" s="3276">
        <v>0</v>
      </c>
      <c r="H684" s="3276">
        <v>1</v>
      </c>
      <c r="I684" s="3275" t="s">
        <v>3304</v>
      </c>
      <c r="J684" s="3275" t="s">
        <v>3305</v>
      </c>
      <c r="K684" s="3409">
        <v>43.08</v>
      </c>
      <c r="L684" s="3412">
        <v>31.54</v>
      </c>
      <c r="M684" s="3276"/>
      <c r="N684" s="3276"/>
      <c r="O684" s="3392"/>
      <c r="P684" s="3393"/>
      <c r="Q684" s="3393"/>
      <c r="R684" s="3276"/>
      <c r="S684" s="3276"/>
      <c r="T684" s="3239" t="str">
        <f t="shared" si="11"/>
        <v>无</v>
      </c>
    </row>
    <row r="685" spans="1:20">
      <c r="A685" s="3393">
        <v>683</v>
      </c>
      <c r="B685" s="3393">
        <v>2</v>
      </c>
      <c r="C685" s="3393">
        <v>1</v>
      </c>
      <c r="D685" s="3392">
        <v>921</v>
      </c>
      <c r="E685" s="3275">
        <v>933</v>
      </c>
      <c r="F685" s="3276">
        <v>1</v>
      </c>
      <c r="G685" s="3276">
        <v>1</v>
      </c>
      <c r="H685" s="3276">
        <v>1</v>
      </c>
      <c r="I685" s="3275" t="s">
        <v>3332</v>
      </c>
      <c r="J685" s="3275" t="s">
        <v>3335</v>
      </c>
      <c r="K685" s="3409">
        <v>55.07</v>
      </c>
      <c r="L685" s="3412">
        <v>40.32</v>
      </c>
      <c r="M685" s="3276"/>
      <c r="N685" s="3276"/>
      <c r="O685" s="3392"/>
      <c r="P685" s="3393"/>
      <c r="Q685" s="3393"/>
      <c r="R685" s="3276"/>
      <c r="S685" s="3276"/>
      <c r="T685" s="3239" t="str">
        <f t="shared" si="11"/>
        <v>有</v>
      </c>
    </row>
    <row r="686" spans="1:20" hidden="1">
      <c r="A686" s="3393">
        <v>684</v>
      </c>
      <c r="B686" s="3393">
        <v>2</v>
      </c>
      <c r="C686" s="3393">
        <v>1</v>
      </c>
      <c r="D686" s="3392">
        <v>922</v>
      </c>
      <c r="E686" s="3275">
        <v>913</v>
      </c>
      <c r="F686" s="3276">
        <v>1</v>
      </c>
      <c r="G686" s="3276">
        <v>0</v>
      </c>
      <c r="H686" s="3276">
        <v>1</v>
      </c>
      <c r="I686" s="3275" t="s">
        <v>3304</v>
      </c>
      <c r="J686" s="3275" t="s">
        <v>3305</v>
      </c>
      <c r="K686" s="3409">
        <v>43.08</v>
      </c>
      <c r="L686" s="3412">
        <v>31.54</v>
      </c>
      <c r="M686" s="3276"/>
      <c r="N686" s="3276"/>
      <c r="O686" s="3392"/>
      <c r="P686" s="3393"/>
      <c r="Q686" s="3393"/>
      <c r="R686" s="3276"/>
      <c r="S686" s="3276"/>
      <c r="T686" s="3239" t="str">
        <f t="shared" si="11"/>
        <v>无</v>
      </c>
    </row>
    <row r="687" spans="1:20">
      <c r="A687" s="3393">
        <v>685</v>
      </c>
      <c r="B687" s="3393">
        <v>2</v>
      </c>
      <c r="C687" s="3393">
        <v>1</v>
      </c>
      <c r="D687" s="3392">
        <v>923</v>
      </c>
      <c r="E687" s="3275">
        <v>934</v>
      </c>
      <c r="F687" s="3276">
        <v>1</v>
      </c>
      <c r="G687" s="3276">
        <v>1</v>
      </c>
      <c r="H687" s="3276">
        <v>1</v>
      </c>
      <c r="I687" s="3275" t="s">
        <v>3332</v>
      </c>
      <c r="J687" s="3275" t="s">
        <v>3335</v>
      </c>
      <c r="K687" s="3409">
        <v>55.07</v>
      </c>
      <c r="L687" s="3412">
        <v>40.32</v>
      </c>
      <c r="M687" s="3276"/>
      <c r="N687" s="3276"/>
      <c r="O687" s="3392"/>
      <c r="P687" s="3393"/>
      <c r="Q687" s="3393"/>
      <c r="R687" s="3276"/>
      <c r="S687" s="3276"/>
      <c r="T687" s="3239" t="str">
        <f t="shared" si="11"/>
        <v>有</v>
      </c>
    </row>
    <row r="688" spans="1:20" hidden="1">
      <c r="A688" s="3393">
        <v>686</v>
      </c>
      <c r="B688" s="3393">
        <v>2</v>
      </c>
      <c r="C688" s="3393">
        <v>1</v>
      </c>
      <c r="D688" s="3392">
        <v>924</v>
      </c>
      <c r="E688" s="3275">
        <v>912</v>
      </c>
      <c r="F688" s="3276">
        <v>1</v>
      </c>
      <c r="G688" s="3276">
        <v>0</v>
      </c>
      <c r="H688" s="3276">
        <v>1</v>
      </c>
      <c r="I688" s="3275" t="s">
        <v>3304</v>
      </c>
      <c r="J688" s="3275" t="s">
        <v>3305</v>
      </c>
      <c r="K688" s="3409">
        <v>43.08</v>
      </c>
      <c r="L688" s="3412">
        <v>31.54</v>
      </c>
      <c r="M688" s="3276"/>
      <c r="N688" s="3276"/>
      <c r="O688" s="3392">
        <v>2.9</v>
      </c>
      <c r="P688" s="3392" t="s">
        <v>3297</v>
      </c>
      <c r="Q688" s="3392" t="s">
        <v>3298</v>
      </c>
      <c r="R688" s="3276"/>
      <c r="S688" s="3276"/>
      <c r="T688" s="3239" t="str">
        <f t="shared" si="11"/>
        <v>无</v>
      </c>
    </row>
    <row r="689" spans="1:20">
      <c r="A689" s="3393">
        <v>687</v>
      </c>
      <c r="B689" s="3393">
        <v>2</v>
      </c>
      <c r="C689" s="3393">
        <v>1</v>
      </c>
      <c r="D689" s="3392">
        <v>925</v>
      </c>
      <c r="E689" s="3275">
        <v>935</v>
      </c>
      <c r="F689" s="3276">
        <v>1</v>
      </c>
      <c r="G689" s="3276">
        <v>1</v>
      </c>
      <c r="H689" s="3276">
        <v>1</v>
      </c>
      <c r="I689" s="3275" t="s">
        <v>3332</v>
      </c>
      <c r="J689" s="3275" t="s">
        <v>3336</v>
      </c>
      <c r="K689" s="3409">
        <v>58.13</v>
      </c>
      <c r="L689" s="3412">
        <v>42.56</v>
      </c>
      <c r="M689" s="3276"/>
      <c r="N689" s="3276"/>
      <c r="O689" s="3392"/>
      <c r="P689" s="3393"/>
      <c r="Q689" s="3393"/>
      <c r="R689" s="3276"/>
      <c r="S689" s="3276"/>
      <c r="T689" s="3239" t="str">
        <f t="shared" si="11"/>
        <v>有</v>
      </c>
    </row>
    <row r="690" spans="1:20" hidden="1">
      <c r="A690" s="3393">
        <v>688</v>
      </c>
      <c r="B690" s="3393">
        <v>2</v>
      </c>
      <c r="C690" s="3393">
        <v>1</v>
      </c>
      <c r="D690" s="3392">
        <v>926</v>
      </c>
      <c r="E690" s="3275">
        <v>911</v>
      </c>
      <c r="F690" s="3276">
        <v>1</v>
      </c>
      <c r="G690" s="3276">
        <v>0</v>
      </c>
      <c r="H690" s="3276">
        <v>1</v>
      </c>
      <c r="I690" s="3275" t="s">
        <v>3304</v>
      </c>
      <c r="J690" s="3275" t="s">
        <v>3502</v>
      </c>
      <c r="K690" s="3409">
        <v>43.68</v>
      </c>
      <c r="L690" s="3412">
        <v>31.98</v>
      </c>
      <c r="M690" s="3276"/>
      <c r="N690" s="3276"/>
      <c r="O690" s="3392"/>
      <c r="P690" s="3393"/>
      <c r="Q690" s="3393"/>
      <c r="R690" s="3276"/>
      <c r="S690" s="3276"/>
      <c r="T690" s="3239" t="str">
        <f t="shared" si="11"/>
        <v>无</v>
      </c>
    </row>
    <row r="691" spans="1:20">
      <c r="A691" s="3393">
        <v>689</v>
      </c>
      <c r="B691" s="3393">
        <v>2</v>
      </c>
      <c r="C691" s="3393">
        <v>1</v>
      </c>
      <c r="D691" s="3392">
        <v>927</v>
      </c>
      <c r="E691" s="3275">
        <v>910</v>
      </c>
      <c r="F691" s="3276">
        <v>1</v>
      </c>
      <c r="G691" s="3276">
        <v>1</v>
      </c>
      <c r="H691" s="3276">
        <v>1</v>
      </c>
      <c r="I691" s="3275" t="s">
        <v>3304</v>
      </c>
      <c r="J691" s="3275" t="s">
        <v>3325</v>
      </c>
      <c r="K691" s="3409">
        <v>54.46</v>
      </c>
      <c r="L691" s="3412">
        <v>39.869999999999997</v>
      </c>
      <c r="M691" s="3276"/>
      <c r="N691" s="3276"/>
      <c r="O691" s="3392"/>
      <c r="P691" s="3393"/>
      <c r="Q691" s="3393"/>
      <c r="R691" s="3276"/>
      <c r="S691" s="3276"/>
      <c r="T691" s="3239" t="str">
        <f t="shared" si="11"/>
        <v>有</v>
      </c>
    </row>
    <row r="692" spans="1:20">
      <c r="A692" s="3393">
        <v>690</v>
      </c>
      <c r="B692" s="3393">
        <v>2</v>
      </c>
      <c r="C692" s="3393">
        <v>1</v>
      </c>
      <c r="D692" s="3392">
        <v>928</v>
      </c>
      <c r="E692" s="3275">
        <v>936</v>
      </c>
      <c r="F692" s="3276">
        <v>1</v>
      </c>
      <c r="G692" s="3276">
        <v>1</v>
      </c>
      <c r="H692" s="3276">
        <v>1</v>
      </c>
      <c r="I692" s="3275" t="s">
        <v>3312</v>
      </c>
      <c r="J692" s="3275" t="s">
        <v>3337</v>
      </c>
      <c r="K692" s="3409">
        <v>55.21</v>
      </c>
      <c r="L692" s="3412">
        <v>40.42</v>
      </c>
      <c r="M692" s="3276"/>
      <c r="N692" s="3276"/>
      <c r="O692" s="3392"/>
      <c r="P692" s="3393"/>
      <c r="Q692" s="3393"/>
      <c r="R692" s="3276"/>
      <c r="S692" s="3276"/>
      <c r="T692" s="3239" t="str">
        <f t="shared" si="11"/>
        <v>有</v>
      </c>
    </row>
    <row r="693" spans="1:20">
      <c r="A693" s="3393">
        <v>691</v>
      </c>
      <c r="B693" s="3393">
        <v>2</v>
      </c>
      <c r="C693" s="3393">
        <v>1</v>
      </c>
      <c r="D693" s="3392">
        <v>929</v>
      </c>
      <c r="E693" s="3275">
        <v>938</v>
      </c>
      <c r="F693" s="3276">
        <v>1</v>
      </c>
      <c r="G693" s="3276">
        <v>1</v>
      </c>
      <c r="H693" s="3276">
        <v>1</v>
      </c>
      <c r="I693" s="3275" t="s">
        <v>3312</v>
      </c>
      <c r="J693" s="3275" t="s">
        <v>3338</v>
      </c>
      <c r="K693" s="3409">
        <v>54.46</v>
      </c>
      <c r="L693" s="3412">
        <v>39.869999999999997</v>
      </c>
      <c r="M693" s="3276"/>
      <c r="N693" s="3276"/>
      <c r="O693" s="3392"/>
      <c r="P693" s="3393"/>
      <c r="Q693" s="3393"/>
      <c r="R693" s="3276"/>
      <c r="S693" s="3276"/>
      <c r="T693" s="3239" t="str">
        <f t="shared" si="11"/>
        <v>有</v>
      </c>
    </row>
    <row r="694" spans="1:20">
      <c r="A694" s="3393">
        <v>692</v>
      </c>
      <c r="B694" s="3393">
        <v>2</v>
      </c>
      <c r="C694" s="3393">
        <v>1</v>
      </c>
      <c r="D694" s="3392">
        <v>930</v>
      </c>
      <c r="E694" s="3275">
        <v>937</v>
      </c>
      <c r="F694" s="3276">
        <v>1</v>
      </c>
      <c r="G694" s="3276">
        <v>1</v>
      </c>
      <c r="H694" s="3276">
        <v>1</v>
      </c>
      <c r="I694" s="3275" t="s">
        <v>3312</v>
      </c>
      <c r="J694" s="3275" t="s">
        <v>3335</v>
      </c>
      <c r="K694" s="3409">
        <v>55.07</v>
      </c>
      <c r="L694" s="3412">
        <v>40.32</v>
      </c>
      <c r="M694" s="3276"/>
      <c r="N694" s="3276"/>
      <c r="O694" s="3392"/>
      <c r="P694" s="3393"/>
      <c r="Q694" s="3393"/>
      <c r="R694" s="3276"/>
      <c r="S694" s="3276"/>
      <c r="T694" s="3239" t="str">
        <f t="shared" si="11"/>
        <v>有</v>
      </c>
    </row>
    <row r="695" spans="1:20">
      <c r="A695" s="3393">
        <v>693</v>
      </c>
      <c r="B695" s="3393">
        <v>2</v>
      </c>
      <c r="C695" s="3393">
        <v>1</v>
      </c>
      <c r="D695" s="3392">
        <v>931</v>
      </c>
      <c r="E695" s="3275">
        <v>939</v>
      </c>
      <c r="F695" s="3276">
        <v>4</v>
      </c>
      <c r="G695" s="3276">
        <v>1</v>
      </c>
      <c r="H695" s="3276">
        <v>1</v>
      </c>
      <c r="I695" s="3275" t="s">
        <v>3316</v>
      </c>
      <c r="J695" s="3275" t="s">
        <v>3319</v>
      </c>
      <c r="K695" s="3409">
        <v>103.44</v>
      </c>
      <c r="L695" s="3412">
        <v>75.73</v>
      </c>
      <c r="M695" s="3276"/>
      <c r="N695" s="3276"/>
      <c r="O695" s="3392"/>
      <c r="P695" s="3393"/>
      <c r="Q695" s="3393"/>
      <c r="R695" s="3276"/>
      <c r="S695" s="3276"/>
      <c r="T695" s="3239" t="str">
        <f t="shared" si="11"/>
        <v>有</v>
      </c>
    </row>
    <row r="696" spans="1:20">
      <c r="A696" s="3393">
        <v>694</v>
      </c>
      <c r="B696" s="3393">
        <v>2</v>
      </c>
      <c r="C696" s="3393">
        <v>1</v>
      </c>
      <c r="D696" s="3392">
        <v>932</v>
      </c>
      <c r="E696" s="3275">
        <v>909</v>
      </c>
      <c r="F696" s="3276">
        <v>1</v>
      </c>
      <c r="G696" s="3276">
        <v>1</v>
      </c>
      <c r="H696" s="3276">
        <v>1</v>
      </c>
      <c r="I696" s="3275" t="s">
        <v>3304</v>
      </c>
      <c r="J696" s="3275" t="s">
        <v>3328</v>
      </c>
      <c r="K696" s="3409">
        <v>54.58</v>
      </c>
      <c r="L696" s="3412">
        <v>39.96</v>
      </c>
      <c r="M696" s="3276"/>
      <c r="N696" s="3276"/>
      <c r="O696" s="3392"/>
      <c r="P696" s="3393"/>
      <c r="Q696" s="3393"/>
      <c r="R696" s="3276"/>
      <c r="S696" s="3276"/>
      <c r="T696" s="3239" t="str">
        <f t="shared" si="11"/>
        <v>有</v>
      </c>
    </row>
    <row r="697" spans="1:20">
      <c r="A697" s="3393">
        <v>695</v>
      </c>
      <c r="B697" s="3393">
        <v>2</v>
      </c>
      <c r="C697" s="3393">
        <v>1</v>
      </c>
      <c r="D697" s="3392">
        <v>933</v>
      </c>
      <c r="E697" s="3275">
        <v>908</v>
      </c>
      <c r="F697" s="3276">
        <v>1</v>
      </c>
      <c r="G697" s="3276">
        <v>1</v>
      </c>
      <c r="H697" s="3276">
        <v>1</v>
      </c>
      <c r="I697" s="3275" t="s">
        <v>3302</v>
      </c>
      <c r="J697" s="3275" t="s">
        <v>3311</v>
      </c>
      <c r="K697" s="3409">
        <v>52.64</v>
      </c>
      <c r="L697" s="3412">
        <v>38.54</v>
      </c>
      <c r="M697" s="3276"/>
      <c r="N697" s="3276"/>
      <c r="O697" s="3392"/>
      <c r="P697" s="3393"/>
      <c r="Q697" s="3393"/>
      <c r="R697" s="3276"/>
      <c r="S697" s="3276"/>
      <c r="T697" s="3239" t="str">
        <f t="shared" si="11"/>
        <v>有</v>
      </c>
    </row>
    <row r="698" spans="1:20">
      <c r="A698" s="3393">
        <v>696</v>
      </c>
      <c r="B698" s="3393">
        <v>2</v>
      </c>
      <c r="C698" s="3393">
        <v>1</v>
      </c>
      <c r="D698" s="3392">
        <v>934</v>
      </c>
      <c r="E698" s="3275">
        <v>907</v>
      </c>
      <c r="F698" s="3276">
        <v>2</v>
      </c>
      <c r="G698" s="3276">
        <v>1</v>
      </c>
      <c r="H698" s="3276">
        <v>1</v>
      </c>
      <c r="I698" s="3275" t="s">
        <v>3300</v>
      </c>
      <c r="J698" s="3275" t="s">
        <v>3313</v>
      </c>
      <c r="K698" s="3409">
        <v>91.88</v>
      </c>
      <c r="L698" s="3412">
        <v>67.27</v>
      </c>
      <c r="M698" s="3276"/>
      <c r="N698" s="3276"/>
      <c r="O698" s="3392"/>
      <c r="P698" s="3393"/>
      <c r="Q698" s="3393"/>
      <c r="R698" s="3276"/>
      <c r="S698" s="3276"/>
      <c r="T698" s="3239" t="str">
        <f t="shared" si="11"/>
        <v>有</v>
      </c>
    </row>
    <row r="699" spans="1:20">
      <c r="A699" s="3393">
        <v>697</v>
      </c>
      <c r="B699" s="3393">
        <v>2</v>
      </c>
      <c r="C699" s="3393">
        <v>1</v>
      </c>
      <c r="D699" s="3392">
        <v>935</v>
      </c>
      <c r="E699" s="3275">
        <v>901</v>
      </c>
      <c r="F699" s="3276">
        <v>4</v>
      </c>
      <c r="G699" s="3276">
        <v>1</v>
      </c>
      <c r="H699" s="3276">
        <v>1</v>
      </c>
      <c r="I699" s="3275" t="s">
        <v>3318</v>
      </c>
      <c r="J699" s="3275" t="s">
        <v>3317</v>
      </c>
      <c r="K699" s="3409">
        <v>103.44</v>
      </c>
      <c r="L699" s="3412">
        <v>75.73</v>
      </c>
      <c r="M699" s="3276"/>
      <c r="N699" s="3276"/>
      <c r="O699" s="3392"/>
      <c r="P699" s="3393"/>
      <c r="Q699" s="3393"/>
      <c r="R699" s="3276"/>
      <c r="S699" s="3276"/>
      <c r="T699" s="3239" t="str">
        <f t="shared" si="11"/>
        <v>有</v>
      </c>
    </row>
    <row r="700" spans="1:20">
      <c r="A700" s="3393">
        <v>698</v>
      </c>
      <c r="B700" s="3393">
        <v>2</v>
      </c>
      <c r="C700" s="3393">
        <v>1</v>
      </c>
      <c r="D700" s="3392">
        <v>936</v>
      </c>
      <c r="E700" s="3275">
        <v>904</v>
      </c>
      <c r="F700" s="3276">
        <v>1</v>
      </c>
      <c r="G700" s="3276">
        <v>1</v>
      </c>
      <c r="H700" s="3276">
        <v>1</v>
      </c>
      <c r="I700" s="3275" t="s">
        <v>3300</v>
      </c>
      <c r="J700" s="3275" t="s">
        <v>3326</v>
      </c>
      <c r="K700" s="3409">
        <v>55.07</v>
      </c>
      <c r="L700" s="3412">
        <v>40.32</v>
      </c>
      <c r="M700" s="3276"/>
      <c r="N700" s="3276"/>
      <c r="O700" s="3392"/>
      <c r="P700" s="3393"/>
      <c r="Q700" s="3393"/>
      <c r="R700" s="3276"/>
      <c r="S700" s="3276"/>
      <c r="T700" s="3239" t="str">
        <f t="shared" si="11"/>
        <v>有</v>
      </c>
    </row>
    <row r="701" spans="1:20">
      <c r="A701" s="3393">
        <v>699</v>
      </c>
      <c r="B701" s="3393">
        <v>2</v>
      </c>
      <c r="C701" s="3393">
        <v>1</v>
      </c>
      <c r="D701" s="3392">
        <v>937</v>
      </c>
      <c r="E701" s="3275">
        <v>902</v>
      </c>
      <c r="F701" s="3276">
        <v>1</v>
      </c>
      <c r="G701" s="3276">
        <v>1</v>
      </c>
      <c r="H701" s="3276">
        <v>1</v>
      </c>
      <c r="I701" s="3275" t="s">
        <v>3300</v>
      </c>
      <c r="J701" s="3275" t="s">
        <v>3324</v>
      </c>
      <c r="K701" s="3409">
        <v>56.3</v>
      </c>
      <c r="L701" s="3412">
        <v>41.22</v>
      </c>
      <c r="M701" s="3276"/>
      <c r="N701" s="3276"/>
      <c r="O701" s="3392"/>
      <c r="P701" s="3393"/>
      <c r="Q701" s="3393"/>
      <c r="R701" s="3276"/>
      <c r="S701" s="3276"/>
      <c r="T701" s="3239" t="str">
        <f t="shared" si="11"/>
        <v>有</v>
      </c>
    </row>
    <row r="702" spans="1:20">
      <c r="A702" s="3393">
        <v>700</v>
      </c>
      <c r="B702" s="3393">
        <v>2</v>
      </c>
      <c r="C702" s="3393">
        <v>1</v>
      </c>
      <c r="D702" s="3392">
        <v>938</v>
      </c>
      <c r="E702" s="3275">
        <v>903</v>
      </c>
      <c r="F702" s="3276">
        <v>1</v>
      </c>
      <c r="G702" s="3276">
        <v>1</v>
      </c>
      <c r="H702" s="3276">
        <v>1</v>
      </c>
      <c r="I702" s="3275" t="s">
        <v>3300</v>
      </c>
      <c r="J702" s="3275" t="s">
        <v>3325</v>
      </c>
      <c r="K702" s="3409">
        <v>54.46</v>
      </c>
      <c r="L702" s="3412">
        <v>39.869999999999997</v>
      </c>
      <c r="M702" s="3276"/>
      <c r="N702" s="3276"/>
      <c r="O702" s="3392"/>
      <c r="P702" s="3393"/>
      <c r="Q702" s="3393"/>
      <c r="R702" s="3276"/>
      <c r="S702" s="3276"/>
      <c r="T702" s="3239" t="str">
        <f t="shared" si="11"/>
        <v>有</v>
      </c>
    </row>
    <row r="703" spans="1:20">
      <c r="A703" s="3393">
        <v>701</v>
      </c>
      <c r="B703" s="3393">
        <v>2</v>
      </c>
      <c r="C703" s="3393">
        <v>1</v>
      </c>
      <c r="D703" s="3392">
        <v>939</v>
      </c>
      <c r="E703" s="3275">
        <v>905</v>
      </c>
      <c r="F703" s="3276">
        <v>1</v>
      </c>
      <c r="G703" s="3276">
        <v>1</v>
      </c>
      <c r="H703" s="3276">
        <v>1</v>
      </c>
      <c r="I703" s="3275" t="s">
        <v>3300</v>
      </c>
      <c r="J703" s="3275" t="s">
        <v>3326</v>
      </c>
      <c r="K703" s="3409">
        <v>55.07</v>
      </c>
      <c r="L703" s="3412">
        <v>40.32</v>
      </c>
      <c r="M703" s="3276"/>
      <c r="N703" s="3276"/>
      <c r="O703" s="3392"/>
      <c r="P703" s="3393"/>
      <c r="Q703" s="3393"/>
      <c r="R703" s="3276"/>
      <c r="S703" s="3276"/>
      <c r="T703" s="3239" t="str">
        <f t="shared" si="11"/>
        <v>有</v>
      </c>
    </row>
    <row r="704" spans="1:20">
      <c r="A704" s="3393">
        <v>702</v>
      </c>
      <c r="B704" s="3393">
        <v>2</v>
      </c>
      <c r="C704" s="3393">
        <v>1</v>
      </c>
      <c r="D704" s="3392">
        <v>940</v>
      </c>
      <c r="E704" s="3275">
        <v>906</v>
      </c>
      <c r="F704" s="3276">
        <v>1</v>
      </c>
      <c r="G704" s="3276">
        <v>1</v>
      </c>
      <c r="H704" s="3276">
        <v>1</v>
      </c>
      <c r="I704" s="3275" t="s">
        <v>3300</v>
      </c>
      <c r="J704" s="3275" t="s">
        <v>3327</v>
      </c>
      <c r="K704" s="3409">
        <v>54.59</v>
      </c>
      <c r="L704" s="3412">
        <v>39.97</v>
      </c>
      <c r="M704" s="3276"/>
      <c r="N704" s="3276"/>
      <c r="O704" s="3392"/>
      <c r="P704" s="3393"/>
      <c r="Q704" s="3393"/>
      <c r="R704" s="3276"/>
      <c r="S704" s="3276"/>
      <c r="T704" s="3239" t="str">
        <f t="shared" si="11"/>
        <v>有</v>
      </c>
    </row>
    <row r="705" spans="1:20" hidden="1">
      <c r="A705" s="3393">
        <v>703</v>
      </c>
      <c r="B705" s="3393">
        <v>2</v>
      </c>
      <c r="C705" s="3393">
        <v>1</v>
      </c>
      <c r="D705" s="3392">
        <v>1001</v>
      </c>
      <c r="E705" s="3275">
        <v>1023</v>
      </c>
      <c r="F705" s="3276">
        <v>1</v>
      </c>
      <c r="G705" s="3276">
        <v>0</v>
      </c>
      <c r="H705" s="3276">
        <v>1</v>
      </c>
      <c r="I705" s="3275" t="s">
        <v>3332</v>
      </c>
      <c r="J705" s="3275" t="s">
        <v>3500</v>
      </c>
      <c r="K705" s="3409">
        <v>48.16</v>
      </c>
      <c r="L705" s="3412">
        <v>35.26</v>
      </c>
      <c r="M705" s="3276"/>
      <c r="N705" s="3276"/>
      <c r="O705" s="3392"/>
      <c r="P705" s="3393"/>
      <c r="Q705" s="3393"/>
      <c r="R705" s="3276"/>
      <c r="S705" s="3276"/>
      <c r="T705" s="3239" t="str">
        <f t="shared" si="11"/>
        <v>无</v>
      </c>
    </row>
    <row r="706" spans="1:20" hidden="1">
      <c r="A706" s="3393">
        <v>704</v>
      </c>
      <c r="B706" s="3393">
        <v>2</v>
      </c>
      <c r="C706" s="3393">
        <v>1</v>
      </c>
      <c r="D706" s="3392">
        <v>1002</v>
      </c>
      <c r="E706" s="3275">
        <v>1022</v>
      </c>
      <c r="F706" s="3276">
        <v>1</v>
      </c>
      <c r="G706" s="3276">
        <v>0</v>
      </c>
      <c r="H706" s="3276">
        <v>1</v>
      </c>
      <c r="I706" s="3275" t="s">
        <v>3312</v>
      </c>
      <c r="J706" s="3275" t="s">
        <v>3323</v>
      </c>
      <c r="K706" s="3409">
        <v>44.28</v>
      </c>
      <c r="L706" s="3412">
        <v>32.42</v>
      </c>
      <c r="M706" s="3276"/>
      <c r="N706" s="3276"/>
      <c r="O706" s="3392"/>
      <c r="P706" s="3393"/>
      <c r="Q706" s="3393"/>
      <c r="R706" s="3276"/>
      <c r="S706" s="3276"/>
      <c r="T706" s="3239" t="str">
        <f t="shared" si="11"/>
        <v>无</v>
      </c>
    </row>
    <row r="707" spans="1:20">
      <c r="A707" s="3393">
        <v>705</v>
      </c>
      <c r="B707" s="3393">
        <v>2</v>
      </c>
      <c r="C707" s="3393">
        <v>1</v>
      </c>
      <c r="D707" s="3392">
        <v>1003</v>
      </c>
      <c r="E707" s="3275">
        <v>1021</v>
      </c>
      <c r="F707" s="3276">
        <v>1</v>
      </c>
      <c r="G707" s="3276">
        <v>1</v>
      </c>
      <c r="H707" s="3276">
        <v>1</v>
      </c>
      <c r="I707" s="3275" t="s">
        <v>3310</v>
      </c>
      <c r="J707" s="3275" t="s">
        <v>3303</v>
      </c>
      <c r="K707" s="3409">
        <v>55.34</v>
      </c>
      <c r="L707" s="3412">
        <v>40.520000000000003</v>
      </c>
      <c r="M707" s="3276"/>
      <c r="N707" s="3276"/>
      <c r="O707" s="3392"/>
      <c r="P707" s="3393"/>
      <c r="Q707" s="3393"/>
      <c r="R707" s="3276"/>
      <c r="S707" s="3276"/>
      <c r="T707" s="3239" t="str">
        <f t="shared" si="11"/>
        <v>有</v>
      </c>
    </row>
    <row r="708" spans="1:20" hidden="1">
      <c r="A708" s="3393">
        <v>706</v>
      </c>
      <c r="B708" s="3393">
        <v>2</v>
      </c>
      <c r="C708" s="3393">
        <v>1</v>
      </c>
      <c r="D708" s="3392">
        <v>1004</v>
      </c>
      <c r="E708" s="3275">
        <v>1024</v>
      </c>
      <c r="F708" s="3276">
        <v>1</v>
      </c>
      <c r="G708" s="3276">
        <v>0</v>
      </c>
      <c r="H708" s="3276">
        <v>1</v>
      </c>
      <c r="I708" s="3275" t="s">
        <v>3332</v>
      </c>
      <c r="J708" s="3275" t="s">
        <v>3501</v>
      </c>
      <c r="K708" s="3409">
        <v>47.12</v>
      </c>
      <c r="L708" s="3412">
        <v>34.5</v>
      </c>
      <c r="M708" s="3276"/>
      <c r="N708" s="3276"/>
      <c r="O708" s="3392"/>
      <c r="P708" s="3393"/>
      <c r="Q708" s="3393"/>
      <c r="R708" s="3276"/>
      <c r="S708" s="3276"/>
      <c r="T708" s="3239" t="str">
        <f t="shared" ref="T708:T771" si="12">IF(OR(J708="无障碍宿舍",J708="无障碍宿舍-01",J708="无障碍宿舍-02",J708="40平",J708="40平-01",J708="40平-02",J708="40平-03",J708="40平-04",J708="40平-06",J708="40平-07",J708="D2"),"无","有")</f>
        <v>无</v>
      </c>
    </row>
    <row r="709" spans="1:20">
      <c r="A709" s="3393">
        <v>707</v>
      </c>
      <c r="B709" s="3393">
        <v>2</v>
      </c>
      <c r="C709" s="3393">
        <v>1</v>
      </c>
      <c r="D709" s="3392">
        <v>1005</v>
      </c>
      <c r="E709" s="3275">
        <v>1025</v>
      </c>
      <c r="F709" s="3276">
        <v>1</v>
      </c>
      <c r="G709" s="3276">
        <v>1</v>
      </c>
      <c r="H709" s="3276">
        <v>1</v>
      </c>
      <c r="I709" s="3275" t="s">
        <v>3332</v>
      </c>
      <c r="J709" s="3275" t="s">
        <v>3335</v>
      </c>
      <c r="K709" s="3409">
        <v>55.07</v>
      </c>
      <c r="L709" s="3412">
        <v>40.32</v>
      </c>
      <c r="M709" s="3276"/>
      <c r="N709" s="3276"/>
      <c r="O709" s="3392"/>
      <c r="P709" s="3393"/>
      <c r="Q709" s="3393"/>
      <c r="R709" s="3276"/>
      <c r="S709" s="3276"/>
      <c r="T709" s="3239" t="str">
        <f t="shared" si="12"/>
        <v>有</v>
      </c>
    </row>
    <row r="710" spans="1:20" hidden="1">
      <c r="A710" s="3393">
        <v>708</v>
      </c>
      <c r="B710" s="3393">
        <v>2</v>
      </c>
      <c r="C710" s="3393">
        <v>1</v>
      </c>
      <c r="D710" s="3392">
        <v>1006</v>
      </c>
      <c r="E710" s="3275">
        <v>1020</v>
      </c>
      <c r="F710" s="3276">
        <v>1</v>
      </c>
      <c r="G710" s="3276">
        <v>0</v>
      </c>
      <c r="H710" s="3276">
        <v>1</v>
      </c>
      <c r="I710" s="3278" t="s">
        <v>3304</v>
      </c>
      <c r="J710" s="3275" t="s">
        <v>3305</v>
      </c>
      <c r="K710" s="3409">
        <v>43.08</v>
      </c>
      <c r="L710" s="3412">
        <v>31.54</v>
      </c>
      <c r="M710" s="3276"/>
      <c r="N710" s="3276"/>
      <c r="O710" s="3392"/>
      <c r="P710" s="3393"/>
      <c r="Q710" s="3393"/>
      <c r="R710" s="3276"/>
      <c r="S710" s="3276"/>
      <c r="T710" s="3239" t="str">
        <f t="shared" si="12"/>
        <v>无</v>
      </c>
    </row>
    <row r="711" spans="1:20" hidden="1">
      <c r="A711" s="3393">
        <v>709</v>
      </c>
      <c r="B711" s="3393">
        <v>2</v>
      </c>
      <c r="C711" s="3393">
        <v>1</v>
      </c>
      <c r="D711" s="3392">
        <v>1007</v>
      </c>
      <c r="E711" s="3275">
        <v>1019</v>
      </c>
      <c r="F711" s="3276">
        <v>1</v>
      </c>
      <c r="G711" s="3276">
        <v>0</v>
      </c>
      <c r="H711" s="3276">
        <v>1</v>
      </c>
      <c r="I711" s="3278" t="s">
        <v>3304</v>
      </c>
      <c r="J711" s="3275" t="s">
        <v>3305</v>
      </c>
      <c r="K711" s="3409">
        <v>43.08</v>
      </c>
      <c r="L711" s="3412">
        <v>31.54</v>
      </c>
      <c r="M711" s="3276"/>
      <c r="N711" s="3276"/>
      <c r="O711" s="3392"/>
      <c r="P711" s="3393"/>
      <c r="Q711" s="3393"/>
      <c r="R711" s="3276"/>
      <c r="S711" s="3276"/>
      <c r="T711" s="3239" t="str">
        <f t="shared" si="12"/>
        <v>无</v>
      </c>
    </row>
    <row r="712" spans="1:20">
      <c r="A712" s="3393">
        <v>710</v>
      </c>
      <c r="B712" s="3393">
        <v>2</v>
      </c>
      <c r="C712" s="3393">
        <v>1</v>
      </c>
      <c r="D712" s="3392">
        <v>1008</v>
      </c>
      <c r="E712" s="3275">
        <v>1026</v>
      </c>
      <c r="F712" s="3276">
        <v>1</v>
      </c>
      <c r="G712" s="3276">
        <v>1</v>
      </c>
      <c r="H712" s="3276">
        <v>1</v>
      </c>
      <c r="I712" s="3275" t="s">
        <v>3332</v>
      </c>
      <c r="J712" s="3275" t="s">
        <v>3335</v>
      </c>
      <c r="K712" s="3409">
        <v>55.07</v>
      </c>
      <c r="L712" s="3412">
        <v>40.32</v>
      </c>
      <c r="M712" s="3276"/>
      <c r="N712" s="3276"/>
      <c r="O712" s="3392"/>
      <c r="P712" s="3393"/>
      <c r="Q712" s="3393"/>
      <c r="R712" s="3276"/>
      <c r="S712" s="3276"/>
      <c r="T712" s="3239" t="str">
        <f t="shared" si="12"/>
        <v>有</v>
      </c>
    </row>
    <row r="713" spans="1:20" hidden="1">
      <c r="A713" s="3393">
        <v>711</v>
      </c>
      <c r="B713" s="3393">
        <v>2</v>
      </c>
      <c r="C713" s="3393">
        <v>1</v>
      </c>
      <c r="D713" s="3392">
        <v>1009</v>
      </c>
      <c r="E713" s="3275">
        <v>1018</v>
      </c>
      <c r="F713" s="3276">
        <v>1</v>
      </c>
      <c r="G713" s="3276">
        <v>0</v>
      </c>
      <c r="H713" s="3276">
        <v>1</v>
      </c>
      <c r="I713" s="3278" t="s">
        <v>3304</v>
      </c>
      <c r="J713" s="3275" t="s">
        <v>3306</v>
      </c>
      <c r="K713" s="3409">
        <v>44.06</v>
      </c>
      <c r="L713" s="3412">
        <v>32.26</v>
      </c>
      <c r="M713" s="3276"/>
      <c r="N713" s="3276"/>
      <c r="O713" s="3392"/>
      <c r="P713" s="3393"/>
      <c r="Q713" s="3393"/>
      <c r="R713" s="3276"/>
      <c r="S713" s="3276"/>
      <c r="T713" s="3239" t="str">
        <f t="shared" si="12"/>
        <v>无</v>
      </c>
    </row>
    <row r="714" spans="1:20">
      <c r="A714" s="3393">
        <v>712</v>
      </c>
      <c r="B714" s="3393">
        <v>2</v>
      </c>
      <c r="C714" s="3393">
        <v>1</v>
      </c>
      <c r="D714" s="3392">
        <v>1010</v>
      </c>
      <c r="E714" s="3275">
        <v>1027</v>
      </c>
      <c r="F714" s="3276">
        <v>1</v>
      </c>
      <c r="G714" s="3276">
        <v>1</v>
      </c>
      <c r="H714" s="3276">
        <v>1</v>
      </c>
      <c r="I714" s="3275" t="s">
        <v>3332</v>
      </c>
      <c r="J714" s="3275" t="s">
        <v>3335</v>
      </c>
      <c r="K714" s="3409">
        <v>55.07</v>
      </c>
      <c r="L714" s="3412">
        <v>40.32</v>
      </c>
      <c r="M714" s="3276"/>
      <c r="N714" s="3276"/>
      <c r="O714" s="3392"/>
      <c r="P714" s="3393"/>
      <c r="Q714" s="3393"/>
      <c r="R714" s="3276"/>
      <c r="S714" s="3276"/>
      <c r="T714" s="3239" t="str">
        <f t="shared" si="12"/>
        <v>有</v>
      </c>
    </row>
    <row r="715" spans="1:20">
      <c r="A715" s="3393">
        <v>713</v>
      </c>
      <c r="B715" s="3393">
        <v>2</v>
      </c>
      <c r="C715" s="3393">
        <v>1</v>
      </c>
      <c r="D715" s="3392">
        <v>1011</v>
      </c>
      <c r="E715" s="3275">
        <v>1028</v>
      </c>
      <c r="F715" s="3276">
        <v>1</v>
      </c>
      <c r="G715" s="3276">
        <v>1</v>
      </c>
      <c r="H715" s="3276">
        <v>1</v>
      </c>
      <c r="I715" s="3275" t="s">
        <v>3332</v>
      </c>
      <c r="J715" s="3275" t="s">
        <v>3335</v>
      </c>
      <c r="K715" s="3409">
        <v>55.07</v>
      </c>
      <c r="L715" s="3412">
        <v>40.32</v>
      </c>
      <c r="M715" s="3276"/>
      <c r="N715" s="3276"/>
      <c r="O715" s="3392"/>
      <c r="P715" s="3393"/>
      <c r="Q715" s="3393"/>
      <c r="R715" s="3276"/>
      <c r="S715" s="3276"/>
      <c r="T715" s="3239" t="str">
        <f t="shared" si="12"/>
        <v>有</v>
      </c>
    </row>
    <row r="716" spans="1:20">
      <c r="A716" s="3393">
        <v>714</v>
      </c>
      <c r="B716" s="3393">
        <v>2</v>
      </c>
      <c r="C716" s="3393">
        <v>1</v>
      </c>
      <c r="D716" s="3392">
        <v>1012</v>
      </c>
      <c r="E716" s="3275">
        <v>1029</v>
      </c>
      <c r="F716" s="3276">
        <v>1</v>
      </c>
      <c r="G716" s="3276">
        <v>1</v>
      </c>
      <c r="H716" s="3276">
        <v>1</v>
      </c>
      <c r="I716" s="3275" t="s">
        <v>3332</v>
      </c>
      <c r="J716" s="3275" t="s">
        <v>3335</v>
      </c>
      <c r="K716" s="3409">
        <v>55.07</v>
      </c>
      <c r="L716" s="3412">
        <v>40.32</v>
      </c>
      <c r="M716" s="3276"/>
      <c r="N716" s="3276"/>
      <c r="O716" s="3392"/>
      <c r="P716" s="3393"/>
      <c r="Q716" s="3393"/>
      <c r="R716" s="3276"/>
      <c r="S716" s="3276"/>
      <c r="T716" s="3239" t="str">
        <f t="shared" si="12"/>
        <v>有</v>
      </c>
    </row>
    <row r="717" spans="1:20">
      <c r="A717" s="3393">
        <v>715</v>
      </c>
      <c r="B717" s="3393">
        <v>2</v>
      </c>
      <c r="C717" s="3393">
        <v>1</v>
      </c>
      <c r="D717" s="3392">
        <v>1014</v>
      </c>
      <c r="E717" s="3275">
        <v>1030</v>
      </c>
      <c r="F717" s="3276">
        <v>1</v>
      </c>
      <c r="G717" s="3276">
        <v>1</v>
      </c>
      <c r="H717" s="3276">
        <v>1</v>
      </c>
      <c r="I717" s="3275" t="s">
        <v>3332</v>
      </c>
      <c r="J717" s="3275" t="s">
        <v>3335</v>
      </c>
      <c r="K717" s="3409">
        <v>55.07</v>
      </c>
      <c r="L717" s="3412">
        <v>40.32</v>
      </c>
      <c r="M717" s="3276"/>
      <c r="N717" s="3276"/>
      <c r="O717" s="3392"/>
      <c r="P717" s="3393"/>
      <c r="Q717" s="3393"/>
      <c r="R717" s="3276"/>
      <c r="S717" s="3276"/>
      <c r="T717" s="3239" t="str">
        <f t="shared" si="12"/>
        <v>有</v>
      </c>
    </row>
    <row r="718" spans="1:20" hidden="1">
      <c r="A718" s="3393">
        <v>716</v>
      </c>
      <c r="B718" s="3393">
        <v>2</v>
      </c>
      <c r="C718" s="3393">
        <v>1</v>
      </c>
      <c r="D718" s="3392">
        <v>1015</v>
      </c>
      <c r="E718" s="3275">
        <v>1017</v>
      </c>
      <c r="F718" s="3276">
        <v>1</v>
      </c>
      <c r="G718" s="3276">
        <v>0</v>
      </c>
      <c r="H718" s="3276">
        <v>1</v>
      </c>
      <c r="I718" s="3278" t="s">
        <v>3304</v>
      </c>
      <c r="J718" s="3275" t="s">
        <v>3306</v>
      </c>
      <c r="K718" s="3409">
        <v>44.06</v>
      </c>
      <c r="L718" s="3412">
        <v>32.26</v>
      </c>
      <c r="M718" s="3276"/>
      <c r="N718" s="3276"/>
      <c r="O718" s="3392"/>
      <c r="P718" s="3393"/>
      <c r="Q718" s="3393"/>
      <c r="R718" s="3276"/>
      <c r="S718" s="3276"/>
      <c r="T718" s="3239" t="str">
        <f t="shared" si="12"/>
        <v>无</v>
      </c>
    </row>
    <row r="719" spans="1:20">
      <c r="A719" s="3393">
        <v>717</v>
      </c>
      <c r="B719" s="3393">
        <v>2</v>
      </c>
      <c r="C719" s="3393">
        <v>1</v>
      </c>
      <c r="D719" s="3392">
        <v>1016</v>
      </c>
      <c r="E719" s="3275">
        <v>1031</v>
      </c>
      <c r="F719" s="3276">
        <v>1</v>
      </c>
      <c r="G719" s="3276">
        <v>1</v>
      </c>
      <c r="H719" s="3276">
        <v>1</v>
      </c>
      <c r="I719" s="3275" t="s">
        <v>3332</v>
      </c>
      <c r="J719" s="3275" t="s">
        <v>3335</v>
      </c>
      <c r="K719" s="3409">
        <v>55.07</v>
      </c>
      <c r="L719" s="3412">
        <v>40.32</v>
      </c>
      <c r="M719" s="3276"/>
      <c r="N719" s="3276"/>
      <c r="O719" s="3392"/>
      <c r="P719" s="3393"/>
      <c r="Q719" s="3393"/>
      <c r="R719" s="3276"/>
      <c r="S719" s="3276"/>
      <c r="T719" s="3239" t="str">
        <f t="shared" si="12"/>
        <v>有</v>
      </c>
    </row>
    <row r="720" spans="1:20" hidden="1">
      <c r="A720" s="3393">
        <v>718</v>
      </c>
      <c r="B720" s="3393">
        <v>2</v>
      </c>
      <c r="C720" s="3393">
        <v>1</v>
      </c>
      <c r="D720" s="3392">
        <v>1017</v>
      </c>
      <c r="E720" s="3275">
        <v>1016</v>
      </c>
      <c r="F720" s="3276">
        <v>1</v>
      </c>
      <c r="G720" s="3276">
        <v>0</v>
      </c>
      <c r="H720" s="3276">
        <v>1</v>
      </c>
      <c r="I720" s="3278" t="s">
        <v>3304</v>
      </c>
      <c r="J720" s="3275" t="s">
        <v>3305</v>
      </c>
      <c r="K720" s="3409">
        <v>43.08</v>
      </c>
      <c r="L720" s="3412">
        <v>31.54</v>
      </c>
      <c r="M720" s="3276"/>
      <c r="N720" s="3276"/>
      <c r="O720" s="3392"/>
      <c r="P720" s="3393"/>
      <c r="Q720" s="3393"/>
      <c r="R720" s="3276"/>
      <c r="S720" s="3276"/>
      <c r="T720" s="3239" t="str">
        <f t="shared" si="12"/>
        <v>无</v>
      </c>
    </row>
    <row r="721" spans="1:20" hidden="1">
      <c r="A721" s="3393">
        <v>719</v>
      </c>
      <c r="B721" s="3393">
        <v>2</v>
      </c>
      <c r="C721" s="3393">
        <v>1</v>
      </c>
      <c r="D721" s="3392">
        <v>1018</v>
      </c>
      <c r="E721" s="3275">
        <v>1015</v>
      </c>
      <c r="F721" s="3276">
        <v>1</v>
      </c>
      <c r="G721" s="3276">
        <v>0</v>
      </c>
      <c r="H721" s="3276">
        <v>1</v>
      </c>
      <c r="I721" s="3275" t="s">
        <v>3304</v>
      </c>
      <c r="J721" s="3275" t="s">
        <v>3305</v>
      </c>
      <c r="K721" s="3409">
        <v>43.08</v>
      </c>
      <c r="L721" s="3412">
        <v>31.54</v>
      </c>
      <c r="M721" s="3276"/>
      <c r="N721" s="3276"/>
      <c r="O721" s="3392"/>
      <c r="P721" s="3393"/>
      <c r="Q721" s="3393"/>
      <c r="R721" s="3276"/>
      <c r="S721" s="3276"/>
      <c r="T721" s="3239" t="str">
        <f t="shared" si="12"/>
        <v>无</v>
      </c>
    </row>
    <row r="722" spans="1:20">
      <c r="A722" s="3393">
        <v>720</v>
      </c>
      <c r="B722" s="3393">
        <v>2</v>
      </c>
      <c r="C722" s="3393">
        <v>1</v>
      </c>
      <c r="D722" s="3392">
        <v>1019</v>
      </c>
      <c r="E722" s="3275">
        <v>1032</v>
      </c>
      <c r="F722" s="3276">
        <v>1</v>
      </c>
      <c r="G722" s="3276">
        <v>1</v>
      </c>
      <c r="H722" s="3276">
        <v>1</v>
      </c>
      <c r="I722" s="3275" t="s">
        <v>3332</v>
      </c>
      <c r="J722" s="3275" t="s">
        <v>3335</v>
      </c>
      <c r="K722" s="3409">
        <v>55.07</v>
      </c>
      <c r="L722" s="3412">
        <v>40.32</v>
      </c>
      <c r="M722" s="3276"/>
      <c r="N722" s="3276"/>
      <c r="O722" s="3392"/>
      <c r="P722" s="3393"/>
      <c r="Q722" s="3393"/>
      <c r="R722" s="3276"/>
      <c r="S722" s="3276"/>
      <c r="T722" s="3239" t="str">
        <f t="shared" si="12"/>
        <v>有</v>
      </c>
    </row>
    <row r="723" spans="1:20" hidden="1">
      <c r="A723" s="3393">
        <v>721</v>
      </c>
      <c r="B723" s="3393">
        <v>2</v>
      </c>
      <c r="C723" s="3393">
        <v>1</v>
      </c>
      <c r="D723" s="3392">
        <v>1020</v>
      </c>
      <c r="E723" s="3275">
        <v>1014</v>
      </c>
      <c r="F723" s="3276">
        <v>1</v>
      </c>
      <c r="G723" s="3276">
        <v>0</v>
      </c>
      <c r="H723" s="3276">
        <v>1</v>
      </c>
      <c r="I723" s="3275" t="s">
        <v>3304</v>
      </c>
      <c r="J723" s="3275" t="s">
        <v>3305</v>
      </c>
      <c r="K723" s="3409">
        <v>43.08</v>
      </c>
      <c r="L723" s="3412">
        <v>31.54</v>
      </c>
      <c r="M723" s="3276"/>
      <c r="N723" s="3276"/>
      <c r="O723" s="3392"/>
      <c r="P723" s="3393"/>
      <c r="Q723" s="3393"/>
      <c r="R723" s="3276"/>
      <c r="S723" s="3276"/>
      <c r="T723" s="3239" t="str">
        <f t="shared" si="12"/>
        <v>无</v>
      </c>
    </row>
    <row r="724" spans="1:20">
      <c r="A724" s="3393">
        <v>722</v>
      </c>
      <c r="B724" s="3393">
        <v>2</v>
      </c>
      <c r="C724" s="3393">
        <v>1</v>
      </c>
      <c r="D724" s="3392">
        <v>1021</v>
      </c>
      <c r="E724" s="3275">
        <v>1033</v>
      </c>
      <c r="F724" s="3276">
        <v>1</v>
      </c>
      <c r="G724" s="3276">
        <v>1</v>
      </c>
      <c r="H724" s="3276">
        <v>1</v>
      </c>
      <c r="I724" s="3275" t="s">
        <v>3332</v>
      </c>
      <c r="J724" s="3275" t="s">
        <v>3335</v>
      </c>
      <c r="K724" s="3409">
        <v>55.07</v>
      </c>
      <c r="L724" s="3412">
        <v>40.32</v>
      </c>
      <c r="M724" s="3276"/>
      <c r="N724" s="3276"/>
      <c r="O724" s="3392"/>
      <c r="P724" s="3393"/>
      <c r="Q724" s="3393"/>
      <c r="R724" s="3276"/>
      <c r="S724" s="3276"/>
      <c r="T724" s="3239" t="str">
        <f t="shared" si="12"/>
        <v>有</v>
      </c>
    </row>
    <row r="725" spans="1:20" hidden="1">
      <c r="A725" s="3393">
        <v>723</v>
      </c>
      <c r="B725" s="3393">
        <v>2</v>
      </c>
      <c r="C725" s="3393">
        <v>1</v>
      </c>
      <c r="D725" s="3392">
        <v>1022</v>
      </c>
      <c r="E725" s="3275">
        <v>1013</v>
      </c>
      <c r="F725" s="3276">
        <v>1</v>
      </c>
      <c r="G725" s="3276">
        <v>0</v>
      </c>
      <c r="H725" s="3276">
        <v>1</v>
      </c>
      <c r="I725" s="3275" t="s">
        <v>3304</v>
      </c>
      <c r="J725" s="3275" t="s">
        <v>3305</v>
      </c>
      <c r="K725" s="3409">
        <v>43.08</v>
      </c>
      <c r="L725" s="3412">
        <v>31.54</v>
      </c>
      <c r="M725" s="3276"/>
      <c r="N725" s="3276"/>
      <c r="O725" s="3392"/>
      <c r="P725" s="3393"/>
      <c r="Q725" s="3393"/>
      <c r="R725" s="3276"/>
      <c r="S725" s="3276"/>
      <c r="T725" s="3239" t="str">
        <f t="shared" si="12"/>
        <v>无</v>
      </c>
    </row>
    <row r="726" spans="1:20">
      <c r="A726" s="3393">
        <v>724</v>
      </c>
      <c r="B726" s="3393">
        <v>2</v>
      </c>
      <c r="C726" s="3393">
        <v>1</v>
      </c>
      <c r="D726" s="3392">
        <v>1023</v>
      </c>
      <c r="E726" s="3275">
        <v>1034</v>
      </c>
      <c r="F726" s="3276">
        <v>1</v>
      </c>
      <c r="G726" s="3276">
        <v>1</v>
      </c>
      <c r="H726" s="3276">
        <v>1</v>
      </c>
      <c r="I726" s="3275" t="s">
        <v>3332</v>
      </c>
      <c r="J726" s="3275" t="s">
        <v>3335</v>
      </c>
      <c r="K726" s="3409">
        <v>55.07</v>
      </c>
      <c r="L726" s="3412">
        <v>40.32</v>
      </c>
      <c r="M726" s="3276"/>
      <c r="N726" s="3276"/>
      <c r="O726" s="3392"/>
      <c r="P726" s="3393"/>
      <c r="Q726" s="3393"/>
      <c r="R726" s="3276"/>
      <c r="S726" s="3276"/>
      <c r="T726" s="3239" t="str">
        <f t="shared" si="12"/>
        <v>有</v>
      </c>
    </row>
    <row r="727" spans="1:20" hidden="1">
      <c r="A727" s="3393">
        <v>725</v>
      </c>
      <c r="B727" s="3393">
        <v>2</v>
      </c>
      <c r="C727" s="3393">
        <v>1</v>
      </c>
      <c r="D727" s="3392">
        <v>1024</v>
      </c>
      <c r="E727" s="3275">
        <v>1012</v>
      </c>
      <c r="F727" s="3276">
        <v>1</v>
      </c>
      <c r="G727" s="3276">
        <v>0</v>
      </c>
      <c r="H727" s="3276">
        <v>1</v>
      </c>
      <c r="I727" s="3275" t="s">
        <v>3304</v>
      </c>
      <c r="J727" s="3275" t="s">
        <v>3305</v>
      </c>
      <c r="K727" s="3409">
        <v>43.08</v>
      </c>
      <c r="L727" s="3412">
        <v>31.54</v>
      </c>
      <c r="M727" s="3276"/>
      <c r="N727" s="3276"/>
      <c r="O727" s="3392">
        <v>2.9</v>
      </c>
      <c r="P727" s="3392" t="s">
        <v>3297</v>
      </c>
      <c r="Q727" s="3392" t="s">
        <v>3298</v>
      </c>
      <c r="R727" s="3276"/>
      <c r="S727" s="3276"/>
      <c r="T727" s="3239" t="str">
        <f t="shared" si="12"/>
        <v>无</v>
      </c>
    </row>
    <row r="728" spans="1:20">
      <c r="A728" s="3393">
        <v>726</v>
      </c>
      <c r="B728" s="3393">
        <v>2</v>
      </c>
      <c r="C728" s="3393">
        <v>1</v>
      </c>
      <c r="D728" s="3392">
        <v>1025</v>
      </c>
      <c r="E728" s="3275">
        <v>1035</v>
      </c>
      <c r="F728" s="3276">
        <v>1</v>
      </c>
      <c r="G728" s="3276">
        <v>1</v>
      </c>
      <c r="H728" s="3276">
        <v>1</v>
      </c>
      <c r="I728" s="3275" t="s">
        <v>3332</v>
      </c>
      <c r="J728" s="3275" t="s">
        <v>3336</v>
      </c>
      <c r="K728" s="3409">
        <v>58.13</v>
      </c>
      <c r="L728" s="3412">
        <v>42.56</v>
      </c>
      <c r="M728" s="3276"/>
      <c r="N728" s="3276"/>
      <c r="O728" s="3392"/>
      <c r="P728" s="3393"/>
      <c r="Q728" s="3393"/>
      <c r="R728" s="3276"/>
      <c r="S728" s="3276"/>
      <c r="T728" s="3239" t="str">
        <f t="shared" si="12"/>
        <v>有</v>
      </c>
    </row>
    <row r="729" spans="1:20" hidden="1">
      <c r="A729" s="3393">
        <v>727</v>
      </c>
      <c r="B729" s="3393">
        <v>2</v>
      </c>
      <c r="C729" s="3393">
        <v>1</v>
      </c>
      <c r="D729" s="3392">
        <v>1026</v>
      </c>
      <c r="E729" s="3275">
        <v>1011</v>
      </c>
      <c r="F729" s="3276">
        <v>1</v>
      </c>
      <c r="G729" s="3276">
        <v>0</v>
      </c>
      <c r="H729" s="3276">
        <v>1</v>
      </c>
      <c r="I729" s="3275" t="s">
        <v>3304</v>
      </c>
      <c r="J729" s="3275" t="s">
        <v>3502</v>
      </c>
      <c r="K729" s="3409">
        <v>43.68</v>
      </c>
      <c r="L729" s="3412">
        <v>31.98</v>
      </c>
      <c r="M729" s="3276"/>
      <c r="N729" s="3276"/>
      <c r="O729" s="3392"/>
      <c r="P729" s="3393"/>
      <c r="Q729" s="3393"/>
      <c r="R729" s="3276"/>
      <c r="S729" s="3276"/>
      <c r="T729" s="3239" t="str">
        <f t="shared" si="12"/>
        <v>无</v>
      </c>
    </row>
    <row r="730" spans="1:20">
      <c r="A730" s="3393">
        <v>728</v>
      </c>
      <c r="B730" s="3393">
        <v>2</v>
      </c>
      <c r="C730" s="3393">
        <v>1</v>
      </c>
      <c r="D730" s="3392">
        <v>1027</v>
      </c>
      <c r="E730" s="3275">
        <v>1010</v>
      </c>
      <c r="F730" s="3276">
        <v>1</v>
      </c>
      <c r="G730" s="3276">
        <v>1</v>
      </c>
      <c r="H730" s="3276">
        <v>1</v>
      </c>
      <c r="I730" s="3275" t="s">
        <v>3304</v>
      </c>
      <c r="J730" s="3275" t="s">
        <v>3325</v>
      </c>
      <c r="K730" s="3409">
        <v>54.46</v>
      </c>
      <c r="L730" s="3412">
        <v>39.869999999999997</v>
      </c>
      <c r="M730" s="3276"/>
      <c r="N730" s="3276"/>
      <c r="O730" s="3392"/>
      <c r="P730" s="3393"/>
      <c r="Q730" s="3393"/>
      <c r="R730" s="3276"/>
      <c r="S730" s="3276"/>
      <c r="T730" s="3239" t="str">
        <f t="shared" si="12"/>
        <v>有</v>
      </c>
    </row>
    <row r="731" spans="1:20">
      <c r="A731" s="3393">
        <v>729</v>
      </c>
      <c r="B731" s="3393">
        <v>2</v>
      </c>
      <c r="C731" s="3393">
        <v>1</v>
      </c>
      <c r="D731" s="3392">
        <v>1028</v>
      </c>
      <c r="E731" s="3275">
        <v>1036</v>
      </c>
      <c r="F731" s="3276">
        <v>1</v>
      </c>
      <c r="G731" s="3276">
        <v>1</v>
      </c>
      <c r="H731" s="3276">
        <v>1</v>
      </c>
      <c r="I731" s="3275" t="s">
        <v>3312</v>
      </c>
      <c r="J731" s="3275" t="s">
        <v>3337</v>
      </c>
      <c r="K731" s="3409">
        <v>55.21</v>
      </c>
      <c r="L731" s="3412">
        <v>40.42</v>
      </c>
      <c r="M731" s="3276"/>
      <c r="N731" s="3276"/>
      <c r="O731" s="3392"/>
      <c r="P731" s="3393"/>
      <c r="Q731" s="3393"/>
      <c r="R731" s="3276"/>
      <c r="S731" s="3276"/>
      <c r="T731" s="3239" t="str">
        <f t="shared" si="12"/>
        <v>有</v>
      </c>
    </row>
    <row r="732" spans="1:20">
      <c r="A732" s="3393">
        <v>730</v>
      </c>
      <c r="B732" s="3393">
        <v>2</v>
      </c>
      <c r="C732" s="3393">
        <v>1</v>
      </c>
      <c r="D732" s="3392">
        <v>1029</v>
      </c>
      <c r="E732" s="3275">
        <v>1038</v>
      </c>
      <c r="F732" s="3276">
        <v>1</v>
      </c>
      <c r="G732" s="3276">
        <v>1</v>
      </c>
      <c r="H732" s="3276">
        <v>1</v>
      </c>
      <c r="I732" s="3275" t="s">
        <v>3312</v>
      </c>
      <c r="J732" s="3275" t="s">
        <v>3338</v>
      </c>
      <c r="K732" s="3409">
        <v>54.46</v>
      </c>
      <c r="L732" s="3412">
        <v>39.869999999999997</v>
      </c>
      <c r="M732" s="3276"/>
      <c r="N732" s="3276"/>
      <c r="O732" s="3392"/>
      <c r="P732" s="3393"/>
      <c r="Q732" s="3393"/>
      <c r="R732" s="3276"/>
      <c r="S732" s="3276"/>
      <c r="T732" s="3239" t="str">
        <f t="shared" si="12"/>
        <v>有</v>
      </c>
    </row>
    <row r="733" spans="1:20">
      <c r="A733" s="3393">
        <v>731</v>
      </c>
      <c r="B733" s="3393">
        <v>2</v>
      </c>
      <c r="C733" s="3393">
        <v>1</v>
      </c>
      <c r="D733" s="3392">
        <v>1030</v>
      </c>
      <c r="E733" s="3275">
        <v>1037</v>
      </c>
      <c r="F733" s="3276">
        <v>1</v>
      </c>
      <c r="G733" s="3276">
        <v>1</v>
      </c>
      <c r="H733" s="3276">
        <v>1</v>
      </c>
      <c r="I733" s="3275" t="s">
        <v>3312</v>
      </c>
      <c r="J733" s="3275" t="s">
        <v>3335</v>
      </c>
      <c r="K733" s="3409">
        <v>55.07</v>
      </c>
      <c r="L733" s="3412">
        <v>40.32</v>
      </c>
      <c r="M733" s="3276"/>
      <c r="N733" s="3276"/>
      <c r="O733" s="3392"/>
      <c r="P733" s="3393"/>
      <c r="Q733" s="3393"/>
      <c r="R733" s="3276"/>
      <c r="S733" s="3276"/>
      <c r="T733" s="3239" t="str">
        <f t="shared" si="12"/>
        <v>有</v>
      </c>
    </row>
    <row r="734" spans="1:20">
      <c r="A734" s="3393">
        <v>732</v>
      </c>
      <c r="B734" s="3393">
        <v>2</v>
      </c>
      <c r="C734" s="3393">
        <v>1</v>
      </c>
      <c r="D734" s="3392">
        <v>1031</v>
      </c>
      <c r="E734" s="3275">
        <v>1039</v>
      </c>
      <c r="F734" s="3276">
        <v>4</v>
      </c>
      <c r="G734" s="3276">
        <v>1</v>
      </c>
      <c r="H734" s="3276">
        <v>1</v>
      </c>
      <c r="I734" s="3275" t="s">
        <v>3316</v>
      </c>
      <c r="J734" s="3275" t="s">
        <v>3319</v>
      </c>
      <c r="K734" s="3409">
        <v>103.44</v>
      </c>
      <c r="L734" s="3412">
        <v>75.73</v>
      </c>
      <c r="M734" s="3276"/>
      <c r="N734" s="3276"/>
      <c r="O734" s="3392"/>
      <c r="P734" s="3393"/>
      <c r="Q734" s="3393"/>
      <c r="R734" s="3276"/>
      <c r="S734" s="3276"/>
      <c r="T734" s="3239" t="str">
        <f t="shared" si="12"/>
        <v>有</v>
      </c>
    </row>
    <row r="735" spans="1:20">
      <c r="A735" s="3393">
        <v>733</v>
      </c>
      <c r="B735" s="3393">
        <v>2</v>
      </c>
      <c r="C735" s="3393">
        <v>1</v>
      </c>
      <c r="D735" s="3392">
        <v>1032</v>
      </c>
      <c r="E735" s="3275">
        <v>1009</v>
      </c>
      <c r="F735" s="3276">
        <v>1</v>
      </c>
      <c r="G735" s="3276">
        <v>1</v>
      </c>
      <c r="H735" s="3276">
        <v>1</v>
      </c>
      <c r="I735" s="3275" t="s">
        <v>3304</v>
      </c>
      <c r="J735" s="3275" t="s">
        <v>3328</v>
      </c>
      <c r="K735" s="3409">
        <v>54.58</v>
      </c>
      <c r="L735" s="3412">
        <v>39.96</v>
      </c>
      <c r="M735" s="3276"/>
      <c r="N735" s="3276"/>
      <c r="O735" s="3392"/>
      <c r="P735" s="3393"/>
      <c r="Q735" s="3393"/>
      <c r="R735" s="3276"/>
      <c r="S735" s="3276"/>
      <c r="T735" s="3239" t="str">
        <f t="shared" si="12"/>
        <v>有</v>
      </c>
    </row>
    <row r="736" spans="1:20">
      <c r="A736" s="3393">
        <v>734</v>
      </c>
      <c r="B736" s="3393">
        <v>2</v>
      </c>
      <c r="C736" s="3393">
        <v>1</v>
      </c>
      <c r="D736" s="3392">
        <v>1033</v>
      </c>
      <c r="E736" s="3275">
        <v>1008</v>
      </c>
      <c r="F736" s="3276">
        <v>1</v>
      </c>
      <c r="G736" s="3276">
        <v>1</v>
      </c>
      <c r="H736" s="3276">
        <v>1</v>
      </c>
      <c r="I736" s="3275" t="s">
        <v>3302</v>
      </c>
      <c r="J736" s="3275" t="s">
        <v>3311</v>
      </c>
      <c r="K736" s="3409">
        <v>52.64</v>
      </c>
      <c r="L736" s="3412">
        <v>38.54</v>
      </c>
      <c r="M736" s="3276"/>
      <c r="N736" s="3276"/>
      <c r="O736" s="3392"/>
      <c r="P736" s="3393"/>
      <c r="Q736" s="3393"/>
      <c r="R736" s="3276"/>
      <c r="S736" s="3276"/>
      <c r="T736" s="3239" t="str">
        <f t="shared" si="12"/>
        <v>有</v>
      </c>
    </row>
    <row r="737" spans="1:20">
      <c r="A737" s="3393">
        <v>735</v>
      </c>
      <c r="B737" s="3393">
        <v>2</v>
      </c>
      <c r="C737" s="3393">
        <v>1</v>
      </c>
      <c r="D737" s="3392">
        <v>1034</v>
      </c>
      <c r="E737" s="3275">
        <v>1007</v>
      </c>
      <c r="F737" s="3276">
        <v>2</v>
      </c>
      <c r="G737" s="3276">
        <v>1</v>
      </c>
      <c r="H737" s="3276">
        <v>1</v>
      </c>
      <c r="I737" s="3275" t="s">
        <v>3300</v>
      </c>
      <c r="J737" s="3275" t="s">
        <v>3313</v>
      </c>
      <c r="K737" s="3409">
        <v>91.88</v>
      </c>
      <c r="L737" s="3412">
        <v>67.27</v>
      </c>
      <c r="M737" s="3276"/>
      <c r="N737" s="3276"/>
      <c r="O737" s="3392"/>
      <c r="P737" s="3393"/>
      <c r="Q737" s="3393"/>
      <c r="R737" s="3276"/>
      <c r="S737" s="3276"/>
      <c r="T737" s="3239" t="str">
        <f t="shared" si="12"/>
        <v>有</v>
      </c>
    </row>
    <row r="738" spans="1:20">
      <c r="A738" s="3393">
        <v>736</v>
      </c>
      <c r="B738" s="3393">
        <v>2</v>
      </c>
      <c r="C738" s="3393">
        <v>1</v>
      </c>
      <c r="D738" s="3392">
        <v>1035</v>
      </c>
      <c r="E738" s="3275">
        <v>1001</v>
      </c>
      <c r="F738" s="3276">
        <v>4</v>
      </c>
      <c r="G738" s="3276">
        <v>1</v>
      </c>
      <c r="H738" s="3276">
        <v>1</v>
      </c>
      <c r="I738" s="3275" t="s">
        <v>3318</v>
      </c>
      <c r="J738" s="3275" t="s">
        <v>3317</v>
      </c>
      <c r="K738" s="3409">
        <v>103.44</v>
      </c>
      <c r="L738" s="3412">
        <v>75.73</v>
      </c>
      <c r="M738" s="3276"/>
      <c r="N738" s="3276"/>
      <c r="O738" s="3392"/>
      <c r="P738" s="3393"/>
      <c r="Q738" s="3393"/>
      <c r="R738" s="3276"/>
      <c r="S738" s="3276"/>
      <c r="T738" s="3239" t="str">
        <f t="shared" si="12"/>
        <v>有</v>
      </c>
    </row>
    <row r="739" spans="1:20">
      <c r="A739" s="3393">
        <v>737</v>
      </c>
      <c r="B739" s="3393">
        <v>2</v>
      </c>
      <c r="C739" s="3393">
        <v>1</v>
      </c>
      <c r="D739" s="3392">
        <v>1036</v>
      </c>
      <c r="E739" s="3275">
        <v>1004</v>
      </c>
      <c r="F739" s="3276">
        <v>1</v>
      </c>
      <c r="G739" s="3276">
        <v>1</v>
      </c>
      <c r="H739" s="3276">
        <v>1</v>
      </c>
      <c r="I739" s="3275" t="s">
        <v>3300</v>
      </c>
      <c r="J739" s="3275" t="s">
        <v>3326</v>
      </c>
      <c r="K739" s="3409">
        <v>55.07</v>
      </c>
      <c r="L739" s="3412">
        <v>40.32</v>
      </c>
      <c r="M739" s="3276"/>
      <c r="N739" s="3276"/>
      <c r="O739" s="3392"/>
      <c r="P739" s="3393"/>
      <c r="Q739" s="3393"/>
      <c r="R739" s="3276"/>
      <c r="S739" s="3276"/>
      <c r="T739" s="3239" t="str">
        <f t="shared" si="12"/>
        <v>有</v>
      </c>
    </row>
    <row r="740" spans="1:20">
      <c r="A740" s="3393">
        <v>738</v>
      </c>
      <c r="B740" s="3393">
        <v>2</v>
      </c>
      <c r="C740" s="3393">
        <v>1</v>
      </c>
      <c r="D740" s="3392">
        <v>1037</v>
      </c>
      <c r="E740" s="3275">
        <v>1002</v>
      </c>
      <c r="F740" s="3276">
        <v>1</v>
      </c>
      <c r="G740" s="3276">
        <v>1</v>
      </c>
      <c r="H740" s="3276">
        <v>1</v>
      </c>
      <c r="I740" s="3275" t="s">
        <v>3300</v>
      </c>
      <c r="J740" s="3275" t="s">
        <v>3324</v>
      </c>
      <c r="K740" s="3409">
        <v>56.3</v>
      </c>
      <c r="L740" s="3412">
        <v>41.22</v>
      </c>
      <c r="M740" s="3276"/>
      <c r="N740" s="3276"/>
      <c r="O740" s="3392"/>
      <c r="P740" s="3393"/>
      <c r="Q740" s="3393"/>
      <c r="R740" s="3276"/>
      <c r="S740" s="3276"/>
      <c r="T740" s="3239" t="str">
        <f t="shared" si="12"/>
        <v>有</v>
      </c>
    </row>
    <row r="741" spans="1:20">
      <c r="A741" s="3393">
        <v>739</v>
      </c>
      <c r="B741" s="3393">
        <v>2</v>
      </c>
      <c r="C741" s="3393">
        <v>1</v>
      </c>
      <c r="D741" s="3392">
        <v>1038</v>
      </c>
      <c r="E741" s="3275">
        <v>1003</v>
      </c>
      <c r="F741" s="3276">
        <v>1</v>
      </c>
      <c r="G741" s="3276">
        <v>1</v>
      </c>
      <c r="H741" s="3276">
        <v>1</v>
      </c>
      <c r="I741" s="3275" t="s">
        <v>3300</v>
      </c>
      <c r="J741" s="3275" t="s">
        <v>3325</v>
      </c>
      <c r="K741" s="3409">
        <v>54.46</v>
      </c>
      <c r="L741" s="3412">
        <v>39.869999999999997</v>
      </c>
      <c r="M741" s="3276"/>
      <c r="N741" s="3276"/>
      <c r="O741" s="3392"/>
      <c r="P741" s="3393"/>
      <c r="Q741" s="3393"/>
      <c r="R741" s="3276"/>
      <c r="S741" s="3276"/>
      <c r="T741" s="3239" t="str">
        <f t="shared" si="12"/>
        <v>有</v>
      </c>
    </row>
    <row r="742" spans="1:20">
      <c r="A742" s="3393">
        <v>740</v>
      </c>
      <c r="B742" s="3393">
        <v>2</v>
      </c>
      <c r="C742" s="3393">
        <v>1</v>
      </c>
      <c r="D742" s="3392">
        <v>1039</v>
      </c>
      <c r="E742" s="3275">
        <v>1005</v>
      </c>
      <c r="F742" s="3276">
        <v>1</v>
      </c>
      <c r="G742" s="3276">
        <v>1</v>
      </c>
      <c r="H742" s="3276">
        <v>1</v>
      </c>
      <c r="I742" s="3275" t="s">
        <v>3300</v>
      </c>
      <c r="J742" s="3275" t="s">
        <v>3326</v>
      </c>
      <c r="K742" s="3409">
        <v>55.07</v>
      </c>
      <c r="L742" s="3412">
        <v>40.32</v>
      </c>
      <c r="M742" s="3276"/>
      <c r="N742" s="3276"/>
      <c r="O742" s="3392"/>
      <c r="P742" s="3393"/>
      <c r="Q742" s="3393"/>
      <c r="R742" s="3276"/>
      <c r="S742" s="3276"/>
      <c r="T742" s="3239" t="str">
        <f t="shared" si="12"/>
        <v>有</v>
      </c>
    </row>
    <row r="743" spans="1:20">
      <c r="A743" s="3393">
        <v>741</v>
      </c>
      <c r="B743" s="3393">
        <v>2</v>
      </c>
      <c r="C743" s="3393">
        <v>1</v>
      </c>
      <c r="D743" s="3392">
        <v>1040</v>
      </c>
      <c r="E743" s="3275">
        <v>1006</v>
      </c>
      <c r="F743" s="3276">
        <v>1</v>
      </c>
      <c r="G743" s="3276">
        <v>1</v>
      </c>
      <c r="H743" s="3276">
        <v>1</v>
      </c>
      <c r="I743" s="3275" t="s">
        <v>3300</v>
      </c>
      <c r="J743" s="3275" t="s">
        <v>3327</v>
      </c>
      <c r="K743" s="3409">
        <v>54.59</v>
      </c>
      <c r="L743" s="3412">
        <v>39.97</v>
      </c>
      <c r="M743" s="3276"/>
      <c r="N743" s="3276"/>
      <c r="O743" s="3392"/>
      <c r="P743" s="3393"/>
      <c r="Q743" s="3393"/>
      <c r="R743" s="3276"/>
      <c r="S743" s="3276"/>
      <c r="T743" s="3239" t="str">
        <f t="shared" si="12"/>
        <v>有</v>
      </c>
    </row>
    <row r="744" spans="1:20" hidden="1">
      <c r="A744" s="3393">
        <v>742</v>
      </c>
      <c r="B744" s="3393">
        <v>2</v>
      </c>
      <c r="C744" s="3393">
        <v>1</v>
      </c>
      <c r="D744" s="3392">
        <v>1101</v>
      </c>
      <c r="E744" s="3275">
        <v>1123</v>
      </c>
      <c r="F744" s="3276">
        <v>1</v>
      </c>
      <c r="G744" s="3276">
        <v>0</v>
      </c>
      <c r="H744" s="3276">
        <v>1</v>
      </c>
      <c r="I744" s="3275" t="s">
        <v>3332</v>
      </c>
      <c r="J744" s="3275" t="s">
        <v>3500</v>
      </c>
      <c r="K744" s="3409">
        <v>48.16</v>
      </c>
      <c r="L744" s="3412">
        <v>35.26</v>
      </c>
      <c r="M744" s="3276"/>
      <c r="N744" s="3276"/>
      <c r="O744" s="3392"/>
      <c r="P744" s="3393"/>
      <c r="Q744" s="3393"/>
      <c r="R744" s="3276"/>
      <c r="S744" s="3276"/>
      <c r="T744" s="3239" t="str">
        <f t="shared" si="12"/>
        <v>无</v>
      </c>
    </row>
    <row r="745" spans="1:20" hidden="1">
      <c r="A745" s="3393">
        <v>743</v>
      </c>
      <c r="B745" s="3393">
        <v>2</v>
      </c>
      <c r="C745" s="3393">
        <v>1</v>
      </c>
      <c r="D745" s="3392">
        <v>1102</v>
      </c>
      <c r="E745" s="3275">
        <v>1122</v>
      </c>
      <c r="F745" s="3276">
        <v>1</v>
      </c>
      <c r="G745" s="3276">
        <v>0</v>
      </c>
      <c r="H745" s="3276">
        <v>1</v>
      </c>
      <c r="I745" s="3275" t="s">
        <v>3312</v>
      </c>
      <c r="J745" s="3275" t="s">
        <v>3323</v>
      </c>
      <c r="K745" s="3409">
        <v>44.28</v>
      </c>
      <c r="L745" s="3412">
        <v>32.42</v>
      </c>
      <c r="M745" s="3276"/>
      <c r="N745" s="3276"/>
      <c r="O745" s="3392"/>
      <c r="P745" s="3393"/>
      <c r="Q745" s="3393"/>
      <c r="R745" s="3276"/>
      <c r="S745" s="3276"/>
      <c r="T745" s="3239" t="str">
        <f t="shared" si="12"/>
        <v>无</v>
      </c>
    </row>
    <row r="746" spans="1:20">
      <c r="A746" s="3393">
        <v>744</v>
      </c>
      <c r="B746" s="3393">
        <v>2</v>
      </c>
      <c r="C746" s="3393">
        <v>1</v>
      </c>
      <c r="D746" s="3392">
        <v>1103</v>
      </c>
      <c r="E746" s="3275">
        <v>1121</v>
      </c>
      <c r="F746" s="3276">
        <v>1</v>
      </c>
      <c r="G746" s="3276">
        <v>1</v>
      </c>
      <c r="H746" s="3276">
        <v>1</v>
      </c>
      <c r="I746" s="3275" t="s">
        <v>3310</v>
      </c>
      <c r="J746" s="3275" t="s">
        <v>3303</v>
      </c>
      <c r="K746" s="3409">
        <v>55.34</v>
      </c>
      <c r="L746" s="3412">
        <v>40.520000000000003</v>
      </c>
      <c r="M746" s="3276"/>
      <c r="N746" s="3276"/>
      <c r="O746" s="3392"/>
      <c r="P746" s="3393"/>
      <c r="Q746" s="3393"/>
      <c r="R746" s="3276"/>
      <c r="S746" s="3276"/>
      <c r="T746" s="3239" t="str">
        <f t="shared" si="12"/>
        <v>有</v>
      </c>
    </row>
    <row r="747" spans="1:20" hidden="1">
      <c r="A747" s="3393">
        <v>745</v>
      </c>
      <c r="B747" s="3393">
        <v>2</v>
      </c>
      <c r="C747" s="3393">
        <v>1</v>
      </c>
      <c r="D747" s="3392">
        <v>1104</v>
      </c>
      <c r="E747" s="3275">
        <v>1124</v>
      </c>
      <c r="F747" s="3276">
        <v>1</v>
      </c>
      <c r="G747" s="3276">
        <v>0</v>
      </c>
      <c r="H747" s="3276">
        <v>1</v>
      </c>
      <c r="I747" s="3275" t="s">
        <v>3332</v>
      </c>
      <c r="J747" s="3275" t="s">
        <v>3501</v>
      </c>
      <c r="K747" s="3409">
        <v>47.12</v>
      </c>
      <c r="L747" s="3412">
        <v>34.5</v>
      </c>
      <c r="M747" s="3276"/>
      <c r="N747" s="3276"/>
      <c r="O747" s="3392"/>
      <c r="P747" s="3393"/>
      <c r="Q747" s="3393"/>
      <c r="R747" s="3276"/>
      <c r="S747" s="3276"/>
      <c r="T747" s="3239" t="str">
        <f t="shared" si="12"/>
        <v>无</v>
      </c>
    </row>
    <row r="748" spans="1:20">
      <c r="A748" s="3393">
        <v>746</v>
      </c>
      <c r="B748" s="3393">
        <v>2</v>
      </c>
      <c r="C748" s="3393">
        <v>1</v>
      </c>
      <c r="D748" s="3392">
        <v>1105</v>
      </c>
      <c r="E748" s="3275">
        <v>1125</v>
      </c>
      <c r="F748" s="3276">
        <v>1</v>
      </c>
      <c r="G748" s="3276">
        <v>1</v>
      </c>
      <c r="H748" s="3276">
        <v>1</v>
      </c>
      <c r="I748" s="3275" t="s">
        <v>3332</v>
      </c>
      <c r="J748" s="3275" t="s">
        <v>3335</v>
      </c>
      <c r="K748" s="3409">
        <v>55.07</v>
      </c>
      <c r="L748" s="3412">
        <v>40.32</v>
      </c>
      <c r="M748" s="3276"/>
      <c r="N748" s="3276"/>
      <c r="O748" s="3392"/>
      <c r="P748" s="3393"/>
      <c r="Q748" s="3393"/>
      <c r="R748" s="3276"/>
      <c r="S748" s="3276"/>
      <c r="T748" s="3239" t="str">
        <f t="shared" si="12"/>
        <v>有</v>
      </c>
    </row>
    <row r="749" spans="1:20" hidden="1">
      <c r="A749" s="3393">
        <v>747</v>
      </c>
      <c r="B749" s="3393">
        <v>2</v>
      </c>
      <c r="C749" s="3393">
        <v>1</v>
      </c>
      <c r="D749" s="3392">
        <v>1106</v>
      </c>
      <c r="E749" s="3275">
        <v>1120</v>
      </c>
      <c r="F749" s="3276">
        <v>1</v>
      </c>
      <c r="G749" s="3276">
        <v>0</v>
      </c>
      <c r="H749" s="3276">
        <v>1</v>
      </c>
      <c r="I749" s="3278" t="s">
        <v>3304</v>
      </c>
      <c r="J749" s="3275" t="s">
        <v>3305</v>
      </c>
      <c r="K749" s="3409">
        <v>43.08</v>
      </c>
      <c r="L749" s="3412">
        <v>31.54</v>
      </c>
      <c r="M749" s="3276"/>
      <c r="N749" s="3276"/>
      <c r="O749" s="3392"/>
      <c r="P749" s="3393"/>
      <c r="Q749" s="3393"/>
      <c r="R749" s="3276"/>
      <c r="S749" s="3276"/>
      <c r="T749" s="3239" t="str">
        <f t="shared" si="12"/>
        <v>无</v>
      </c>
    </row>
    <row r="750" spans="1:20" hidden="1">
      <c r="A750" s="3393">
        <v>748</v>
      </c>
      <c r="B750" s="3393">
        <v>2</v>
      </c>
      <c r="C750" s="3393">
        <v>1</v>
      </c>
      <c r="D750" s="3392">
        <v>1107</v>
      </c>
      <c r="E750" s="3275">
        <v>1119</v>
      </c>
      <c r="F750" s="3276">
        <v>1</v>
      </c>
      <c r="G750" s="3276">
        <v>0</v>
      </c>
      <c r="H750" s="3276">
        <v>1</v>
      </c>
      <c r="I750" s="3278" t="s">
        <v>3304</v>
      </c>
      <c r="J750" s="3275" t="s">
        <v>3305</v>
      </c>
      <c r="K750" s="3409">
        <v>43.08</v>
      </c>
      <c r="L750" s="3412">
        <v>31.54</v>
      </c>
      <c r="M750" s="3276"/>
      <c r="N750" s="3276"/>
      <c r="O750" s="3392"/>
      <c r="P750" s="3393"/>
      <c r="Q750" s="3393"/>
      <c r="R750" s="3276"/>
      <c r="S750" s="3276"/>
      <c r="T750" s="3239" t="str">
        <f t="shared" si="12"/>
        <v>无</v>
      </c>
    </row>
    <row r="751" spans="1:20">
      <c r="A751" s="3393">
        <v>749</v>
      </c>
      <c r="B751" s="3393">
        <v>2</v>
      </c>
      <c r="C751" s="3393">
        <v>1</v>
      </c>
      <c r="D751" s="3392">
        <v>1108</v>
      </c>
      <c r="E751" s="3275">
        <v>1126</v>
      </c>
      <c r="F751" s="3276">
        <v>1</v>
      </c>
      <c r="G751" s="3276">
        <v>1</v>
      </c>
      <c r="H751" s="3276">
        <v>1</v>
      </c>
      <c r="I751" s="3275" t="s">
        <v>3332</v>
      </c>
      <c r="J751" s="3275" t="s">
        <v>3335</v>
      </c>
      <c r="K751" s="3409">
        <v>55.07</v>
      </c>
      <c r="L751" s="3412">
        <v>40.32</v>
      </c>
      <c r="M751" s="3276"/>
      <c r="N751" s="3276"/>
      <c r="O751" s="3392"/>
      <c r="P751" s="3393"/>
      <c r="Q751" s="3393"/>
      <c r="R751" s="3276"/>
      <c r="S751" s="3276"/>
      <c r="T751" s="3239" t="str">
        <f t="shared" si="12"/>
        <v>有</v>
      </c>
    </row>
    <row r="752" spans="1:20" hidden="1">
      <c r="A752" s="3393">
        <v>750</v>
      </c>
      <c r="B752" s="3393">
        <v>2</v>
      </c>
      <c r="C752" s="3393">
        <v>1</v>
      </c>
      <c r="D752" s="3392">
        <v>1109</v>
      </c>
      <c r="E752" s="3275">
        <v>1118</v>
      </c>
      <c r="F752" s="3276">
        <v>1</v>
      </c>
      <c r="G752" s="3276">
        <v>0</v>
      </c>
      <c r="H752" s="3276">
        <v>1</v>
      </c>
      <c r="I752" s="3278" t="s">
        <v>3304</v>
      </c>
      <c r="J752" s="3275" t="s">
        <v>3306</v>
      </c>
      <c r="K752" s="3409">
        <v>44.06</v>
      </c>
      <c r="L752" s="3412">
        <v>32.26</v>
      </c>
      <c r="M752" s="3276"/>
      <c r="N752" s="3276"/>
      <c r="O752" s="3392"/>
      <c r="P752" s="3393"/>
      <c r="Q752" s="3393"/>
      <c r="R752" s="3276"/>
      <c r="S752" s="3276"/>
      <c r="T752" s="3239" t="str">
        <f t="shared" si="12"/>
        <v>无</v>
      </c>
    </row>
    <row r="753" spans="1:20">
      <c r="A753" s="3393">
        <v>751</v>
      </c>
      <c r="B753" s="3393">
        <v>2</v>
      </c>
      <c r="C753" s="3393">
        <v>1</v>
      </c>
      <c r="D753" s="3392">
        <v>1110</v>
      </c>
      <c r="E753" s="3275">
        <v>1127</v>
      </c>
      <c r="F753" s="3276">
        <v>1</v>
      </c>
      <c r="G753" s="3276">
        <v>1</v>
      </c>
      <c r="H753" s="3276">
        <v>1</v>
      </c>
      <c r="I753" s="3275" t="s">
        <v>3332</v>
      </c>
      <c r="J753" s="3275" t="s">
        <v>3335</v>
      </c>
      <c r="K753" s="3409">
        <v>55.07</v>
      </c>
      <c r="L753" s="3412">
        <v>40.32</v>
      </c>
      <c r="M753" s="3276"/>
      <c r="N753" s="3276"/>
      <c r="O753" s="3392"/>
      <c r="P753" s="3393"/>
      <c r="Q753" s="3393"/>
      <c r="R753" s="3276"/>
      <c r="S753" s="3276"/>
      <c r="T753" s="3239" t="str">
        <f t="shared" si="12"/>
        <v>有</v>
      </c>
    </row>
    <row r="754" spans="1:20">
      <c r="A754" s="3393">
        <v>752</v>
      </c>
      <c r="B754" s="3393">
        <v>2</v>
      </c>
      <c r="C754" s="3393">
        <v>1</v>
      </c>
      <c r="D754" s="3392">
        <v>1111</v>
      </c>
      <c r="E754" s="3275">
        <v>1128</v>
      </c>
      <c r="F754" s="3276">
        <v>1</v>
      </c>
      <c r="G754" s="3276">
        <v>1</v>
      </c>
      <c r="H754" s="3276">
        <v>1</v>
      </c>
      <c r="I754" s="3275" t="s">
        <v>3332</v>
      </c>
      <c r="J754" s="3275" t="s">
        <v>3335</v>
      </c>
      <c r="K754" s="3409">
        <v>55.07</v>
      </c>
      <c r="L754" s="3412">
        <v>40.32</v>
      </c>
      <c r="M754" s="3276"/>
      <c r="N754" s="3276"/>
      <c r="O754" s="3392"/>
      <c r="P754" s="3393"/>
      <c r="Q754" s="3393"/>
      <c r="R754" s="3276"/>
      <c r="S754" s="3276"/>
      <c r="T754" s="3239" t="str">
        <f t="shared" si="12"/>
        <v>有</v>
      </c>
    </row>
    <row r="755" spans="1:20">
      <c r="A755" s="3393">
        <v>753</v>
      </c>
      <c r="B755" s="3393">
        <v>2</v>
      </c>
      <c r="C755" s="3393">
        <v>1</v>
      </c>
      <c r="D755" s="3392">
        <v>1112</v>
      </c>
      <c r="E755" s="3275">
        <v>1129</v>
      </c>
      <c r="F755" s="3276">
        <v>1</v>
      </c>
      <c r="G755" s="3276">
        <v>1</v>
      </c>
      <c r="H755" s="3276">
        <v>1</v>
      </c>
      <c r="I755" s="3275" t="s">
        <v>3332</v>
      </c>
      <c r="J755" s="3275" t="s">
        <v>3335</v>
      </c>
      <c r="K755" s="3409">
        <v>55.07</v>
      </c>
      <c r="L755" s="3412">
        <v>40.32</v>
      </c>
      <c r="M755" s="3276"/>
      <c r="N755" s="3276"/>
      <c r="O755" s="3392"/>
      <c r="P755" s="3393"/>
      <c r="Q755" s="3393"/>
      <c r="R755" s="3276"/>
      <c r="S755" s="3276"/>
      <c r="T755" s="3239" t="str">
        <f t="shared" si="12"/>
        <v>有</v>
      </c>
    </row>
    <row r="756" spans="1:20">
      <c r="A756" s="3393">
        <v>754</v>
      </c>
      <c r="B756" s="3393">
        <v>2</v>
      </c>
      <c r="C756" s="3393">
        <v>1</v>
      </c>
      <c r="D756" s="3392">
        <v>1114</v>
      </c>
      <c r="E756" s="3275">
        <v>1130</v>
      </c>
      <c r="F756" s="3276">
        <v>1</v>
      </c>
      <c r="G756" s="3276">
        <v>1</v>
      </c>
      <c r="H756" s="3276">
        <v>1</v>
      </c>
      <c r="I756" s="3275" t="s">
        <v>3332</v>
      </c>
      <c r="J756" s="3275" t="s">
        <v>3335</v>
      </c>
      <c r="K756" s="3409">
        <v>55.07</v>
      </c>
      <c r="L756" s="3412">
        <v>40.32</v>
      </c>
      <c r="M756" s="3276"/>
      <c r="N756" s="3276"/>
      <c r="O756" s="3392"/>
      <c r="P756" s="3393"/>
      <c r="Q756" s="3393"/>
      <c r="R756" s="3276"/>
      <c r="S756" s="3276"/>
      <c r="T756" s="3239" t="str">
        <f t="shared" si="12"/>
        <v>有</v>
      </c>
    </row>
    <row r="757" spans="1:20" hidden="1">
      <c r="A757" s="3393">
        <v>755</v>
      </c>
      <c r="B757" s="3393">
        <v>2</v>
      </c>
      <c r="C757" s="3393">
        <v>1</v>
      </c>
      <c r="D757" s="3392">
        <v>1115</v>
      </c>
      <c r="E757" s="3275">
        <v>1117</v>
      </c>
      <c r="F757" s="3276">
        <v>1</v>
      </c>
      <c r="G757" s="3276">
        <v>0</v>
      </c>
      <c r="H757" s="3276">
        <v>1</v>
      </c>
      <c r="I757" s="3278" t="s">
        <v>3304</v>
      </c>
      <c r="J757" s="3275" t="s">
        <v>3306</v>
      </c>
      <c r="K757" s="3409">
        <v>44.06</v>
      </c>
      <c r="L757" s="3412">
        <v>32.26</v>
      </c>
      <c r="M757" s="3276"/>
      <c r="N757" s="3276"/>
      <c r="O757" s="3392"/>
      <c r="P757" s="3393"/>
      <c r="Q757" s="3393"/>
      <c r="R757" s="3276"/>
      <c r="S757" s="3276"/>
      <c r="T757" s="3239" t="str">
        <f t="shared" si="12"/>
        <v>无</v>
      </c>
    </row>
    <row r="758" spans="1:20">
      <c r="A758" s="3393">
        <v>756</v>
      </c>
      <c r="B758" s="3393">
        <v>2</v>
      </c>
      <c r="C758" s="3393">
        <v>1</v>
      </c>
      <c r="D758" s="3392">
        <v>1116</v>
      </c>
      <c r="E758" s="3275">
        <v>1131</v>
      </c>
      <c r="F758" s="3276">
        <v>1</v>
      </c>
      <c r="G758" s="3276">
        <v>1</v>
      </c>
      <c r="H758" s="3276">
        <v>1</v>
      </c>
      <c r="I758" s="3275" t="s">
        <v>3332</v>
      </c>
      <c r="J758" s="3275" t="s">
        <v>3335</v>
      </c>
      <c r="K758" s="3409">
        <v>55.07</v>
      </c>
      <c r="L758" s="3412">
        <v>40.32</v>
      </c>
      <c r="M758" s="3276"/>
      <c r="N758" s="3276"/>
      <c r="O758" s="3392"/>
      <c r="P758" s="3393"/>
      <c r="Q758" s="3393"/>
      <c r="R758" s="3276"/>
      <c r="S758" s="3276"/>
      <c r="T758" s="3239" t="str">
        <f t="shared" si="12"/>
        <v>有</v>
      </c>
    </row>
    <row r="759" spans="1:20" hidden="1">
      <c r="A759" s="3393">
        <v>757</v>
      </c>
      <c r="B759" s="3393">
        <v>2</v>
      </c>
      <c r="C759" s="3393">
        <v>1</v>
      </c>
      <c r="D759" s="3392">
        <v>1117</v>
      </c>
      <c r="E759" s="3275">
        <v>1116</v>
      </c>
      <c r="F759" s="3276">
        <v>1</v>
      </c>
      <c r="G759" s="3276">
        <v>0</v>
      </c>
      <c r="H759" s="3276">
        <v>1</v>
      </c>
      <c r="I759" s="3278" t="s">
        <v>3304</v>
      </c>
      <c r="J759" s="3275" t="s">
        <v>3305</v>
      </c>
      <c r="K759" s="3409">
        <v>43.08</v>
      </c>
      <c r="L759" s="3412">
        <v>31.54</v>
      </c>
      <c r="M759" s="3276"/>
      <c r="N759" s="3276"/>
      <c r="O759" s="3392"/>
      <c r="P759" s="3393"/>
      <c r="Q759" s="3393"/>
      <c r="R759" s="3276"/>
      <c r="S759" s="3276"/>
      <c r="T759" s="3239" t="str">
        <f t="shared" si="12"/>
        <v>无</v>
      </c>
    </row>
    <row r="760" spans="1:20" hidden="1">
      <c r="A760" s="3393">
        <v>758</v>
      </c>
      <c r="B760" s="3393">
        <v>2</v>
      </c>
      <c r="C760" s="3393">
        <v>1</v>
      </c>
      <c r="D760" s="3392">
        <v>1118</v>
      </c>
      <c r="E760" s="3275">
        <v>1115</v>
      </c>
      <c r="F760" s="3276">
        <v>1</v>
      </c>
      <c r="G760" s="3276">
        <v>0</v>
      </c>
      <c r="H760" s="3276">
        <v>1</v>
      </c>
      <c r="I760" s="3275" t="s">
        <v>3304</v>
      </c>
      <c r="J760" s="3275" t="s">
        <v>3305</v>
      </c>
      <c r="K760" s="3409">
        <v>43.08</v>
      </c>
      <c r="L760" s="3412">
        <v>31.54</v>
      </c>
      <c r="M760" s="3276"/>
      <c r="N760" s="3276"/>
      <c r="O760" s="3392"/>
      <c r="P760" s="3393"/>
      <c r="Q760" s="3393"/>
      <c r="R760" s="3276"/>
      <c r="S760" s="3276"/>
      <c r="T760" s="3239" t="str">
        <f t="shared" si="12"/>
        <v>无</v>
      </c>
    </row>
    <row r="761" spans="1:20">
      <c r="A761" s="3393">
        <v>759</v>
      </c>
      <c r="B761" s="3393">
        <v>2</v>
      </c>
      <c r="C761" s="3393">
        <v>1</v>
      </c>
      <c r="D761" s="3392">
        <v>1119</v>
      </c>
      <c r="E761" s="3275">
        <v>1132</v>
      </c>
      <c r="F761" s="3276">
        <v>1</v>
      </c>
      <c r="G761" s="3276">
        <v>1</v>
      </c>
      <c r="H761" s="3276">
        <v>1</v>
      </c>
      <c r="I761" s="3275" t="s">
        <v>3332</v>
      </c>
      <c r="J761" s="3275" t="s">
        <v>3335</v>
      </c>
      <c r="K761" s="3409">
        <v>55.07</v>
      </c>
      <c r="L761" s="3412">
        <v>40.32</v>
      </c>
      <c r="M761" s="3276"/>
      <c r="N761" s="3276"/>
      <c r="O761" s="3392"/>
      <c r="P761" s="3393"/>
      <c r="Q761" s="3393"/>
      <c r="R761" s="3276"/>
      <c r="S761" s="3276"/>
      <c r="T761" s="3239" t="str">
        <f t="shared" si="12"/>
        <v>有</v>
      </c>
    </row>
    <row r="762" spans="1:20" hidden="1">
      <c r="A762" s="3393">
        <v>760</v>
      </c>
      <c r="B762" s="3393">
        <v>2</v>
      </c>
      <c r="C762" s="3393">
        <v>1</v>
      </c>
      <c r="D762" s="3392">
        <v>1120</v>
      </c>
      <c r="E762" s="3275">
        <v>1114</v>
      </c>
      <c r="F762" s="3276">
        <v>1</v>
      </c>
      <c r="G762" s="3276">
        <v>0</v>
      </c>
      <c r="H762" s="3276">
        <v>1</v>
      </c>
      <c r="I762" s="3275" t="s">
        <v>3304</v>
      </c>
      <c r="J762" s="3275" t="s">
        <v>3305</v>
      </c>
      <c r="K762" s="3409">
        <v>43.08</v>
      </c>
      <c r="L762" s="3412">
        <v>31.54</v>
      </c>
      <c r="M762" s="3276"/>
      <c r="N762" s="3276"/>
      <c r="O762" s="3392"/>
      <c r="P762" s="3393"/>
      <c r="Q762" s="3393"/>
      <c r="R762" s="3276"/>
      <c r="S762" s="3276"/>
      <c r="T762" s="3239" t="str">
        <f t="shared" si="12"/>
        <v>无</v>
      </c>
    </row>
    <row r="763" spans="1:20">
      <c r="A763" s="3393">
        <v>761</v>
      </c>
      <c r="B763" s="3393">
        <v>2</v>
      </c>
      <c r="C763" s="3393">
        <v>1</v>
      </c>
      <c r="D763" s="3392">
        <v>1121</v>
      </c>
      <c r="E763" s="3275">
        <v>1133</v>
      </c>
      <c r="F763" s="3276">
        <v>1</v>
      </c>
      <c r="G763" s="3276">
        <v>1</v>
      </c>
      <c r="H763" s="3276">
        <v>1</v>
      </c>
      <c r="I763" s="3275" t="s">
        <v>3332</v>
      </c>
      <c r="J763" s="3275" t="s">
        <v>3335</v>
      </c>
      <c r="K763" s="3409">
        <v>55.07</v>
      </c>
      <c r="L763" s="3412">
        <v>40.32</v>
      </c>
      <c r="M763" s="3276"/>
      <c r="N763" s="3276"/>
      <c r="O763" s="3392"/>
      <c r="P763" s="3393"/>
      <c r="Q763" s="3393"/>
      <c r="R763" s="3276"/>
      <c r="S763" s="3276"/>
      <c r="T763" s="3239" t="str">
        <f t="shared" si="12"/>
        <v>有</v>
      </c>
    </row>
    <row r="764" spans="1:20" hidden="1">
      <c r="A764" s="3393">
        <v>762</v>
      </c>
      <c r="B764" s="3393">
        <v>2</v>
      </c>
      <c r="C764" s="3393">
        <v>1</v>
      </c>
      <c r="D764" s="3392">
        <v>1122</v>
      </c>
      <c r="E764" s="3275">
        <v>1113</v>
      </c>
      <c r="F764" s="3276">
        <v>1</v>
      </c>
      <c r="G764" s="3276">
        <v>0</v>
      </c>
      <c r="H764" s="3276">
        <v>1</v>
      </c>
      <c r="I764" s="3275" t="s">
        <v>3304</v>
      </c>
      <c r="J764" s="3275" t="s">
        <v>3305</v>
      </c>
      <c r="K764" s="3409">
        <v>43.08</v>
      </c>
      <c r="L764" s="3412">
        <v>31.54</v>
      </c>
      <c r="M764" s="3276"/>
      <c r="N764" s="3276"/>
      <c r="O764" s="3392"/>
      <c r="P764" s="3393"/>
      <c r="Q764" s="3393"/>
      <c r="R764" s="3276"/>
      <c r="S764" s="3276"/>
      <c r="T764" s="3239" t="str">
        <f t="shared" si="12"/>
        <v>无</v>
      </c>
    </row>
    <row r="765" spans="1:20">
      <c r="A765" s="3393">
        <v>763</v>
      </c>
      <c r="B765" s="3393">
        <v>2</v>
      </c>
      <c r="C765" s="3393">
        <v>1</v>
      </c>
      <c r="D765" s="3392">
        <v>1123</v>
      </c>
      <c r="E765" s="3275">
        <v>1134</v>
      </c>
      <c r="F765" s="3276">
        <v>1</v>
      </c>
      <c r="G765" s="3276">
        <v>1</v>
      </c>
      <c r="H765" s="3276">
        <v>1</v>
      </c>
      <c r="I765" s="3275" t="s">
        <v>3332</v>
      </c>
      <c r="J765" s="3275" t="s">
        <v>3335</v>
      </c>
      <c r="K765" s="3409">
        <v>55.07</v>
      </c>
      <c r="L765" s="3412">
        <v>40.32</v>
      </c>
      <c r="M765" s="3276"/>
      <c r="N765" s="3276"/>
      <c r="O765" s="3392"/>
      <c r="P765" s="3393"/>
      <c r="Q765" s="3393"/>
      <c r="R765" s="3276"/>
      <c r="S765" s="3276"/>
      <c r="T765" s="3239" t="str">
        <f t="shared" si="12"/>
        <v>有</v>
      </c>
    </row>
    <row r="766" spans="1:20" hidden="1">
      <c r="A766" s="3393">
        <v>764</v>
      </c>
      <c r="B766" s="3393">
        <v>2</v>
      </c>
      <c r="C766" s="3393">
        <v>1</v>
      </c>
      <c r="D766" s="3392">
        <v>1124</v>
      </c>
      <c r="E766" s="3275">
        <v>1112</v>
      </c>
      <c r="F766" s="3276">
        <v>1</v>
      </c>
      <c r="G766" s="3276">
        <v>0</v>
      </c>
      <c r="H766" s="3276">
        <v>1</v>
      </c>
      <c r="I766" s="3275" t="s">
        <v>3304</v>
      </c>
      <c r="J766" s="3275" t="s">
        <v>3305</v>
      </c>
      <c r="K766" s="3409">
        <v>43.08</v>
      </c>
      <c r="L766" s="3412">
        <v>31.54</v>
      </c>
      <c r="M766" s="3276"/>
      <c r="N766" s="3276"/>
      <c r="O766" s="3392">
        <v>2.9</v>
      </c>
      <c r="P766" s="3392" t="s">
        <v>3297</v>
      </c>
      <c r="Q766" s="3392" t="s">
        <v>3298</v>
      </c>
      <c r="R766" s="3276"/>
      <c r="S766" s="3276"/>
      <c r="T766" s="3239" t="str">
        <f t="shared" si="12"/>
        <v>无</v>
      </c>
    </row>
    <row r="767" spans="1:20">
      <c r="A767" s="3393">
        <v>765</v>
      </c>
      <c r="B767" s="3393">
        <v>2</v>
      </c>
      <c r="C767" s="3393">
        <v>1</v>
      </c>
      <c r="D767" s="3392">
        <v>1125</v>
      </c>
      <c r="E767" s="3275">
        <v>1135</v>
      </c>
      <c r="F767" s="3276">
        <v>1</v>
      </c>
      <c r="G767" s="3276">
        <v>1</v>
      </c>
      <c r="H767" s="3276">
        <v>1</v>
      </c>
      <c r="I767" s="3275" t="s">
        <v>3332</v>
      </c>
      <c r="J767" s="3275" t="s">
        <v>3336</v>
      </c>
      <c r="K767" s="3409">
        <v>58.13</v>
      </c>
      <c r="L767" s="3412">
        <v>42.56</v>
      </c>
      <c r="M767" s="3276"/>
      <c r="N767" s="3276"/>
      <c r="O767" s="3392"/>
      <c r="P767" s="3393"/>
      <c r="Q767" s="3393"/>
      <c r="R767" s="3276"/>
      <c r="S767" s="3276"/>
      <c r="T767" s="3239" t="str">
        <f t="shared" si="12"/>
        <v>有</v>
      </c>
    </row>
    <row r="768" spans="1:20" hidden="1">
      <c r="A768" s="3393">
        <v>766</v>
      </c>
      <c r="B768" s="3393">
        <v>2</v>
      </c>
      <c r="C768" s="3393">
        <v>1</v>
      </c>
      <c r="D768" s="3392">
        <v>1126</v>
      </c>
      <c r="E768" s="3275">
        <v>1111</v>
      </c>
      <c r="F768" s="3276">
        <v>1</v>
      </c>
      <c r="G768" s="3276">
        <v>0</v>
      </c>
      <c r="H768" s="3276">
        <v>1</v>
      </c>
      <c r="I768" s="3275" t="s">
        <v>3304</v>
      </c>
      <c r="J768" s="3275" t="s">
        <v>3502</v>
      </c>
      <c r="K768" s="3409">
        <v>43.68</v>
      </c>
      <c r="L768" s="3412">
        <v>31.98</v>
      </c>
      <c r="M768" s="3276"/>
      <c r="N768" s="3276"/>
      <c r="O768" s="3392"/>
      <c r="P768" s="3393"/>
      <c r="Q768" s="3393"/>
      <c r="R768" s="3276"/>
      <c r="S768" s="3276"/>
      <c r="T768" s="3239" t="str">
        <f t="shared" si="12"/>
        <v>无</v>
      </c>
    </row>
    <row r="769" spans="1:21">
      <c r="A769" s="3393">
        <v>767</v>
      </c>
      <c r="B769" s="3393">
        <v>2</v>
      </c>
      <c r="C769" s="3393">
        <v>1</v>
      </c>
      <c r="D769" s="3392">
        <v>1127</v>
      </c>
      <c r="E769" s="3275">
        <v>1110</v>
      </c>
      <c r="F769" s="3276">
        <v>1</v>
      </c>
      <c r="G769" s="3276">
        <v>1</v>
      </c>
      <c r="H769" s="3276">
        <v>1</v>
      </c>
      <c r="I769" s="3275" t="s">
        <v>3304</v>
      </c>
      <c r="J769" s="3275" t="s">
        <v>3325</v>
      </c>
      <c r="K769" s="3409">
        <v>54.46</v>
      </c>
      <c r="L769" s="3412">
        <v>39.869999999999997</v>
      </c>
      <c r="M769" s="3276"/>
      <c r="N769" s="3276"/>
      <c r="O769" s="3392"/>
      <c r="P769" s="3393"/>
      <c r="Q769" s="3393"/>
      <c r="R769" s="3276"/>
      <c r="S769" s="3276"/>
      <c r="T769" s="3239" t="str">
        <f t="shared" si="12"/>
        <v>有</v>
      </c>
    </row>
    <row r="770" spans="1:21">
      <c r="A770" s="3393">
        <v>768</v>
      </c>
      <c r="B770" s="3393">
        <v>2</v>
      </c>
      <c r="C770" s="3393">
        <v>1</v>
      </c>
      <c r="D770" s="3392">
        <v>1128</v>
      </c>
      <c r="E770" s="3275">
        <v>1136</v>
      </c>
      <c r="F770" s="3276">
        <v>1</v>
      </c>
      <c r="G770" s="3276">
        <v>1</v>
      </c>
      <c r="H770" s="3276">
        <v>1</v>
      </c>
      <c r="I770" s="3275" t="s">
        <v>3312</v>
      </c>
      <c r="J770" s="3275" t="s">
        <v>3337</v>
      </c>
      <c r="K770" s="3409">
        <v>55.21</v>
      </c>
      <c r="L770" s="3412">
        <v>40.42</v>
      </c>
      <c r="M770" s="3276"/>
      <c r="N770" s="3276"/>
      <c r="O770" s="3392"/>
      <c r="P770" s="3393"/>
      <c r="Q770" s="3393"/>
      <c r="R770" s="3276"/>
      <c r="S770" s="3276"/>
      <c r="T770" s="3239" t="str">
        <f t="shared" si="12"/>
        <v>有</v>
      </c>
    </row>
    <row r="771" spans="1:21">
      <c r="A771" s="3393">
        <v>769</v>
      </c>
      <c r="B771" s="3393">
        <v>2</v>
      </c>
      <c r="C771" s="3393">
        <v>1</v>
      </c>
      <c r="D771" s="3392">
        <v>1129</v>
      </c>
      <c r="E771" s="3275">
        <v>1138</v>
      </c>
      <c r="F771" s="3276">
        <v>1</v>
      </c>
      <c r="G771" s="3276">
        <v>1</v>
      </c>
      <c r="H771" s="3276">
        <v>1</v>
      </c>
      <c r="I771" s="3275" t="s">
        <v>3312</v>
      </c>
      <c r="J771" s="3275" t="s">
        <v>3338</v>
      </c>
      <c r="K771" s="3409">
        <v>54.46</v>
      </c>
      <c r="L771" s="3412">
        <v>39.869999999999997</v>
      </c>
      <c r="M771" s="3276"/>
      <c r="N771" s="3276"/>
      <c r="O771" s="3392"/>
      <c r="P771" s="3393"/>
      <c r="Q771" s="3393"/>
      <c r="R771" s="3276"/>
      <c r="S771" s="3276"/>
      <c r="T771" s="3239" t="str">
        <f t="shared" si="12"/>
        <v>有</v>
      </c>
    </row>
    <row r="772" spans="1:21">
      <c r="A772" s="3393">
        <v>770</v>
      </c>
      <c r="B772" s="3393">
        <v>2</v>
      </c>
      <c r="C772" s="3393">
        <v>1</v>
      </c>
      <c r="D772" s="3392">
        <v>1130</v>
      </c>
      <c r="E772" s="3275">
        <v>1137</v>
      </c>
      <c r="F772" s="3276">
        <v>1</v>
      </c>
      <c r="G772" s="3276">
        <v>1</v>
      </c>
      <c r="H772" s="3276">
        <v>1</v>
      </c>
      <c r="I772" s="3275" t="s">
        <v>3312</v>
      </c>
      <c r="J772" s="3275" t="s">
        <v>3335</v>
      </c>
      <c r="K772" s="3409">
        <v>55.07</v>
      </c>
      <c r="L772" s="3412">
        <v>40.32</v>
      </c>
      <c r="M772" s="3276"/>
      <c r="N772" s="3276"/>
      <c r="O772" s="3392"/>
      <c r="P772" s="3393"/>
      <c r="Q772" s="3393"/>
      <c r="R772" s="3276"/>
      <c r="S772" s="3276"/>
      <c r="T772" s="3239" t="str">
        <f t="shared" ref="T772:T835" si="13">IF(OR(J772="无障碍宿舍",J772="无障碍宿舍-01",J772="无障碍宿舍-02",J772="40平",J772="40平-01",J772="40平-02",J772="40平-03",J772="40平-04",J772="40平-06",J772="40平-07",J772="D2"),"无","有")</f>
        <v>有</v>
      </c>
    </row>
    <row r="773" spans="1:21">
      <c r="A773" s="3393">
        <v>771</v>
      </c>
      <c r="B773" s="3393">
        <v>2</v>
      </c>
      <c r="C773" s="3393">
        <v>1</v>
      </c>
      <c r="D773" s="3392">
        <v>1131</v>
      </c>
      <c r="E773" s="3275">
        <v>1139</v>
      </c>
      <c r="F773" s="3276">
        <v>4</v>
      </c>
      <c r="G773" s="3276">
        <v>1</v>
      </c>
      <c r="H773" s="3276">
        <v>1</v>
      </c>
      <c r="I773" s="3275" t="s">
        <v>3316</v>
      </c>
      <c r="J773" s="3275" t="s">
        <v>3319</v>
      </c>
      <c r="K773" s="3409">
        <v>103.44</v>
      </c>
      <c r="L773" s="3412">
        <v>75.73</v>
      </c>
      <c r="M773" s="3276"/>
      <c r="N773" s="3276"/>
      <c r="O773" s="3392"/>
      <c r="P773" s="3393"/>
      <c r="Q773" s="3393"/>
      <c r="R773" s="3276"/>
      <c r="S773" s="3276"/>
      <c r="T773" s="3239" t="str">
        <f t="shared" si="13"/>
        <v>有</v>
      </c>
    </row>
    <row r="774" spans="1:21">
      <c r="A774" s="3393">
        <v>772</v>
      </c>
      <c r="B774" s="3393">
        <v>2</v>
      </c>
      <c r="C774" s="3393">
        <v>1</v>
      </c>
      <c r="D774" s="3392">
        <v>1132</v>
      </c>
      <c r="E774" s="3275">
        <v>1109</v>
      </c>
      <c r="F774" s="3276">
        <v>1</v>
      </c>
      <c r="G774" s="3276">
        <v>1</v>
      </c>
      <c r="H774" s="3276">
        <v>1</v>
      </c>
      <c r="I774" s="3275" t="s">
        <v>3304</v>
      </c>
      <c r="J774" s="3275" t="s">
        <v>3328</v>
      </c>
      <c r="K774" s="3409">
        <v>54.58</v>
      </c>
      <c r="L774" s="3412">
        <v>39.96</v>
      </c>
      <c r="M774" s="3276"/>
      <c r="N774" s="3276"/>
      <c r="O774" s="3392"/>
      <c r="P774" s="3393"/>
      <c r="Q774" s="3393"/>
      <c r="R774" s="3276"/>
      <c r="S774" s="3276"/>
      <c r="T774" s="3239" t="str">
        <f t="shared" si="13"/>
        <v>有</v>
      </c>
    </row>
    <row r="775" spans="1:21">
      <c r="A775" s="3393">
        <v>773</v>
      </c>
      <c r="B775" s="3393">
        <v>2</v>
      </c>
      <c r="C775" s="3393">
        <v>1</v>
      </c>
      <c r="D775" s="3392">
        <v>1133</v>
      </c>
      <c r="E775" s="3275">
        <v>1108</v>
      </c>
      <c r="F775" s="3276">
        <v>1</v>
      </c>
      <c r="G775" s="3276">
        <v>1</v>
      </c>
      <c r="H775" s="3276">
        <v>1</v>
      </c>
      <c r="I775" s="3275" t="s">
        <v>3302</v>
      </c>
      <c r="J775" s="3275" t="s">
        <v>3311</v>
      </c>
      <c r="K775" s="3409">
        <v>52.64</v>
      </c>
      <c r="L775" s="3412">
        <v>38.54</v>
      </c>
      <c r="M775" s="3276"/>
      <c r="N775" s="3276"/>
      <c r="O775" s="3392"/>
      <c r="P775" s="3393"/>
      <c r="Q775" s="3393"/>
      <c r="R775" s="3276"/>
      <c r="S775" s="3276"/>
      <c r="T775" s="3239" t="str">
        <f t="shared" si="13"/>
        <v>有</v>
      </c>
    </row>
    <row r="776" spans="1:21">
      <c r="A776" s="3393">
        <v>774</v>
      </c>
      <c r="B776" s="3393">
        <v>2</v>
      </c>
      <c r="C776" s="3393">
        <v>1</v>
      </c>
      <c r="D776" s="3392">
        <v>1134</v>
      </c>
      <c r="E776" s="3275">
        <v>1107</v>
      </c>
      <c r="F776" s="3276">
        <v>2</v>
      </c>
      <c r="G776" s="3276">
        <v>1</v>
      </c>
      <c r="H776" s="3276">
        <v>1</v>
      </c>
      <c r="I776" s="3275" t="s">
        <v>3300</v>
      </c>
      <c r="J776" s="3275" t="s">
        <v>3313</v>
      </c>
      <c r="K776" s="3409">
        <v>91.88</v>
      </c>
      <c r="L776" s="3412">
        <v>67.27</v>
      </c>
      <c r="M776" s="3276"/>
      <c r="N776" s="3276"/>
      <c r="O776" s="3392"/>
      <c r="P776" s="3393"/>
      <c r="Q776" s="3393"/>
      <c r="R776" s="3276"/>
      <c r="S776" s="3276"/>
      <c r="T776" s="3239" t="str">
        <f t="shared" si="13"/>
        <v>有</v>
      </c>
    </row>
    <row r="777" spans="1:21">
      <c r="A777" s="3393">
        <v>775</v>
      </c>
      <c r="B777" s="3393">
        <v>2</v>
      </c>
      <c r="C777" s="3393">
        <v>1</v>
      </c>
      <c r="D777" s="3392">
        <v>1135</v>
      </c>
      <c r="E777" s="3275">
        <v>1101</v>
      </c>
      <c r="F777" s="3276">
        <v>4</v>
      </c>
      <c r="G777" s="3276">
        <v>1</v>
      </c>
      <c r="H777" s="3276">
        <v>1</v>
      </c>
      <c r="I777" s="3275" t="s">
        <v>3318</v>
      </c>
      <c r="J777" s="3275" t="s">
        <v>3317</v>
      </c>
      <c r="K777" s="3409">
        <v>103.44</v>
      </c>
      <c r="L777" s="3412">
        <v>75.73</v>
      </c>
      <c r="M777" s="3276"/>
      <c r="N777" s="3276"/>
      <c r="O777" s="3392"/>
      <c r="P777" s="3393"/>
      <c r="Q777" s="3393"/>
      <c r="R777" s="3276"/>
      <c r="S777" s="3276"/>
      <c r="T777" s="3239" t="str">
        <f t="shared" si="13"/>
        <v>有</v>
      </c>
    </row>
    <row r="778" spans="1:21">
      <c r="A778" s="3393">
        <v>776</v>
      </c>
      <c r="B778" s="3393">
        <v>2</v>
      </c>
      <c r="C778" s="3393">
        <v>1</v>
      </c>
      <c r="D778" s="3392">
        <v>1136</v>
      </c>
      <c r="E778" s="3275">
        <v>1104</v>
      </c>
      <c r="F778" s="3276">
        <v>1</v>
      </c>
      <c r="G778" s="3276">
        <v>1</v>
      </c>
      <c r="H778" s="3276">
        <v>1</v>
      </c>
      <c r="I778" s="3275" t="s">
        <v>3300</v>
      </c>
      <c r="J778" s="3275" t="s">
        <v>3326</v>
      </c>
      <c r="K778" s="3409">
        <v>55.07</v>
      </c>
      <c r="L778" s="3412">
        <v>40.32</v>
      </c>
      <c r="M778" s="3276"/>
      <c r="N778" s="3276"/>
      <c r="O778" s="3392"/>
      <c r="P778" s="3393"/>
      <c r="Q778" s="3393"/>
      <c r="R778" s="3276"/>
      <c r="S778" s="3276"/>
      <c r="T778" s="3239" t="str">
        <f t="shared" si="13"/>
        <v>有</v>
      </c>
    </row>
    <row r="779" spans="1:21">
      <c r="A779" s="3393">
        <v>777</v>
      </c>
      <c r="B779" s="3393">
        <v>2</v>
      </c>
      <c r="C779" s="3393">
        <v>1</v>
      </c>
      <c r="D779" s="3392">
        <v>1137</v>
      </c>
      <c r="E779" s="3275">
        <v>1102</v>
      </c>
      <c r="F779" s="3276">
        <v>1</v>
      </c>
      <c r="G779" s="3276">
        <v>1</v>
      </c>
      <c r="H779" s="3276">
        <v>1</v>
      </c>
      <c r="I779" s="3275" t="s">
        <v>3300</v>
      </c>
      <c r="J779" s="3275" t="s">
        <v>3324</v>
      </c>
      <c r="K779" s="3409">
        <v>56.3</v>
      </c>
      <c r="L779" s="3412">
        <v>41.22</v>
      </c>
      <c r="M779" s="3276"/>
      <c r="N779" s="3276"/>
      <c r="O779" s="3392"/>
      <c r="P779" s="3393"/>
      <c r="Q779" s="3393"/>
      <c r="R779" s="3276"/>
      <c r="S779" s="3276"/>
      <c r="T779" s="3239" t="str">
        <f t="shared" si="13"/>
        <v>有</v>
      </c>
    </row>
    <row r="780" spans="1:21">
      <c r="A780" s="3393">
        <v>778</v>
      </c>
      <c r="B780" s="3393">
        <v>2</v>
      </c>
      <c r="C780" s="3393">
        <v>1</v>
      </c>
      <c r="D780" s="3392">
        <v>1138</v>
      </c>
      <c r="E780" s="3275">
        <v>1103</v>
      </c>
      <c r="F780" s="3276">
        <v>1</v>
      </c>
      <c r="G780" s="3276">
        <v>1</v>
      </c>
      <c r="H780" s="3276">
        <v>1</v>
      </c>
      <c r="I780" s="3275" t="s">
        <v>3300</v>
      </c>
      <c r="J780" s="3275" t="s">
        <v>3325</v>
      </c>
      <c r="K780" s="3409">
        <v>54.46</v>
      </c>
      <c r="L780" s="3412">
        <v>39.869999999999997</v>
      </c>
      <c r="M780" s="3276"/>
      <c r="N780" s="3276"/>
      <c r="O780" s="3392"/>
      <c r="P780" s="3393"/>
      <c r="Q780" s="3393"/>
      <c r="R780" s="3276"/>
      <c r="S780" s="3276"/>
      <c r="T780" s="3239" t="str">
        <f t="shared" si="13"/>
        <v>有</v>
      </c>
    </row>
    <row r="781" spans="1:21">
      <c r="A781" s="3393">
        <v>779</v>
      </c>
      <c r="B781" s="3393">
        <v>2</v>
      </c>
      <c r="C781" s="3393">
        <v>1</v>
      </c>
      <c r="D781" s="3392">
        <v>1139</v>
      </c>
      <c r="E781" s="3275">
        <v>1106</v>
      </c>
      <c r="F781" s="3276">
        <v>1</v>
      </c>
      <c r="G781" s="3276">
        <v>1</v>
      </c>
      <c r="H781" s="3276">
        <v>1</v>
      </c>
      <c r="I781" s="3275" t="s">
        <v>3300</v>
      </c>
      <c r="J781" s="3275" t="s">
        <v>3326</v>
      </c>
      <c r="K781" s="3409">
        <v>55.07</v>
      </c>
      <c r="L781" s="3412">
        <v>40.32</v>
      </c>
      <c r="M781" s="3276"/>
      <c r="N781" s="3276"/>
      <c r="O781" s="3392"/>
      <c r="P781" s="3393"/>
      <c r="Q781" s="3393"/>
      <c r="R781" s="3276"/>
      <c r="S781" s="3276"/>
      <c r="T781" s="3239" t="str">
        <f t="shared" si="13"/>
        <v>有</v>
      </c>
    </row>
    <row r="782" spans="1:21">
      <c r="A782" s="3393">
        <v>780</v>
      </c>
      <c r="B782" s="3393">
        <v>2</v>
      </c>
      <c r="C782" s="3393">
        <v>1</v>
      </c>
      <c r="D782" s="3392">
        <v>1140</v>
      </c>
      <c r="E782" s="3275">
        <v>1106</v>
      </c>
      <c r="F782" s="3276">
        <v>1</v>
      </c>
      <c r="G782" s="3276">
        <v>1</v>
      </c>
      <c r="H782" s="3276">
        <v>1</v>
      </c>
      <c r="I782" s="3275" t="s">
        <v>3300</v>
      </c>
      <c r="J782" s="3275" t="s">
        <v>3327</v>
      </c>
      <c r="K782" s="3409">
        <v>54.59</v>
      </c>
      <c r="L782" s="3412">
        <v>39.97</v>
      </c>
      <c r="M782" s="3276"/>
      <c r="N782" s="3276"/>
      <c r="O782" s="3392"/>
      <c r="P782" s="3393"/>
      <c r="Q782" s="3393"/>
      <c r="R782" s="3276"/>
      <c r="S782" s="3276"/>
      <c r="T782" s="3239" t="str">
        <f t="shared" si="13"/>
        <v>有</v>
      </c>
    </row>
    <row r="783" spans="1:21" hidden="1">
      <c r="A783" s="3289">
        <v>781</v>
      </c>
      <c r="B783" s="3289">
        <v>3</v>
      </c>
      <c r="C783" s="3289">
        <v>1</v>
      </c>
      <c r="D783" s="3413">
        <v>201</v>
      </c>
      <c r="E783" s="3290">
        <v>213</v>
      </c>
      <c r="F783" s="3291">
        <v>1</v>
      </c>
      <c r="G783" s="3291">
        <v>0</v>
      </c>
      <c r="H783" s="3291">
        <v>1</v>
      </c>
      <c r="I783" s="3290" t="s">
        <v>3310</v>
      </c>
      <c r="J783" s="3290" t="s">
        <v>3503</v>
      </c>
      <c r="K783" s="3409">
        <v>42.58</v>
      </c>
      <c r="L783" s="3412">
        <v>31.63</v>
      </c>
      <c r="M783" s="3291"/>
      <c r="N783" s="3291"/>
      <c r="O783" s="3291"/>
      <c r="P783" s="3291"/>
      <c r="Q783" s="3291"/>
      <c r="R783" s="3291"/>
      <c r="S783" s="3291"/>
      <c r="T783" s="3239" t="str">
        <f t="shared" si="13"/>
        <v>无</v>
      </c>
      <c r="U783" s="3410">
        <f>SUM(K783:K992)</f>
        <v>11693</v>
      </c>
    </row>
    <row r="784" spans="1:21" hidden="1">
      <c r="A784" s="3289">
        <v>782</v>
      </c>
      <c r="B784" s="3289">
        <v>3</v>
      </c>
      <c r="C784" s="3289">
        <v>1</v>
      </c>
      <c r="D784" s="3413">
        <v>202</v>
      </c>
      <c r="E784" s="3290">
        <v>212</v>
      </c>
      <c r="F784" s="3291">
        <v>1</v>
      </c>
      <c r="G784" s="3291">
        <v>0</v>
      </c>
      <c r="H784" s="3291">
        <v>1</v>
      </c>
      <c r="I784" s="3290" t="s">
        <v>3302</v>
      </c>
      <c r="J784" s="3290" t="s">
        <v>3503</v>
      </c>
      <c r="K784" s="3409">
        <v>42.58</v>
      </c>
      <c r="L784" s="3412">
        <v>31.63</v>
      </c>
      <c r="M784" s="3291"/>
      <c r="N784" s="3291"/>
      <c r="O784" s="3291"/>
      <c r="P784" s="3291"/>
      <c r="Q784" s="3291"/>
      <c r="R784" s="3291"/>
      <c r="S784" s="3291"/>
      <c r="T784" s="3239" t="str">
        <f t="shared" si="13"/>
        <v>无</v>
      </c>
      <c r="U784" s="3410"/>
    </row>
    <row r="785" spans="1:21" hidden="1">
      <c r="A785" s="3289">
        <v>783</v>
      </c>
      <c r="B785" s="3289">
        <v>3</v>
      </c>
      <c r="C785" s="3289">
        <v>1</v>
      </c>
      <c r="D785" s="3413">
        <v>203</v>
      </c>
      <c r="E785" s="3290">
        <v>211</v>
      </c>
      <c r="F785" s="3291">
        <v>1</v>
      </c>
      <c r="G785" s="3291">
        <v>0</v>
      </c>
      <c r="H785" s="3291">
        <v>1</v>
      </c>
      <c r="I785" s="3290" t="s">
        <v>3300</v>
      </c>
      <c r="J785" s="3290" t="s">
        <v>3305</v>
      </c>
      <c r="K785" s="3409">
        <v>42.46</v>
      </c>
      <c r="L785" s="3412">
        <v>31.54</v>
      </c>
      <c r="M785" s="3291"/>
      <c r="N785" s="3291"/>
      <c r="O785" s="3291"/>
      <c r="P785" s="3291"/>
      <c r="Q785" s="3291"/>
      <c r="R785" s="3291"/>
      <c r="S785" s="3291"/>
      <c r="T785" s="3239" t="str">
        <f t="shared" si="13"/>
        <v>无</v>
      </c>
      <c r="U785" s="3410"/>
    </row>
    <row r="786" spans="1:21" hidden="1">
      <c r="A786" s="3289">
        <v>784</v>
      </c>
      <c r="B786" s="3289">
        <v>3</v>
      </c>
      <c r="C786" s="3289">
        <v>1</v>
      </c>
      <c r="D786" s="3413">
        <v>204</v>
      </c>
      <c r="E786" s="3290">
        <v>214</v>
      </c>
      <c r="F786" s="3291">
        <v>1</v>
      </c>
      <c r="G786" s="3291">
        <v>0</v>
      </c>
      <c r="H786" s="3291">
        <v>1</v>
      </c>
      <c r="I786" s="3290" t="s">
        <v>3312</v>
      </c>
      <c r="J786" s="3290" t="s">
        <v>3305</v>
      </c>
      <c r="K786" s="3409">
        <v>42.46</v>
      </c>
      <c r="L786" s="3412">
        <v>31.54</v>
      </c>
      <c r="M786" s="3291"/>
      <c r="N786" s="3291"/>
      <c r="O786" s="3291"/>
      <c r="P786" s="3291"/>
      <c r="Q786" s="3291"/>
      <c r="R786" s="3291"/>
      <c r="S786" s="3291"/>
      <c r="T786" s="3239" t="str">
        <f t="shared" si="13"/>
        <v>无</v>
      </c>
      <c r="U786" s="3410"/>
    </row>
    <row r="787" spans="1:21" hidden="1">
      <c r="A787" s="3289">
        <v>785</v>
      </c>
      <c r="B787" s="3289">
        <v>3</v>
      </c>
      <c r="C787" s="3289">
        <v>1</v>
      </c>
      <c r="D787" s="3413">
        <v>205</v>
      </c>
      <c r="E787" s="3290">
        <v>215</v>
      </c>
      <c r="F787" s="3291">
        <v>1</v>
      </c>
      <c r="G787" s="3291">
        <v>0</v>
      </c>
      <c r="H787" s="3291">
        <v>1</v>
      </c>
      <c r="I787" s="3290" t="s">
        <v>3312</v>
      </c>
      <c r="J787" s="3290" t="s">
        <v>3504</v>
      </c>
      <c r="K787" s="3409">
        <v>42.83</v>
      </c>
      <c r="L787" s="3412">
        <v>31.81</v>
      </c>
      <c r="M787" s="3291"/>
      <c r="N787" s="3291"/>
      <c r="O787" s="3291"/>
      <c r="P787" s="3291"/>
      <c r="Q787" s="3291"/>
      <c r="R787" s="3291"/>
      <c r="S787" s="3291"/>
      <c r="T787" s="3239" t="str">
        <f t="shared" si="13"/>
        <v>无</v>
      </c>
      <c r="U787" s="3410"/>
    </row>
    <row r="788" spans="1:21">
      <c r="A788" s="3289">
        <v>786</v>
      </c>
      <c r="B788" s="3289">
        <v>3</v>
      </c>
      <c r="C788" s="3289">
        <v>1</v>
      </c>
      <c r="D788" s="3413">
        <v>206</v>
      </c>
      <c r="E788" s="3290">
        <v>210</v>
      </c>
      <c r="F788" s="3291">
        <v>1</v>
      </c>
      <c r="G788" s="3291">
        <v>1</v>
      </c>
      <c r="H788" s="3291">
        <v>1</v>
      </c>
      <c r="I788" s="3290" t="s">
        <v>3300</v>
      </c>
      <c r="J788" s="3290" t="s">
        <v>3341</v>
      </c>
      <c r="K788" s="3409">
        <v>54.28</v>
      </c>
      <c r="L788" s="3412">
        <v>40.32</v>
      </c>
      <c r="M788" s="3291"/>
      <c r="N788" s="3291"/>
      <c r="O788" s="3291"/>
      <c r="P788" s="3291"/>
      <c r="Q788" s="3291"/>
      <c r="R788" s="3291"/>
      <c r="S788" s="3291"/>
      <c r="T788" s="3239" t="str">
        <f t="shared" si="13"/>
        <v>有</v>
      </c>
      <c r="U788" s="3410"/>
    </row>
    <row r="789" spans="1:21">
      <c r="A789" s="3289">
        <v>787</v>
      </c>
      <c r="B789" s="3289">
        <v>3</v>
      </c>
      <c r="C789" s="3289">
        <v>1</v>
      </c>
      <c r="D789" s="3413">
        <v>207</v>
      </c>
      <c r="E789" s="3290">
        <v>209</v>
      </c>
      <c r="F789" s="3291">
        <v>1</v>
      </c>
      <c r="G789" s="3291">
        <v>1</v>
      </c>
      <c r="H789" s="3291">
        <v>1</v>
      </c>
      <c r="I789" s="3290" t="s">
        <v>3300</v>
      </c>
      <c r="J789" s="3290" t="s">
        <v>3326</v>
      </c>
      <c r="K789" s="3409">
        <v>54.28</v>
      </c>
      <c r="L789" s="3412">
        <v>40.32</v>
      </c>
      <c r="M789" s="3291"/>
      <c r="N789" s="3291"/>
      <c r="O789" s="3291"/>
      <c r="P789" s="3291"/>
      <c r="Q789" s="3291"/>
      <c r="R789" s="3291"/>
      <c r="S789" s="3291"/>
      <c r="T789" s="3239" t="str">
        <f t="shared" si="13"/>
        <v>有</v>
      </c>
      <c r="U789" s="3410"/>
    </row>
    <row r="790" spans="1:21">
      <c r="A790" s="3289">
        <v>788</v>
      </c>
      <c r="B790" s="3289">
        <v>3</v>
      </c>
      <c r="C790" s="3289">
        <v>1</v>
      </c>
      <c r="D790" s="3413">
        <v>209</v>
      </c>
      <c r="E790" s="3290">
        <v>208</v>
      </c>
      <c r="F790" s="3291">
        <v>1</v>
      </c>
      <c r="G790" s="3291">
        <v>1</v>
      </c>
      <c r="H790" s="3291">
        <v>1</v>
      </c>
      <c r="I790" s="3290" t="s">
        <v>3300</v>
      </c>
      <c r="J790" s="3290" t="s">
        <v>3326</v>
      </c>
      <c r="K790" s="3409">
        <v>54.28</v>
      </c>
      <c r="L790" s="3412">
        <v>40.32</v>
      </c>
      <c r="M790" s="3291"/>
      <c r="N790" s="3291"/>
      <c r="O790" s="3291"/>
      <c r="P790" s="3291"/>
      <c r="Q790" s="3291"/>
      <c r="R790" s="3291"/>
      <c r="S790" s="3291"/>
      <c r="T790" s="3239" t="str">
        <f t="shared" si="13"/>
        <v>有</v>
      </c>
      <c r="U790" s="3410"/>
    </row>
    <row r="791" spans="1:21" hidden="1">
      <c r="A791" s="3289">
        <v>789</v>
      </c>
      <c r="B791" s="3289">
        <v>3</v>
      </c>
      <c r="C791" s="3289">
        <v>1</v>
      </c>
      <c r="D791" s="3413">
        <v>210</v>
      </c>
      <c r="E791" s="3290">
        <v>216</v>
      </c>
      <c r="F791" s="3291">
        <v>1</v>
      </c>
      <c r="G791" s="3291">
        <v>0</v>
      </c>
      <c r="H791" s="3291">
        <v>1</v>
      </c>
      <c r="I791" s="3290" t="s">
        <v>3312</v>
      </c>
      <c r="J791" s="3290" t="s">
        <v>3306</v>
      </c>
      <c r="K791" s="3409">
        <v>43.43</v>
      </c>
      <c r="L791" s="3412">
        <v>32.26</v>
      </c>
      <c r="M791" s="3291"/>
      <c r="N791" s="3291"/>
      <c r="O791" s="3291"/>
      <c r="P791" s="3291"/>
      <c r="Q791" s="3291"/>
      <c r="R791" s="3291"/>
      <c r="S791" s="3291"/>
      <c r="T791" s="3239" t="str">
        <f t="shared" si="13"/>
        <v>无</v>
      </c>
      <c r="U791" s="3410"/>
    </row>
    <row r="792" spans="1:21">
      <c r="A792" s="3289">
        <v>790</v>
      </c>
      <c r="B792" s="3289">
        <v>3</v>
      </c>
      <c r="C792" s="3289">
        <v>1</v>
      </c>
      <c r="D792" s="3413">
        <v>211</v>
      </c>
      <c r="E792" s="3290">
        <v>207</v>
      </c>
      <c r="F792" s="3291">
        <v>1</v>
      </c>
      <c r="G792" s="3291">
        <v>1</v>
      </c>
      <c r="H792" s="3291">
        <v>1</v>
      </c>
      <c r="I792" s="3290" t="s">
        <v>3300</v>
      </c>
      <c r="J792" s="3290" t="s">
        <v>3326</v>
      </c>
      <c r="K792" s="3409">
        <v>54.28</v>
      </c>
      <c r="L792" s="3412">
        <v>40.32</v>
      </c>
      <c r="M792" s="3291"/>
      <c r="N792" s="3291"/>
      <c r="O792" s="3289">
        <v>2.9</v>
      </c>
      <c r="P792" s="3289" t="s">
        <v>3363</v>
      </c>
      <c r="Q792" s="3289" t="s">
        <v>3482</v>
      </c>
      <c r="R792" s="3291"/>
      <c r="S792" s="3291"/>
      <c r="T792" s="3239" t="str">
        <f t="shared" si="13"/>
        <v>有</v>
      </c>
      <c r="U792" s="3410"/>
    </row>
    <row r="793" spans="1:21">
      <c r="A793" s="3289">
        <v>791</v>
      </c>
      <c r="B793" s="3289">
        <v>3</v>
      </c>
      <c r="C793" s="3289">
        <v>1</v>
      </c>
      <c r="D793" s="3413">
        <v>212</v>
      </c>
      <c r="E793" s="3290">
        <v>217</v>
      </c>
      <c r="F793" s="3291">
        <v>1</v>
      </c>
      <c r="G793" s="3291">
        <v>1</v>
      </c>
      <c r="H793" s="3291">
        <v>1</v>
      </c>
      <c r="I793" s="3290" t="s">
        <v>3312</v>
      </c>
      <c r="J793" s="3290" t="s">
        <v>3326</v>
      </c>
      <c r="K793" s="3409">
        <v>54.28</v>
      </c>
      <c r="L793" s="3412">
        <v>40.32</v>
      </c>
      <c r="M793" s="3291"/>
      <c r="N793" s="3291"/>
      <c r="O793" s="3291"/>
      <c r="P793" s="3291"/>
      <c r="Q793" s="3291"/>
      <c r="R793" s="3291"/>
      <c r="S793" s="3291"/>
      <c r="T793" s="3239" t="str">
        <f t="shared" si="13"/>
        <v>有</v>
      </c>
      <c r="U793" s="3410"/>
    </row>
    <row r="794" spans="1:21">
      <c r="A794" s="3289">
        <v>792</v>
      </c>
      <c r="B794" s="3289">
        <v>3</v>
      </c>
      <c r="C794" s="3289">
        <v>1</v>
      </c>
      <c r="D794" s="3413">
        <v>213</v>
      </c>
      <c r="E794" s="3290">
        <v>218</v>
      </c>
      <c r="F794" s="3291">
        <v>1</v>
      </c>
      <c r="G794" s="3291">
        <v>1</v>
      </c>
      <c r="H794" s="3291">
        <v>1</v>
      </c>
      <c r="I794" s="3290" t="s">
        <v>3312</v>
      </c>
      <c r="J794" s="3290" t="s">
        <v>3326</v>
      </c>
      <c r="K794" s="3409">
        <v>54.28</v>
      </c>
      <c r="L794" s="3412">
        <v>40.32</v>
      </c>
      <c r="M794" s="3291"/>
      <c r="N794" s="3291"/>
      <c r="O794" s="3291"/>
      <c r="P794" s="3291"/>
      <c r="Q794" s="3291"/>
      <c r="R794" s="3291"/>
      <c r="S794" s="3291"/>
      <c r="T794" s="3239" t="str">
        <f t="shared" si="13"/>
        <v>有</v>
      </c>
      <c r="U794" s="3410"/>
    </row>
    <row r="795" spans="1:21">
      <c r="A795" s="3289">
        <v>793</v>
      </c>
      <c r="B795" s="3289">
        <v>3</v>
      </c>
      <c r="C795" s="3289">
        <v>1</v>
      </c>
      <c r="D795" s="3413">
        <v>214</v>
      </c>
      <c r="E795" s="3290">
        <v>206</v>
      </c>
      <c r="F795" s="3291">
        <v>1</v>
      </c>
      <c r="G795" s="3291">
        <v>1</v>
      </c>
      <c r="H795" s="3291">
        <v>1</v>
      </c>
      <c r="I795" s="3290" t="s">
        <v>3300</v>
      </c>
      <c r="J795" s="3290" t="s">
        <v>3326</v>
      </c>
      <c r="K795" s="3409">
        <v>54.28</v>
      </c>
      <c r="L795" s="3412">
        <v>40.32</v>
      </c>
      <c r="M795" s="3291"/>
      <c r="N795" s="3291"/>
      <c r="O795" s="3291"/>
      <c r="P795" s="3291"/>
      <c r="Q795" s="3291"/>
      <c r="R795" s="3291"/>
      <c r="S795" s="3291"/>
      <c r="T795" s="3239" t="str">
        <f t="shared" si="13"/>
        <v>有</v>
      </c>
      <c r="U795" s="3410"/>
    </row>
    <row r="796" spans="1:21">
      <c r="A796" s="3289">
        <v>794</v>
      </c>
      <c r="B796" s="3289">
        <v>3</v>
      </c>
      <c r="C796" s="3289">
        <v>1</v>
      </c>
      <c r="D796" s="3413">
        <v>215</v>
      </c>
      <c r="E796" s="3290">
        <v>219</v>
      </c>
      <c r="F796" s="3291">
        <v>1</v>
      </c>
      <c r="G796" s="3291">
        <v>1</v>
      </c>
      <c r="H796" s="3291">
        <v>1</v>
      </c>
      <c r="I796" s="3290" t="s">
        <v>3312</v>
      </c>
      <c r="J796" s="3290" t="s">
        <v>3326</v>
      </c>
      <c r="K796" s="3409">
        <v>54.28</v>
      </c>
      <c r="L796" s="3412">
        <v>40.32</v>
      </c>
      <c r="M796" s="3291"/>
      <c r="N796" s="3291"/>
      <c r="O796" s="3291"/>
      <c r="P796" s="3291"/>
      <c r="Q796" s="3291"/>
      <c r="R796" s="3291"/>
      <c r="S796" s="3291"/>
      <c r="T796" s="3239" t="str">
        <f t="shared" si="13"/>
        <v>有</v>
      </c>
      <c r="U796" s="3410"/>
    </row>
    <row r="797" spans="1:21">
      <c r="A797" s="3289">
        <v>795</v>
      </c>
      <c r="B797" s="3289">
        <v>3</v>
      </c>
      <c r="C797" s="3289">
        <v>1</v>
      </c>
      <c r="D797" s="3413">
        <v>216</v>
      </c>
      <c r="E797" s="3290">
        <v>205</v>
      </c>
      <c r="F797" s="3291">
        <v>1</v>
      </c>
      <c r="G797" s="3291">
        <v>1</v>
      </c>
      <c r="H797" s="3291">
        <v>1</v>
      </c>
      <c r="I797" s="3290" t="s">
        <v>3300</v>
      </c>
      <c r="J797" s="3290" t="s">
        <v>3326</v>
      </c>
      <c r="K797" s="3409">
        <v>54.28</v>
      </c>
      <c r="L797" s="3412">
        <v>40.32</v>
      </c>
      <c r="M797" s="3291"/>
      <c r="N797" s="3291"/>
      <c r="O797" s="3291"/>
      <c r="P797" s="3291"/>
      <c r="Q797" s="3291"/>
      <c r="R797" s="3291"/>
      <c r="S797" s="3291"/>
      <c r="T797" s="3239" t="str">
        <f t="shared" si="13"/>
        <v>有</v>
      </c>
      <c r="U797" s="3410"/>
    </row>
    <row r="798" spans="1:21">
      <c r="A798" s="3289">
        <v>796</v>
      </c>
      <c r="B798" s="3289">
        <v>3</v>
      </c>
      <c r="C798" s="3289">
        <v>1</v>
      </c>
      <c r="D798" s="3413">
        <v>217</v>
      </c>
      <c r="E798" s="3290">
        <v>204</v>
      </c>
      <c r="F798" s="3291">
        <v>1</v>
      </c>
      <c r="G798" s="3291">
        <v>1</v>
      </c>
      <c r="H798" s="3291">
        <v>1</v>
      </c>
      <c r="I798" s="3290" t="s">
        <v>3300</v>
      </c>
      <c r="J798" s="3290" t="s">
        <v>3326</v>
      </c>
      <c r="K798" s="3409">
        <v>54.28</v>
      </c>
      <c r="L798" s="3412">
        <v>40.32</v>
      </c>
      <c r="M798" s="3291"/>
      <c r="N798" s="3291"/>
      <c r="O798" s="3291"/>
      <c r="P798" s="3291"/>
      <c r="Q798" s="3291"/>
      <c r="R798" s="3291"/>
      <c r="S798" s="3291"/>
      <c r="T798" s="3239" t="str">
        <f t="shared" si="13"/>
        <v>有</v>
      </c>
      <c r="U798" s="3410"/>
    </row>
    <row r="799" spans="1:21">
      <c r="A799" s="3289">
        <v>797</v>
      </c>
      <c r="B799" s="3289">
        <v>3</v>
      </c>
      <c r="C799" s="3289">
        <v>1</v>
      </c>
      <c r="D799" s="3413">
        <v>218</v>
      </c>
      <c r="E799" s="3290">
        <v>203</v>
      </c>
      <c r="F799" s="3291">
        <v>1</v>
      </c>
      <c r="G799" s="3291">
        <v>1</v>
      </c>
      <c r="H799" s="3291">
        <v>1</v>
      </c>
      <c r="I799" s="3290" t="s">
        <v>3300</v>
      </c>
      <c r="J799" s="3290" t="s">
        <v>3326</v>
      </c>
      <c r="K799" s="3409">
        <v>54.28</v>
      </c>
      <c r="L799" s="3412">
        <v>40.32</v>
      </c>
      <c r="M799" s="3291"/>
      <c r="N799" s="3291"/>
      <c r="O799" s="3291"/>
      <c r="P799" s="3291"/>
      <c r="Q799" s="3291"/>
      <c r="R799" s="3291"/>
      <c r="S799" s="3291"/>
      <c r="T799" s="3239" t="str">
        <f t="shared" si="13"/>
        <v>有</v>
      </c>
      <c r="U799" s="3410"/>
    </row>
    <row r="800" spans="1:21">
      <c r="A800" s="3289">
        <v>798</v>
      </c>
      <c r="B800" s="3289">
        <v>3</v>
      </c>
      <c r="C800" s="3289">
        <v>1</v>
      </c>
      <c r="D800" s="3413">
        <v>219</v>
      </c>
      <c r="E800" s="3290">
        <v>220</v>
      </c>
      <c r="F800" s="3291">
        <v>1</v>
      </c>
      <c r="G800" s="3291">
        <v>1</v>
      </c>
      <c r="H800" s="3291">
        <v>1</v>
      </c>
      <c r="I800" s="3290" t="s">
        <v>3312</v>
      </c>
      <c r="J800" s="3290" t="s">
        <v>3340</v>
      </c>
      <c r="K800" s="3409">
        <v>54.73</v>
      </c>
      <c r="L800" s="3412">
        <v>40.65</v>
      </c>
      <c r="M800" s="3291"/>
      <c r="N800" s="3291"/>
      <c r="O800" s="3291"/>
      <c r="P800" s="3291"/>
      <c r="Q800" s="3291"/>
      <c r="R800" s="3291"/>
      <c r="S800" s="3291"/>
      <c r="T800" s="3239" t="str">
        <f t="shared" si="13"/>
        <v>有</v>
      </c>
      <c r="U800" s="3410"/>
    </row>
    <row r="801" spans="1:21">
      <c r="A801" s="3289">
        <v>799</v>
      </c>
      <c r="B801" s="3289">
        <v>3</v>
      </c>
      <c r="C801" s="3289">
        <v>1</v>
      </c>
      <c r="D801" s="3413">
        <v>220</v>
      </c>
      <c r="E801" s="3290">
        <v>202</v>
      </c>
      <c r="F801" s="3291">
        <v>1</v>
      </c>
      <c r="G801" s="3291">
        <v>1</v>
      </c>
      <c r="H801" s="3291">
        <v>1</v>
      </c>
      <c r="I801" s="3290" t="s">
        <v>3300</v>
      </c>
      <c r="J801" s="3290" t="s">
        <v>3340</v>
      </c>
      <c r="K801" s="3409">
        <v>54.73</v>
      </c>
      <c r="L801" s="3412">
        <v>40.65</v>
      </c>
      <c r="M801" s="3291"/>
      <c r="N801" s="3291"/>
      <c r="O801" s="3291"/>
      <c r="P801" s="3291"/>
      <c r="Q801" s="3291"/>
      <c r="R801" s="3291"/>
      <c r="S801" s="3291"/>
      <c r="T801" s="3239" t="str">
        <f t="shared" si="13"/>
        <v>有</v>
      </c>
      <c r="U801" s="3410"/>
    </row>
    <row r="802" spans="1:21">
      <c r="A802" s="3289">
        <v>800</v>
      </c>
      <c r="B802" s="3289">
        <v>3</v>
      </c>
      <c r="C802" s="3289">
        <v>1</v>
      </c>
      <c r="D802" s="3413">
        <v>221</v>
      </c>
      <c r="E802" s="3290">
        <v>221</v>
      </c>
      <c r="F802" s="3291">
        <v>4</v>
      </c>
      <c r="G802" s="3291">
        <v>1</v>
      </c>
      <c r="H802" s="3291">
        <v>1</v>
      </c>
      <c r="I802" s="3290" t="s">
        <v>3316</v>
      </c>
      <c r="J802" s="3290" t="s">
        <v>3339</v>
      </c>
      <c r="K802" s="3409">
        <v>103.21</v>
      </c>
      <c r="L802" s="3412">
        <v>76.66</v>
      </c>
      <c r="M802" s="3291"/>
      <c r="N802" s="3291"/>
      <c r="O802" s="3291"/>
      <c r="P802" s="3291"/>
      <c r="Q802" s="3291"/>
      <c r="R802" s="3291"/>
      <c r="S802" s="3291"/>
      <c r="T802" s="3239" t="str">
        <f t="shared" si="13"/>
        <v>有</v>
      </c>
      <c r="U802" s="3410"/>
    </row>
    <row r="803" spans="1:21">
      <c r="A803" s="3289">
        <v>801</v>
      </c>
      <c r="B803" s="3289">
        <v>3</v>
      </c>
      <c r="C803" s="3289">
        <v>1</v>
      </c>
      <c r="D803" s="3413">
        <v>222</v>
      </c>
      <c r="E803" s="3290">
        <v>201</v>
      </c>
      <c r="F803" s="3291">
        <v>4</v>
      </c>
      <c r="G803" s="3291">
        <v>1</v>
      </c>
      <c r="H803" s="3291">
        <v>1</v>
      </c>
      <c r="I803" s="3290" t="s">
        <v>3318</v>
      </c>
      <c r="J803" s="3290" t="s">
        <v>3339</v>
      </c>
      <c r="K803" s="3409">
        <v>103.21</v>
      </c>
      <c r="L803" s="3412">
        <v>76.66</v>
      </c>
      <c r="M803" s="3291"/>
      <c r="N803" s="3291"/>
      <c r="O803" s="3291"/>
      <c r="P803" s="3414"/>
      <c r="Q803" s="3414"/>
      <c r="R803" s="3291"/>
      <c r="S803" s="3291"/>
      <c r="T803" s="3239" t="str">
        <f t="shared" si="13"/>
        <v>有</v>
      </c>
      <c r="U803" s="3410"/>
    </row>
    <row r="804" spans="1:21" hidden="1">
      <c r="A804" s="3289">
        <v>802</v>
      </c>
      <c r="B804" s="3289">
        <v>3</v>
      </c>
      <c r="C804" s="3289">
        <v>1</v>
      </c>
      <c r="D804" s="3413">
        <v>301</v>
      </c>
      <c r="E804" s="3290">
        <v>313</v>
      </c>
      <c r="F804" s="3291">
        <v>1</v>
      </c>
      <c r="G804" s="3291">
        <v>0</v>
      </c>
      <c r="H804" s="3291">
        <v>1</v>
      </c>
      <c r="I804" s="3290" t="s">
        <v>3310</v>
      </c>
      <c r="J804" s="3290" t="s">
        <v>3503</v>
      </c>
      <c r="K804" s="3409">
        <v>42.58</v>
      </c>
      <c r="L804" s="3412">
        <v>31.63</v>
      </c>
      <c r="M804" s="3291"/>
      <c r="N804" s="3291"/>
      <c r="O804" s="3291"/>
      <c r="P804" s="3291"/>
      <c r="Q804" s="3291"/>
      <c r="R804" s="3291"/>
      <c r="S804" s="3291"/>
      <c r="T804" s="3239" t="str">
        <f t="shared" si="13"/>
        <v>无</v>
      </c>
    </row>
    <row r="805" spans="1:21" hidden="1">
      <c r="A805" s="3289">
        <v>803</v>
      </c>
      <c r="B805" s="3289">
        <v>3</v>
      </c>
      <c r="C805" s="3289">
        <v>1</v>
      </c>
      <c r="D805" s="3413">
        <v>302</v>
      </c>
      <c r="E805" s="3290">
        <v>312</v>
      </c>
      <c r="F805" s="3291">
        <v>1</v>
      </c>
      <c r="G805" s="3291">
        <v>0</v>
      </c>
      <c r="H805" s="3291">
        <v>1</v>
      </c>
      <c r="I805" s="3290" t="s">
        <v>3302</v>
      </c>
      <c r="J805" s="3290" t="s">
        <v>3503</v>
      </c>
      <c r="K805" s="3409">
        <v>42.58</v>
      </c>
      <c r="L805" s="3412">
        <v>31.63</v>
      </c>
      <c r="M805" s="3291"/>
      <c r="N805" s="3291"/>
      <c r="O805" s="3291"/>
      <c r="P805" s="3291"/>
      <c r="Q805" s="3291"/>
      <c r="R805" s="3291"/>
      <c r="S805" s="3291"/>
      <c r="T805" s="3239" t="str">
        <f t="shared" si="13"/>
        <v>无</v>
      </c>
    </row>
    <row r="806" spans="1:21" hidden="1">
      <c r="A806" s="3289">
        <v>804</v>
      </c>
      <c r="B806" s="3289">
        <v>3</v>
      </c>
      <c r="C806" s="3289">
        <v>1</v>
      </c>
      <c r="D806" s="3413">
        <v>303</v>
      </c>
      <c r="E806" s="3290">
        <v>311</v>
      </c>
      <c r="F806" s="3291">
        <v>1</v>
      </c>
      <c r="G806" s="3291">
        <v>0</v>
      </c>
      <c r="H806" s="3291">
        <v>1</v>
      </c>
      <c r="I806" s="3290" t="s">
        <v>3300</v>
      </c>
      <c r="J806" s="3290" t="s">
        <v>3305</v>
      </c>
      <c r="K806" s="3409">
        <v>42.46</v>
      </c>
      <c r="L806" s="3412">
        <v>31.54</v>
      </c>
      <c r="M806" s="3291"/>
      <c r="N806" s="3291"/>
      <c r="O806" s="3291"/>
      <c r="P806" s="3291"/>
      <c r="Q806" s="3291"/>
      <c r="R806" s="3291"/>
      <c r="S806" s="3291"/>
      <c r="T806" s="3239" t="str">
        <f t="shared" si="13"/>
        <v>无</v>
      </c>
    </row>
    <row r="807" spans="1:21" hidden="1">
      <c r="A807" s="3289">
        <v>805</v>
      </c>
      <c r="B807" s="3289">
        <v>3</v>
      </c>
      <c r="C807" s="3289">
        <v>1</v>
      </c>
      <c r="D807" s="3413">
        <v>304</v>
      </c>
      <c r="E807" s="3290">
        <v>314</v>
      </c>
      <c r="F807" s="3291">
        <v>1</v>
      </c>
      <c r="G807" s="3291">
        <v>0</v>
      </c>
      <c r="H807" s="3291">
        <v>1</v>
      </c>
      <c r="I807" s="3290" t="s">
        <v>3312</v>
      </c>
      <c r="J807" s="3290" t="s">
        <v>3305</v>
      </c>
      <c r="K807" s="3409">
        <v>42.46</v>
      </c>
      <c r="L807" s="3412">
        <v>31.54</v>
      </c>
      <c r="M807" s="3291"/>
      <c r="N807" s="3291"/>
      <c r="O807" s="3291"/>
      <c r="P807" s="3291"/>
      <c r="Q807" s="3291"/>
      <c r="R807" s="3291"/>
      <c r="S807" s="3291"/>
      <c r="T807" s="3239" t="str">
        <f t="shared" si="13"/>
        <v>无</v>
      </c>
    </row>
    <row r="808" spans="1:21" hidden="1">
      <c r="A808" s="3289">
        <v>806</v>
      </c>
      <c r="B808" s="3289">
        <v>3</v>
      </c>
      <c r="C808" s="3289">
        <v>1</v>
      </c>
      <c r="D808" s="3413">
        <v>305</v>
      </c>
      <c r="E808" s="3290">
        <v>315</v>
      </c>
      <c r="F808" s="3291">
        <v>1</v>
      </c>
      <c r="G808" s="3291">
        <v>0</v>
      </c>
      <c r="H808" s="3291">
        <v>1</v>
      </c>
      <c r="I808" s="3290" t="s">
        <v>3312</v>
      </c>
      <c r="J808" s="3290" t="s">
        <v>3504</v>
      </c>
      <c r="K808" s="3409">
        <v>42.83</v>
      </c>
      <c r="L808" s="3412">
        <v>31.81</v>
      </c>
      <c r="M808" s="3291"/>
      <c r="N808" s="3291"/>
      <c r="O808" s="3291"/>
      <c r="P808" s="3291"/>
      <c r="Q808" s="3291"/>
      <c r="R808" s="3291"/>
      <c r="S808" s="3291"/>
      <c r="T808" s="3239" t="str">
        <f t="shared" si="13"/>
        <v>无</v>
      </c>
    </row>
    <row r="809" spans="1:21">
      <c r="A809" s="3289">
        <v>807</v>
      </c>
      <c r="B809" s="3289">
        <v>3</v>
      </c>
      <c r="C809" s="3289">
        <v>1</v>
      </c>
      <c r="D809" s="3413">
        <v>306</v>
      </c>
      <c r="E809" s="3290">
        <v>310</v>
      </c>
      <c r="F809" s="3291">
        <v>1</v>
      </c>
      <c r="G809" s="3291">
        <v>1</v>
      </c>
      <c r="H809" s="3291">
        <v>1</v>
      </c>
      <c r="I809" s="3290" t="s">
        <v>3300</v>
      </c>
      <c r="J809" s="3290" t="s">
        <v>3341</v>
      </c>
      <c r="K809" s="3409">
        <v>54.28</v>
      </c>
      <c r="L809" s="3412">
        <v>40.32</v>
      </c>
      <c r="M809" s="3291"/>
      <c r="N809" s="3291"/>
      <c r="O809" s="3291"/>
      <c r="P809" s="3291"/>
      <c r="Q809" s="3291"/>
      <c r="R809" s="3291"/>
      <c r="S809" s="3291"/>
      <c r="T809" s="3239" t="str">
        <f t="shared" si="13"/>
        <v>有</v>
      </c>
    </row>
    <row r="810" spans="1:21">
      <c r="A810" s="3289">
        <v>808</v>
      </c>
      <c r="B810" s="3289">
        <v>3</v>
      </c>
      <c r="C810" s="3289">
        <v>1</v>
      </c>
      <c r="D810" s="3413">
        <v>307</v>
      </c>
      <c r="E810" s="3290">
        <v>309</v>
      </c>
      <c r="F810" s="3291">
        <v>1</v>
      </c>
      <c r="G810" s="3291">
        <v>1</v>
      </c>
      <c r="H810" s="3291">
        <v>1</v>
      </c>
      <c r="I810" s="3290" t="s">
        <v>3300</v>
      </c>
      <c r="J810" s="3290" t="s">
        <v>3326</v>
      </c>
      <c r="K810" s="3409">
        <v>54.28</v>
      </c>
      <c r="L810" s="3412">
        <v>40.32</v>
      </c>
      <c r="M810" s="3291"/>
      <c r="N810" s="3291"/>
      <c r="O810" s="3291"/>
      <c r="P810" s="3291"/>
      <c r="Q810" s="3291"/>
      <c r="R810" s="3291"/>
      <c r="S810" s="3291"/>
      <c r="T810" s="3239" t="str">
        <f t="shared" si="13"/>
        <v>有</v>
      </c>
    </row>
    <row r="811" spans="1:21">
      <c r="A811" s="3289">
        <v>809</v>
      </c>
      <c r="B811" s="3289">
        <v>3</v>
      </c>
      <c r="C811" s="3289">
        <v>1</v>
      </c>
      <c r="D811" s="3413">
        <v>309</v>
      </c>
      <c r="E811" s="3290">
        <v>308</v>
      </c>
      <c r="F811" s="3291">
        <v>1</v>
      </c>
      <c r="G811" s="3291">
        <v>1</v>
      </c>
      <c r="H811" s="3291">
        <v>1</v>
      </c>
      <c r="I811" s="3290" t="s">
        <v>3300</v>
      </c>
      <c r="J811" s="3290" t="s">
        <v>3326</v>
      </c>
      <c r="K811" s="3409">
        <v>54.28</v>
      </c>
      <c r="L811" s="3412">
        <v>40.32</v>
      </c>
      <c r="M811" s="3291"/>
      <c r="N811" s="3291"/>
      <c r="O811" s="3291"/>
      <c r="P811" s="3291"/>
      <c r="Q811" s="3291"/>
      <c r="R811" s="3291"/>
      <c r="S811" s="3291"/>
      <c r="T811" s="3239" t="str">
        <f t="shared" si="13"/>
        <v>有</v>
      </c>
    </row>
    <row r="812" spans="1:21" hidden="1">
      <c r="A812" s="3289">
        <v>810</v>
      </c>
      <c r="B812" s="3289">
        <v>3</v>
      </c>
      <c r="C812" s="3289">
        <v>1</v>
      </c>
      <c r="D812" s="3413">
        <v>310</v>
      </c>
      <c r="E812" s="3290">
        <v>316</v>
      </c>
      <c r="F812" s="3291">
        <v>1</v>
      </c>
      <c r="G812" s="3291">
        <v>0</v>
      </c>
      <c r="H812" s="3291">
        <v>1</v>
      </c>
      <c r="I812" s="3290" t="s">
        <v>3312</v>
      </c>
      <c r="J812" s="3290" t="s">
        <v>3306</v>
      </c>
      <c r="K812" s="3409">
        <v>43.43</v>
      </c>
      <c r="L812" s="3412">
        <v>32.26</v>
      </c>
      <c r="M812" s="3291"/>
      <c r="N812" s="3291"/>
      <c r="O812" s="3291"/>
      <c r="P812" s="3291"/>
      <c r="Q812" s="3291"/>
      <c r="R812" s="3291"/>
      <c r="S812" s="3291"/>
      <c r="T812" s="3239" t="str">
        <f t="shared" si="13"/>
        <v>无</v>
      </c>
    </row>
    <row r="813" spans="1:21">
      <c r="A813" s="3289">
        <v>811</v>
      </c>
      <c r="B813" s="3289">
        <v>3</v>
      </c>
      <c r="C813" s="3289">
        <v>1</v>
      </c>
      <c r="D813" s="3413">
        <v>311</v>
      </c>
      <c r="E813" s="3290">
        <v>307</v>
      </c>
      <c r="F813" s="3291">
        <v>1</v>
      </c>
      <c r="G813" s="3291">
        <v>1</v>
      </c>
      <c r="H813" s="3291">
        <v>1</v>
      </c>
      <c r="I813" s="3290" t="s">
        <v>3300</v>
      </c>
      <c r="J813" s="3290" t="s">
        <v>3326</v>
      </c>
      <c r="K813" s="3409">
        <v>54.28</v>
      </c>
      <c r="L813" s="3412">
        <v>40.32</v>
      </c>
      <c r="M813" s="3291"/>
      <c r="N813" s="3291"/>
      <c r="O813" s="3291"/>
      <c r="P813" s="3291"/>
      <c r="Q813" s="3291"/>
      <c r="R813" s="3291"/>
      <c r="S813" s="3291"/>
      <c r="T813" s="3239" t="str">
        <f t="shared" si="13"/>
        <v>有</v>
      </c>
    </row>
    <row r="814" spans="1:21">
      <c r="A814" s="3289">
        <v>812</v>
      </c>
      <c r="B814" s="3289">
        <v>3</v>
      </c>
      <c r="C814" s="3289">
        <v>1</v>
      </c>
      <c r="D814" s="3413">
        <v>312</v>
      </c>
      <c r="E814" s="3290">
        <v>317</v>
      </c>
      <c r="F814" s="3291">
        <v>1</v>
      </c>
      <c r="G814" s="3291">
        <v>1</v>
      </c>
      <c r="H814" s="3291">
        <v>1</v>
      </c>
      <c r="I814" s="3290" t="s">
        <v>3312</v>
      </c>
      <c r="J814" s="3290" t="s">
        <v>3326</v>
      </c>
      <c r="K814" s="3409">
        <v>54.28</v>
      </c>
      <c r="L814" s="3412">
        <v>40.32</v>
      </c>
      <c r="M814" s="3291"/>
      <c r="N814" s="3291"/>
      <c r="O814" s="3289">
        <v>2.9</v>
      </c>
      <c r="P814" s="3289" t="s">
        <v>3363</v>
      </c>
      <c r="Q814" s="3289" t="s">
        <v>3482</v>
      </c>
      <c r="R814" s="3291"/>
      <c r="S814" s="3291"/>
      <c r="T814" s="3239" t="str">
        <f t="shared" si="13"/>
        <v>有</v>
      </c>
    </row>
    <row r="815" spans="1:21">
      <c r="A815" s="3289">
        <v>813</v>
      </c>
      <c r="B815" s="3289">
        <v>3</v>
      </c>
      <c r="C815" s="3289">
        <v>1</v>
      </c>
      <c r="D815" s="3413">
        <v>313</v>
      </c>
      <c r="E815" s="3290">
        <v>318</v>
      </c>
      <c r="F815" s="3291">
        <v>1</v>
      </c>
      <c r="G815" s="3291">
        <v>1</v>
      </c>
      <c r="H815" s="3291">
        <v>1</v>
      </c>
      <c r="I815" s="3290" t="s">
        <v>3312</v>
      </c>
      <c r="J815" s="3290" t="s">
        <v>3326</v>
      </c>
      <c r="K815" s="3409">
        <v>54.28</v>
      </c>
      <c r="L815" s="3412">
        <v>40.32</v>
      </c>
      <c r="M815" s="3291"/>
      <c r="N815" s="3291"/>
      <c r="O815" s="3291"/>
      <c r="P815" s="3291"/>
      <c r="Q815" s="3291"/>
      <c r="R815" s="3291"/>
      <c r="S815" s="3291"/>
      <c r="T815" s="3239" t="str">
        <f t="shared" si="13"/>
        <v>有</v>
      </c>
    </row>
    <row r="816" spans="1:21">
      <c r="A816" s="3289">
        <v>814</v>
      </c>
      <c r="B816" s="3289">
        <v>3</v>
      </c>
      <c r="C816" s="3289">
        <v>1</v>
      </c>
      <c r="D816" s="3413">
        <v>314</v>
      </c>
      <c r="E816" s="3290">
        <v>306</v>
      </c>
      <c r="F816" s="3291">
        <v>1</v>
      </c>
      <c r="G816" s="3291">
        <v>1</v>
      </c>
      <c r="H816" s="3291">
        <v>1</v>
      </c>
      <c r="I816" s="3290" t="s">
        <v>3300</v>
      </c>
      <c r="J816" s="3290" t="s">
        <v>3326</v>
      </c>
      <c r="K816" s="3409">
        <v>54.28</v>
      </c>
      <c r="L816" s="3412">
        <v>40.32</v>
      </c>
      <c r="M816" s="3291"/>
      <c r="N816" s="3291"/>
      <c r="O816" s="3291"/>
      <c r="P816" s="3291"/>
      <c r="Q816" s="3291"/>
      <c r="R816" s="3291"/>
      <c r="S816" s="3291"/>
      <c r="T816" s="3239" t="str">
        <f t="shared" si="13"/>
        <v>有</v>
      </c>
    </row>
    <row r="817" spans="1:20">
      <c r="A817" s="3289">
        <v>815</v>
      </c>
      <c r="B817" s="3289">
        <v>3</v>
      </c>
      <c r="C817" s="3289">
        <v>1</v>
      </c>
      <c r="D817" s="3413">
        <v>315</v>
      </c>
      <c r="E817" s="3290">
        <v>319</v>
      </c>
      <c r="F817" s="3291">
        <v>1</v>
      </c>
      <c r="G817" s="3291">
        <v>1</v>
      </c>
      <c r="H817" s="3291">
        <v>1</v>
      </c>
      <c r="I817" s="3290" t="s">
        <v>3312</v>
      </c>
      <c r="J817" s="3290" t="s">
        <v>3326</v>
      </c>
      <c r="K817" s="3409">
        <v>54.28</v>
      </c>
      <c r="L817" s="3412">
        <v>40.32</v>
      </c>
      <c r="M817" s="3291"/>
      <c r="N817" s="3291"/>
      <c r="O817" s="3291"/>
      <c r="P817" s="3291"/>
      <c r="Q817" s="3291"/>
      <c r="R817" s="3291"/>
      <c r="S817" s="3291"/>
      <c r="T817" s="3239" t="str">
        <f t="shared" si="13"/>
        <v>有</v>
      </c>
    </row>
    <row r="818" spans="1:20">
      <c r="A818" s="3289">
        <v>816</v>
      </c>
      <c r="B818" s="3289">
        <v>3</v>
      </c>
      <c r="C818" s="3289">
        <v>1</v>
      </c>
      <c r="D818" s="3413">
        <v>316</v>
      </c>
      <c r="E818" s="3290">
        <v>305</v>
      </c>
      <c r="F818" s="3291">
        <v>1</v>
      </c>
      <c r="G818" s="3291">
        <v>1</v>
      </c>
      <c r="H818" s="3291">
        <v>1</v>
      </c>
      <c r="I818" s="3290" t="s">
        <v>3300</v>
      </c>
      <c r="J818" s="3290" t="s">
        <v>3326</v>
      </c>
      <c r="K818" s="3409">
        <v>54.28</v>
      </c>
      <c r="L818" s="3412">
        <v>40.32</v>
      </c>
      <c r="M818" s="3291"/>
      <c r="N818" s="3291"/>
      <c r="O818" s="3291"/>
      <c r="P818" s="3291"/>
      <c r="Q818" s="3291"/>
      <c r="R818" s="3291"/>
      <c r="S818" s="3291"/>
      <c r="T818" s="3239" t="str">
        <f t="shared" si="13"/>
        <v>有</v>
      </c>
    </row>
    <row r="819" spans="1:20">
      <c r="A819" s="3289">
        <v>817</v>
      </c>
      <c r="B819" s="3289">
        <v>3</v>
      </c>
      <c r="C819" s="3289">
        <v>1</v>
      </c>
      <c r="D819" s="3413">
        <v>317</v>
      </c>
      <c r="E819" s="3290">
        <v>304</v>
      </c>
      <c r="F819" s="3291">
        <v>1</v>
      </c>
      <c r="G819" s="3291">
        <v>1</v>
      </c>
      <c r="H819" s="3291">
        <v>1</v>
      </c>
      <c r="I819" s="3290" t="s">
        <v>3300</v>
      </c>
      <c r="J819" s="3290" t="s">
        <v>3326</v>
      </c>
      <c r="K819" s="3409">
        <v>54.28</v>
      </c>
      <c r="L819" s="3412">
        <v>40.32</v>
      </c>
      <c r="M819" s="3291"/>
      <c r="N819" s="3291"/>
      <c r="O819" s="3291"/>
      <c r="P819" s="3291"/>
      <c r="Q819" s="3291"/>
      <c r="R819" s="3291"/>
      <c r="S819" s="3291"/>
      <c r="T819" s="3239" t="str">
        <f t="shared" si="13"/>
        <v>有</v>
      </c>
    </row>
    <row r="820" spans="1:20">
      <c r="A820" s="3289">
        <v>818</v>
      </c>
      <c r="B820" s="3289">
        <v>3</v>
      </c>
      <c r="C820" s="3289">
        <v>1</v>
      </c>
      <c r="D820" s="3413">
        <v>318</v>
      </c>
      <c r="E820" s="3290">
        <v>303</v>
      </c>
      <c r="F820" s="3291">
        <v>1</v>
      </c>
      <c r="G820" s="3291">
        <v>1</v>
      </c>
      <c r="H820" s="3291">
        <v>1</v>
      </c>
      <c r="I820" s="3290" t="s">
        <v>3300</v>
      </c>
      <c r="J820" s="3290" t="s">
        <v>3326</v>
      </c>
      <c r="K820" s="3409">
        <v>54.28</v>
      </c>
      <c r="L820" s="3412">
        <v>40.32</v>
      </c>
      <c r="M820" s="3291"/>
      <c r="N820" s="3291"/>
      <c r="O820" s="3291"/>
      <c r="P820" s="3291"/>
      <c r="Q820" s="3291"/>
      <c r="R820" s="3291"/>
      <c r="S820" s="3291"/>
      <c r="T820" s="3239" t="str">
        <f t="shared" si="13"/>
        <v>有</v>
      </c>
    </row>
    <row r="821" spans="1:20">
      <c r="A821" s="3289">
        <v>819</v>
      </c>
      <c r="B821" s="3289">
        <v>3</v>
      </c>
      <c r="C821" s="3289">
        <v>1</v>
      </c>
      <c r="D821" s="3413">
        <v>319</v>
      </c>
      <c r="E821" s="3290">
        <v>320</v>
      </c>
      <c r="F821" s="3291">
        <v>1</v>
      </c>
      <c r="G821" s="3291">
        <v>1</v>
      </c>
      <c r="H821" s="3291">
        <v>1</v>
      </c>
      <c r="I821" s="3290" t="s">
        <v>3312</v>
      </c>
      <c r="J821" s="3290" t="s">
        <v>3340</v>
      </c>
      <c r="K821" s="3409">
        <v>54.73</v>
      </c>
      <c r="L821" s="3412">
        <v>40.65</v>
      </c>
      <c r="M821" s="3291"/>
      <c r="N821" s="3291"/>
      <c r="O821" s="3291"/>
      <c r="P821" s="3291"/>
      <c r="Q821" s="3291"/>
      <c r="R821" s="3291"/>
      <c r="S821" s="3291"/>
      <c r="T821" s="3239" t="str">
        <f t="shared" si="13"/>
        <v>有</v>
      </c>
    </row>
    <row r="822" spans="1:20">
      <c r="A822" s="3289">
        <v>820</v>
      </c>
      <c r="B822" s="3289">
        <v>3</v>
      </c>
      <c r="C822" s="3289">
        <v>1</v>
      </c>
      <c r="D822" s="3413">
        <v>320</v>
      </c>
      <c r="E822" s="3290">
        <v>302</v>
      </c>
      <c r="F822" s="3291">
        <v>1</v>
      </c>
      <c r="G822" s="3291">
        <v>1</v>
      </c>
      <c r="H822" s="3291">
        <v>1</v>
      </c>
      <c r="I822" s="3290" t="s">
        <v>3300</v>
      </c>
      <c r="J822" s="3290" t="s">
        <v>3340</v>
      </c>
      <c r="K822" s="3409">
        <v>54.73</v>
      </c>
      <c r="L822" s="3412">
        <v>40.65</v>
      </c>
      <c r="M822" s="3291"/>
      <c r="N822" s="3291"/>
      <c r="O822" s="3291"/>
      <c r="P822" s="3291"/>
      <c r="Q822" s="3291"/>
      <c r="R822" s="3291"/>
      <c r="S822" s="3291"/>
      <c r="T822" s="3239" t="str">
        <f t="shared" si="13"/>
        <v>有</v>
      </c>
    </row>
    <row r="823" spans="1:20">
      <c r="A823" s="3289">
        <v>821</v>
      </c>
      <c r="B823" s="3289">
        <v>3</v>
      </c>
      <c r="C823" s="3289">
        <v>1</v>
      </c>
      <c r="D823" s="3413">
        <v>321</v>
      </c>
      <c r="E823" s="3290">
        <v>321</v>
      </c>
      <c r="F823" s="3291">
        <v>4</v>
      </c>
      <c r="G823" s="3291">
        <v>1</v>
      </c>
      <c r="H823" s="3291">
        <v>1</v>
      </c>
      <c r="I823" s="3290" t="s">
        <v>3316</v>
      </c>
      <c r="J823" s="3290" t="s">
        <v>3339</v>
      </c>
      <c r="K823" s="3409">
        <v>103.21</v>
      </c>
      <c r="L823" s="3412">
        <v>76.66</v>
      </c>
      <c r="M823" s="3291"/>
      <c r="N823" s="3291"/>
      <c r="O823" s="3291"/>
      <c r="P823" s="3291"/>
      <c r="Q823" s="3291"/>
      <c r="R823" s="3291"/>
      <c r="S823" s="3291"/>
      <c r="T823" s="3239" t="str">
        <f t="shared" si="13"/>
        <v>有</v>
      </c>
    </row>
    <row r="824" spans="1:20">
      <c r="A824" s="3289">
        <v>822</v>
      </c>
      <c r="B824" s="3289">
        <v>3</v>
      </c>
      <c r="C824" s="3289">
        <v>1</v>
      </c>
      <c r="D824" s="3413">
        <v>322</v>
      </c>
      <c r="E824" s="3290">
        <v>301</v>
      </c>
      <c r="F824" s="3291">
        <v>4</v>
      </c>
      <c r="G824" s="3291">
        <v>1</v>
      </c>
      <c r="H824" s="3291">
        <v>1</v>
      </c>
      <c r="I824" s="3290" t="s">
        <v>3318</v>
      </c>
      <c r="J824" s="3290" t="s">
        <v>3339</v>
      </c>
      <c r="K824" s="3409">
        <v>103.21</v>
      </c>
      <c r="L824" s="3412">
        <v>76.66</v>
      </c>
      <c r="M824" s="3291"/>
      <c r="N824" s="3291"/>
      <c r="O824" s="3291"/>
      <c r="P824" s="3414"/>
      <c r="Q824" s="3414"/>
      <c r="R824" s="3291"/>
      <c r="S824" s="3291"/>
      <c r="T824" s="3239" t="str">
        <f t="shared" si="13"/>
        <v>有</v>
      </c>
    </row>
    <row r="825" spans="1:20" hidden="1">
      <c r="A825" s="3289">
        <v>823</v>
      </c>
      <c r="B825" s="3289">
        <v>3</v>
      </c>
      <c r="C825" s="3289">
        <v>1</v>
      </c>
      <c r="D825" s="3413">
        <v>401</v>
      </c>
      <c r="E825" s="3290">
        <v>413</v>
      </c>
      <c r="F825" s="3291">
        <v>1</v>
      </c>
      <c r="G825" s="3291">
        <v>0</v>
      </c>
      <c r="H825" s="3291">
        <v>1</v>
      </c>
      <c r="I825" s="3290" t="s">
        <v>3310</v>
      </c>
      <c r="J825" s="3290" t="s">
        <v>3503</v>
      </c>
      <c r="K825" s="3409">
        <v>42.58</v>
      </c>
      <c r="L825" s="3412">
        <v>31.63</v>
      </c>
      <c r="M825" s="3291"/>
      <c r="N825" s="3291"/>
      <c r="O825" s="3289"/>
      <c r="P825" s="3289"/>
      <c r="Q825" s="3289"/>
      <c r="R825" s="3291"/>
      <c r="S825" s="3291"/>
      <c r="T825" s="3239" t="str">
        <f t="shared" si="13"/>
        <v>无</v>
      </c>
    </row>
    <row r="826" spans="1:20" hidden="1">
      <c r="A826" s="3289">
        <v>824</v>
      </c>
      <c r="B826" s="3289">
        <v>3</v>
      </c>
      <c r="C826" s="3289">
        <v>1</v>
      </c>
      <c r="D826" s="3413">
        <v>402</v>
      </c>
      <c r="E826" s="3290">
        <v>412</v>
      </c>
      <c r="F826" s="3291">
        <v>1</v>
      </c>
      <c r="G826" s="3291">
        <v>0</v>
      </c>
      <c r="H826" s="3291">
        <v>1</v>
      </c>
      <c r="I826" s="3290" t="s">
        <v>3302</v>
      </c>
      <c r="J826" s="3290" t="s">
        <v>3503</v>
      </c>
      <c r="K826" s="3409">
        <v>42.58</v>
      </c>
      <c r="L826" s="3412">
        <v>31.63</v>
      </c>
      <c r="M826" s="3291"/>
      <c r="N826" s="3291"/>
      <c r="O826" s="3289"/>
      <c r="P826" s="3289"/>
      <c r="Q826" s="3289"/>
      <c r="R826" s="3291"/>
      <c r="S826" s="3291"/>
      <c r="T826" s="3239" t="str">
        <f t="shared" si="13"/>
        <v>无</v>
      </c>
    </row>
    <row r="827" spans="1:20" hidden="1">
      <c r="A827" s="3289">
        <v>825</v>
      </c>
      <c r="B827" s="3289">
        <v>3</v>
      </c>
      <c r="C827" s="3289">
        <v>1</v>
      </c>
      <c r="D827" s="3413">
        <v>403</v>
      </c>
      <c r="E827" s="3290">
        <v>411</v>
      </c>
      <c r="F827" s="3291">
        <v>1</v>
      </c>
      <c r="G827" s="3291">
        <v>0</v>
      </c>
      <c r="H827" s="3291">
        <v>1</v>
      </c>
      <c r="I827" s="3290" t="s">
        <v>3300</v>
      </c>
      <c r="J827" s="3290" t="s">
        <v>3305</v>
      </c>
      <c r="K827" s="3409">
        <v>42.46</v>
      </c>
      <c r="L827" s="3412">
        <v>31.54</v>
      </c>
      <c r="M827" s="3291"/>
      <c r="N827" s="3291"/>
      <c r="O827" s="3289"/>
      <c r="P827" s="3289"/>
      <c r="Q827" s="3289"/>
      <c r="R827" s="3291"/>
      <c r="S827" s="3291"/>
      <c r="T827" s="3239" t="str">
        <f t="shared" si="13"/>
        <v>无</v>
      </c>
    </row>
    <row r="828" spans="1:20" hidden="1">
      <c r="A828" s="3289">
        <v>826</v>
      </c>
      <c r="B828" s="3289">
        <v>3</v>
      </c>
      <c r="C828" s="3289">
        <v>1</v>
      </c>
      <c r="D828" s="3413">
        <v>404</v>
      </c>
      <c r="E828" s="3290">
        <v>414</v>
      </c>
      <c r="F828" s="3291">
        <v>1</v>
      </c>
      <c r="G828" s="3291">
        <v>0</v>
      </c>
      <c r="H828" s="3291">
        <v>1</v>
      </c>
      <c r="I828" s="3290" t="s">
        <v>3312</v>
      </c>
      <c r="J828" s="3290" t="s">
        <v>3305</v>
      </c>
      <c r="K828" s="3409">
        <v>42.46</v>
      </c>
      <c r="L828" s="3412">
        <v>31.54</v>
      </c>
      <c r="M828" s="3291"/>
      <c r="N828" s="3291"/>
      <c r="O828" s="3289"/>
      <c r="P828" s="3289"/>
      <c r="Q828" s="3289"/>
      <c r="R828" s="3291"/>
      <c r="S828" s="3291"/>
      <c r="T828" s="3239" t="str">
        <f t="shared" si="13"/>
        <v>无</v>
      </c>
    </row>
    <row r="829" spans="1:20" hidden="1">
      <c r="A829" s="3289">
        <v>827</v>
      </c>
      <c r="B829" s="3289">
        <v>3</v>
      </c>
      <c r="C829" s="3289">
        <v>1</v>
      </c>
      <c r="D829" s="3413">
        <v>405</v>
      </c>
      <c r="E829" s="3290">
        <v>415</v>
      </c>
      <c r="F829" s="3291">
        <v>1</v>
      </c>
      <c r="G829" s="3291">
        <v>0</v>
      </c>
      <c r="H829" s="3291">
        <v>1</v>
      </c>
      <c r="I829" s="3290" t="s">
        <v>3312</v>
      </c>
      <c r="J829" s="3290" t="s">
        <v>3504</v>
      </c>
      <c r="K829" s="3409">
        <v>42.83</v>
      </c>
      <c r="L829" s="3412">
        <v>31.81</v>
      </c>
      <c r="M829" s="3291"/>
      <c r="N829" s="3291"/>
      <c r="O829" s="3289"/>
      <c r="P829" s="3289"/>
      <c r="Q829" s="3289"/>
      <c r="R829" s="3291"/>
      <c r="S829" s="3291"/>
      <c r="T829" s="3239" t="str">
        <f t="shared" si="13"/>
        <v>无</v>
      </c>
    </row>
    <row r="830" spans="1:20">
      <c r="A830" s="3289">
        <v>828</v>
      </c>
      <c r="B830" s="3289">
        <v>3</v>
      </c>
      <c r="C830" s="3289">
        <v>1</v>
      </c>
      <c r="D830" s="3413">
        <v>406</v>
      </c>
      <c r="E830" s="3290">
        <v>410</v>
      </c>
      <c r="F830" s="3291">
        <v>1</v>
      </c>
      <c r="G830" s="3291">
        <v>1</v>
      </c>
      <c r="H830" s="3291">
        <v>1</v>
      </c>
      <c r="I830" s="3290" t="s">
        <v>3300</v>
      </c>
      <c r="J830" s="3290" t="s">
        <v>3341</v>
      </c>
      <c r="K830" s="3409">
        <v>54.28</v>
      </c>
      <c r="L830" s="3412">
        <v>40.32</v>
      </c>
      <c r="M830" s="3291"/>
      <c r="N830" s="3291"/>
      <c r="O830" s="3289"/>
      <c r="P830" s="3289"/>
      <c r="Q830" s="3289"/>
      <c r="R830" s="3291"/>
      <c r="S830" s="3291"/>
      <c r="T830" s="3239" t="str">
        <f t="shared" si="13"/>
        <v>有</v>
      </c>
    </row>
    <row r="831" spans="1:20">
      <c r="A831" s="3289">
        <v>829</v>
      </c>
      <c r="B831" s="3289">
        <v>3</v>
      </c>
      <c r="C831" s="3289">
        <v>1</v>
      </c>
      <c r="D831" s="3413">
        <v>407</v>
      </c>
      <c r="E831" s="3290">
        <v>409</v>
      </c>
      <c r="F831" s="3291">
        <v>1</v>
      </c>
      <c r="G831" s="3291">
        <v>1</v>
      </c>
      <c r="H831" s="3291">
        <v>1</v>
      </c>
      <c r="I831" s="3290" t="s">
        <v>3300</v>
      </c>
      <c r="J831" s="3290" t="s">
        <v>3326</v>
      </c>
      <c r="K831" s="3409">
        <v>54.28</v>
      </c>
      <c r="L831" s="3412">
        <v>40.32</v>
      </c>
      <c r="M831" s="3291"/>
      <c r="N831" s="3291"/>
      <c r="O831" s="3289"/>
      <c r="P831" s="3289"/>
      <c r="Q831" s="3289"/>
      <c r="R831" s="3291"/>
      <c r="S831" s="3291"/>
      <c r="T831" s="3239" t="str">
        <f t="shared" si="13"/>
        <v>有</v>
      </c>
    </row>
    <row r="832" spans="1:20">
      <c r="A832" s="3289">
        <v>830</v>
      </c>
      <c r="B832" s="3289">
        <v>3</v>
      </c>
      <c r="C832" s="3289">
        <v>1</v>
      </c>
      <c r="D832" s="3413">
        <v>409</v>
      </c>
      <c r="E832" s="3290">
        <v>408</v>
      </c>
      <c r="F832" s="3291">
        <v>1</v>
      </c>
      <c r="G832" s="3291">
        <v>1</v>
      </c>
      <c r="H832" s="3291">
        <v>1</v>
      </c>
      <c r="I832" s="3290" t="s">
        <v>3300</v>
      </c>
      <c r="J832" s="3290" t="s">
        <v>3326</v>
      </c>
      <c r="K832" s="3409">
        <v>54.28</v>
      </c>
      <c r="L832" s="3412">
        <v>40.32</v>
      </c>
      <c r="M832" s="3291"/>
      <c r="N832" s="3291"/>
      <c r="O832" s="3289"/>
      <c r="P832" s="3289"/>
      <c r="Q832" s="3289"/>
      <c r="R832" s="3291"/>
      <c r="S832" s="3291"/>
      <c r="T832" s="3239" t="str">
        <f t="shared" si="13"/>
        <v>有</v>
      </c>
    </row>
    <row r="833" spans="1:20" hidden="1">
      <c r="A833" s="3289">
        <v>831</v>
      </c>
      <c r="B833" s="3289">
        <v>3</v>
      </c>
      <c r="C833" s="3289">
        <v>1</v>
      </c>
      <c r="D833" s="3413">
        <v>410</v>
      </c>
      <c r="E833" s="3290">
        <v>416</v>
      </c>
      <c r="F833" s="3291">
        <v>1</v>
      </c>
      <c r="G833" s="3291">
        <v>0</v>
      </c>
      <c r="H833" s="3291">
        <v>1</v>
      </c>
      <c r="I833" s="3290" t="s">
        <v>3312</v>
      </c>
      <c r="J833" s="3290" t="s">
        <v>3306</v>
      </c>
      <c r="K833" s="3409">
        <v>43.43</v>
      </c>
      <c r="L833" s="3412">
        <v>32.26</v>
      </c>
      <c r="M833" s="3291"/>
      <c r="N833" s="3291"/>
      <c r="O833" s="3289"/>
      <c r="P833" s="3289"/>
      <c r="Q833" s="3289"/>
      <c r="R833" s="3291"/>
      <c r="S833" s="3291"/>
      <c r="T833" s="3239" t="str">
        <f t="shared" si="13"/>
        <v>无</v>
      </c>
    </row>
    <row r="834" spans="1:20">
      <c r="A834" s="3289">
        <v>832</v>
      </c>
      <c r="B834" s="3289">
        <v>3</v>
      </c>
      <c r="C834" s="3289">
        <v>1</v>
      </c>
      <c r="D834" s="3413">
        <v>411</v>
      </c>
      <c r="E834" s="3290">
        <v>407</v>
      </c>
      <c r="F834" s="3291">
        <v>1</v>
      </c>
      <c r="G834" s="3291">
        <v>1</v>
      </c>
      <c r="H834" s="3291">
        <v>1</v>
      </c>
      <c r="I834" s="3290" t="s">
        <v>3300</v>
      </c>
      <c r="J834" s="3290" t="s">
        <v>3326</v>
      </c>
      <c r="K834" s="3409">
        <v>54.28</v>
      </c>
      <c r="L834" s="3412">
        <v>40.32</v>
      </c>
      <c r="M834" s="3291"/>
      <c r="N834" s="3291"/>
      <c r="O834" s="3289"/>
      <c r="P834" s="3289"/>
      <c r="Q834" s="3289"/>
      <c r="R834" s="3291"/>
      <c r="S834" s="3291"/>
      <c r="T834" s="3239" t="str">
        <f t="shared" si="13"/>
        <v>有</v>
      </c>
    </row>
    <row r="835" spans="1:20">
      <c r="A835" s="3289">
        <v>833</v>
      </c>
      <c r="B835" s="3289">
        <v>3</v>
      </c>
      <c r="C835" s="3289">
        <v>1</v>
      </c>
      <c r="D835" s="3413">
        <v>412</v>
      </c>
      <c r="E835" s="3290">
        <v>417</v>
      </c>
      <c r="F835" s="3291">
        <v>1</v>
      </c>
      <c r="G835" s="3291">
        <v>1</v>
      </c>
      <c r="H835" s="3291">
        <v>1</v>
      </c>
      <c r="I835" s="3290" t="s">
        <v>3312</v>
      </c>
      <c r="J835" s="3290" t="s">
        <v>3326</v>
      </c>
      <c r="K835" s="3409">
        <v>54.28</v>
      </c>
      <c r="L835" s="3412">
        <v>40.32</v>
      </c>
      <c r="M835" s="3291"/>
      <c r="N835" s="3291"/>
      <c r="O835" s="3289"/>
      <c r="P835" s="3289"/>
      <c r="Q835" s="3289"/>
      <c r="R835" s="3291"/>
      <c r="S835" s="3291"/>
      <c r="T835" s="3239" t="str">
        <f t="shared" si="13"/>
        <v>有</v>
      </c>
    </row>
    <row r="836" spans="1:20">
      <c r="A836" s="3289">
        <v>834</v>
      </c>
      <c r="B836" s="3289">
        <v>3</v>
      </c>
      <c r="C836" s="3289">
        <v>1</v>
      </c>
      <c r="D836" s="3413">
        <v>413</v>
      </c>
      <c r="E836" s="3290">
        <v>418</v>
      </c>
      <c r="F836" s="3291">
        <v>1</v>
      </c>
      <c r="G836" s="3291">
        <v>1</v>
      </c>
      <c r="H836" s="3291">
        <v>1</v>
      </c>
      <c r="I836" s="3290" t="s">
        <v>3312</v>
      </c>
      <c r="J836" s="3290" t="s">
        <v>3326</v>
      </c>
      <c r="K836" s="3409">
        <v>54.28</v>
      </c>
      <c r="L836" s="3412">
        <v>40.32</v>
      </c>
      <c r="M836" s="3291"/>
      <c r="N836" s="3291"/>
      <c r="O836" s="3289">
        <v>2.9</v>
      </c>
      <c r="P836" s="3289" t="s">
        <v>3363</v>
      </c>
      <c r="Q836" s="3289" t="s">
        <v>3482</v>
      </c>
      <c r="R836" s="3291"/>
      <c r="S836" s="3291"/>
      <c r="T836" s="3239" t="str">
        <f t="shared" ref="T836:T899" si="14">IF(OR(J836="无障碍宿舍",J836="无障碍宿舍-01",J836="无障碍宿舍-02",J836="40平",J836="40平-01",J836="40平-02",J836="40平-03",J836="40平-04",J836="40平-06",J836="40平-07",J836="D2"),"无","有")</f>
        <v>有</v>
      </c>
    </row>
    <row r="837" spans="1:20">
      <c r="A837" s="3289">
        <v>835</v>
      </c>
      <c r="B837" s="3289">
        <v>3</v>
      </c>
      <c r="C837" s="3289">
        <v>1</v>
      </c>
      <c r="D837" s="3413">
        <v>414</v>
      </c>
      <c r="E837" s="3290">
        <v>406</v>
      </c>
      <c r="F837" s="3291">
        <v>1</v>
      </c>
      <c r="G837" s="3291">
        <v>1</v>
      </c>
      <c r="H837" s="3291">
        <v>1</v>
      </c>
      <c r="I837" s="3290" t="s">
        <v>3300</v>
      </c>
      <c r="J837" s="3290" t="s">
        <v>3326</v>
      </c>
      <c r="K837" s="3409">
        <v>54.28</v>
      </c>
      <c r="L837" s="3412">
        <v>40.32</v>
      </c>
      <c r="M837" s="3291"/>
      <c r="N837" s="3291"/>
      <c r="O837" s="3289"/>
      <c r="P837" s="3289"/>
      <c r="Q837" s="3289"/>
      <c r="R837" s="3291"/>
      <c r="S837" s="3291"/>
      <c r="T837" s="3239" t="str">
        <f t="shared" si="14"/>
        <v>有</v>
      </c>
    </row>
    <row r="838" spans="1:20">
      <c r="A838" s="3289">
        <v>836</v>
      </c>
      <c r="B838" s="3289">
        <v>3</v>
      </c>
      <c r="C838" s="3289">
        <v>1</v>
      </c>
      <c r="D838" s="3413">
        <v>415</v>
      </c>
      <c r="E838" s="3290">
        <v>419</v>
      </c>
      <c r="F838" s="3291">
        <v>1</v>
      </c>
      <c r="G838" s="3291">
        <v>1</v>
      </c>
      <c r="H838" s="3291">
        <v>1</v>
      </c>
      <c r="I838" s="3290" t="s">
        <v>3312</v>
      </c>
      <c r="J838" s="3290" t="s">
        <v>3326</v>
      </c>
      <c r="K838" s="3409">
        <v>54.28</v>
      </c>
      <c r="L838" s="3412">
        <v>40.32</v>
      </c>
      <c r="M838" s="3291"/>
      <c r="N838" s="3291"/>
      <c r="O838" s="3289"/>
      <c r="P838" s="3289"/>
      <c r="Q838" s="3289"/>
      <c r="R838" s="3291"/>
      <c r="S838" s="3291"/>
      <c r="T838" s="3239" t="str">
        <f t="shared" si="14"/>
        <v>有</v>
      </c>
    </row>
    <row r="839" spans="1:20">
      <c r="A839" s="3289">
        <v>837</v>
      </c>
      <c r="B839" s="3289">
        <v>3</v>
      </c>
      <c r="C839" s="3289">
        <v>1</v>
      </c>
      <c r="D839" s="3413">
        <v>416</v>
      </c>
      <c r="E839" s="3290">
        <v>405</v>
      </c>
      <c r="F839" s="3291">
        <v>1</v>
      </c>
      <c r="G839" s="3291">
        <v>1</v>
      </c>
      <c r="H839" s="3291">
        <v>1</v>
      </c>
      <c r="I839" s="3290" t="s">
        <v>3300</v>
      </c>
      <c r="J839" s="3290" t="s">
        <v>3326</v>
      </c>
      <c r="K839" s="3409">
        <v>54.28</v>
      </c>
      <c r="L839" s="3412">
        <v>40.32</v>
      </c>
      <c r="M839" s="3291"/>
      <c r="N839" s="3291"/>
      <c r="O839" s="3289"/>
      <c r="P839" s="3289"/>
      <c r="Q839" s="3289"/>
      <c r="R839" s="3291"/>
      <c r="S839" s="3291"/>
      <c r="T839" s="3239" t="str">
        <f t="shared" si="14"/>
        <v>有</v>
      </c>
    </row>
    <row r="840" spans="1:20">
      <c r="A840" s="3289">
        <v>838</v>
      </c>
      <c r="B840" s="3289">
        <v>3</v>
      </c>
      <c r="C840" s="3289">
        <v>1</v>
      </c>
      <c r="D840" s="3413">
        <v>417</v>
      </c>
      <c r="E840" s="3290">
        <v>404</v>
      </c>
      <c r="F840" s="3291">
        <v>1</v>
      </c>
      <c r="G840" s="3291">
        <v>1</v>
      </c>
      <c r="H840" s="3291">
        <v>1</v>
      </c>
      <c r="I840" s="3290" t="s">
        <v>3300</v>
      </c>
      <c r="J840" s="3290" t="s">
        <v>3326</v>
      </c>
      <c r="K840" s="3409">
        <v>54.28</v>
      </c>
      <c r="L840" s="3412">
        <v>40.32</v>
      </c>
      <c r="M840" s="3291"/>
      <c r="N840" s="3291"/>
      <c r="O840" s="3289"/>
      <c r="P840" s="3289"/>
      <c r="Q840" s="3289"/>
      <c r="R840" s="3291"/>
      <c r="S840" s="3291"/>
      <c r="T840" s="3239" t="str">
        <f t="shared" si="14"/>
        <v>有</v>
      </c>
    </row>
    <row r="841" spans="1:20">
      <c r="A841" s="3289">
        <v>839</v>
      </c>
      <c r="B841" s="3289">
        <v>3</v>
      </c>
      <c r="C841" s="3289">
        <v>1</v>
      </c>
      <c r="D841" s="3413">
        <v>418</v>
      </c>
      <c r="E841" s="3290">
        <v>403</v>
      </c>
      <c r="F841" s="3291">
        <v>1</v>
      </c>
      <c r="G841" s="3291">
        <v>1</v>
      </c>
      <c r="H841" s="3291">
        <v>1</v>
      </c>
      <c r="I841" s="3290" t="s">
        <v>3300</v>
      </c>
      <c r="J841" s="3290" t="s">
        <v>3326</v>
      </c>
      <c r="K841" s="3409">
        <v>54.28</v>
      </c>
      <c r="L841" s="3412">
        <v>40.32</v>
      </c>
      <c r="M841" s="3291"/>
      <c r="N841" s="3291"/>
      <c r="O841" s="3289"/>
      <c r="P841" s="3289"/>
      <c r="Q841" s="3289"/>
      <c r="R841" s="3291"/>
      <c r="S841" s="3291"/>
      <c r="T841" s="3239" t="str">
        <f t="shared" si="14"/>
        <v>有</v>
      </c>
    </row>
    <row r="842" spans="1:20">
      <c r="A842" s="3289">
        <v>840</v>
      </c>
      <c r="B842" s="3289">
        <v>3</v>
      </c>
      <c r="C842" s="3289">
        <v>1</v>
      </c>
      <c r="D842" s="3413">
        <v>419</v>
      </c>
      <c r="E842" s="3290">
        <v>420</v>
      </c>
      <c r="F842" s="3291">
        <v>1</v>
      </c>
      <c r="G842" s="3291">
        <v>1</v>
      </c>
      <c r="H842" s="3291">
        <v>1</v>
      </c>
      <c r="I842" s="3290" t="s">
        <v>3312</v>
      </c>
      <c r="J842" s="3290" t="s">
        <v>3340</v>
      </c>
      <c r="K842" s="3409">
        <v>54.73</v>
      </c>
      <c r="L842" s="3412">
        <v>40.65</v>
      </c>
      <c r="M842" s="3291"/>
      <c r="N842" s="3291"/>
      <c r="O842" s="3289"/>
      <c r="P842" s="3289"/>
      <c r="Q842" s="3289"/>
      <c r="R842" s="3291"/>
      <c r="S842" s="3291"/>
      <c r="T842" s="3239" t="str">
        <f t="shared" si="14"/>
        <v>有</v>
      </c>
    </row>
    <row r="843" spans="1:20">
      <c r="A843" s="3289">
        <v>841</v>
      </c>
      <c r="B843" s="3289">
        <v>3</v>
      </c>
      <c r="C843" s="3289">
        <v>1</v>
      </c>
      <c r="D843" s="3413">
        <v>420</v>
      </c>
      <c r="E843" s="3290">
        <v>402</v>
      </c>
      <c r="F843" s="3291">
        <v>1</v>
      </c>
      <c r="G843" s="3291">
        <v>1</v>
      </c>
      <c r="H843" s="3291">
        <v>1</v>
      </c>
      <c r="I843" s="3290" t="s">
        <v>3300</v>
      </c>
      <c r="J843" s="3290" t="s">
        <v>3340</v>
      </c>
      <c r="K843" s="3409">
        <v>54.73</v>
      </c>
      <c r="L843" s="3412">
        <v>40.65</v>
      </c>
      <c r="M843" s="3291"/>
      <c r="N843" s="3291"/>
      <c r="O843" s="3289"/>
      <c r="P843" s="3289"/>
      <c r="Q843" s="3289"/>
      <c r="R843" s="3291"/>
      <c r="S843" s="3291"/>
      <c r="T843" s="3239" t="str">
        <f t="shared" si="14"/>
        <v>有</v>
      </c>
    </row>
    <row r="844" spans="1:20">
      <c r="A844" s="3289">
        <v>842</v>
      </c>
      <c r="B844" s="3289">
        <v>3</v>
      </c>
      <c r="C844" s="3289">
        <v>1</v>
      </c>
      <c r="D844" s="3413">
        <v>421</v>
      </c>
      <c r="E844" s="3290">
        <v>421</v>
      </c>
      <c r="F844" s="3291">
        <v>4</v>
      </c>
      <c r="G844" s="3291">
        <v>1</v>
      </c>
      <c r="H844" s="3291">
        <v>1</v>
      </c>
      <c r="I844" s="3290" t="s">
        <v>3316</v>
      </c>
      <c r="J844" s="3290" t="s">
        <v>3339</v>
      </c>
      <c r="K844" s="3409">
        <v>103.21</v>
      </c>
      <c r="L844" s="3412">
        <v>76.66</v>
      </c>
      <c r="M844" s="3291"/>
      <c r="N844" s="3291"/>
      <c r="O844" s="3289"/>
      <c r="P844" s="3289"/>
      <c r="Q844" s="3289"/>
      <c r="R844" s="3291"/>
      <c r="S844" s="3291"/>
      <c r="T844" s="3239" t="str">
        <f t="shared" si="14"/>
        <v>有</v>
      </c>
    </row>
    <row r="845" spans="1:20">
      <c r="A845" s="3289">
        <v>843</v>
      </c>
      <c r="B845" s="3289">
        <v>3</v>
      </c>
      <c r="C845" s="3289">
        <v>1</v>
      </c>
      <c r="D845" s="3413">
        <v>422</v>
      </c>
      <c r="E845" s="3290">
        <v>401</v>
      </c>
      <c r="F845" s="3291">
        <v>4</v>
      </c>
      <c r="G845" s="3291">
        <v>1</v>
      </c>
      <c r="H845" s="3291">
        <v>1</v>
      </c>
      <c r="I845" s="3290" t="s">
        <v>3318</v>
      </c>
      <c r="J845" s="3290" t="s">
        <v>3339</v>
      </c>
      <c r="K845" s="3409">
        <v>103.21</v>
      </c>
      <c r="L845" s="3412">
        <v>76.66</v>
      </c>
      <c r="M845" s="3291"/>
      <c r="N845" s="3291"/>
      <c r="O845" s="3289"/>
      <c r="P845" s="3413"/>
      <c r="Q845" s="3413"/>
      <c r="R845" s="3291"/>
      <c r="S845" s="3291"/>
      <c r="T845" s="3239" t="str">
        <f t="shared" si="14"/>
        <v>有</v>
      </c>
    </row>
    <row r="846" spans="1:20" hidden="1">
      <c r="A846" s="3289">
        <v>844</v>
      </c>
      <c r="B846" s="3289">
        <v>3</v>
      </c>
      <c r="C846" s="3289">
        <v>1</v>
      </c>
      <c r="D846" s="3413">
        <v>501</v>
      </c>
      <c r="E846" s="3290">
        <v>513</v>
      </c>
      <c r="F846" s="3291">
        <v>1</v>
      </c>
      <c r="G846" s="3291">
        <v>0</v>
      </c>
      <c r="H846" s="3291">
        <v>1</v>
      </c>
      <c r="I846" s="3290" t="s">
        <v>3310</v>
      </c>
      <c r="J846" s="3290" t="s">
        <v>3503</v>
      </c>
      <c r="K846" s="3409">
        <v>42.58</v>
      </c>
      <c r="L846" s="3412">
        <v>31.63</v>
      </c>
      <c r="M846" s="3291"/>
      <c r="N846" s="3291"/>
      <c r="O846" s="3289"/>
      <c r="P846" s="3289"/>
      <c r="Q846" s="3289"/>
      <c r="R846" s="3291"/>
      <c r="S846" s="3291"/>
      <c r="T846" s="3239" t="str">
        <f t="shared" si="14"/>
        <v>无</v>
      </c>
    </row>
    <row r="847" spans="1:20" hidden="1">
      <c r="A847" s="3289">
        <v>845</v>
      </c>
      <c r="B847" s="3289">
        <v>3</v>
      </c>
      <c r="C847" s="3289">
        <v>1</v>
      </c>
      <c r="D847" s="3413">
        <v>502</v>
      </c>
      <c r="E847" s="3290">
        <v>512</v>
      </c>
      <c r="F847" s="3291">
        <v>1</v>
      </c>
      <c r="G847" s="3291">
        <v>0</v>
      </c>
      <c r="H847" s="3291">
        <v>1</v>
      </c>
      <c r="I847" s="3290" t="s">
        <v>3302</v>
      </c>
      <c r="J847" s="3290" t="s">
        <v>3503</v>
      </c>
      <c r="K847" s="3409">
        <v>42.58</v>
      </c>
      <c r="L847" s="3412">
        <v>31.63</v>
      </c>
      <c r="M847" s="3291"/>
      <c r="N847" s="3291"/>
      <c r="O847" s="3289"/>
      <c r="P847" s="3289"/>
      <c r="Q847" s="3289"/>
      <c r="R847" s="3291"/>
      <c r="S847" s="3291"/>
      <c r="T847" s="3239" t="str">
        <f t="shared" si="14"/>
        <v>无</v>
      </c>
    </row>
    <row r="848" spans="1:20" hidden="1">
      <c r="A848" s="3289">
        <v>846</v>
      </c>
      <c r="B848" s="3289">
        <v>3</v>
      </c>
      <c r="C848" s="3289">
        <v>1</v>
      </c>
      <c r="D848" s="3413">
        <v>503</v>
      </c>
      <c r="E848" s="3290">
        <v>511</v>
      </c>
      <c r="F848" s="3291">
        <v>1</v>
      </c>
      <c r="G848" s="3291">
        <v>0</v>
      </c>
      <c r="H848" s="3291">
        <v>1</v>
      </c>
      <c r="I848" s="3290" t="s">
        <v>3300</v>
      </c>
      <c r="J848" s="3290" t="s">
        <v>3305</v>
      </c>
      <c r="K848" s="3409">
        <v>42.46</v>
      </c>
      <c r="L848" s="3412">
        <v>31.54</v>
      </c>
      <c r="M848" s="3291"/>
      <c r="N848" s="3291"/>
      <c r="O848" s="3289"/>
      <c r="P848" s="3289"/>
      <c r="Q848" s="3289"/>
      <c r="R848" s="3291"/>
      <c r="S848" s="3291"/>
      <c r="T848" s="3239" t="str">
        <f t="shared" si="14"/>
        <v>无</v>
      </c>
    </row>
    <row r="849" spans="1:20" hidden="1">
      <c r="A849" s="3289">
        <v>847</v>
      </c>
      <c r="B849" s="3289">
        <v>3</v>
      </c>
      <c r="C849" s="3289">
        <v>1</v>
      </c>
      <c r="D849" s="3413">
        <v>504</v>
      </c>
      <c r="E849" s="3290">
        <v>514</v>
      </c>
      <c r="F849" s="3291">
        <v>1</v>
      </c>
      <c r="G849" s="3291">
        <v>0</v>
      </c>
      <c r="H849" s="3291">
        <v>1</v>
      </c>
      <c r="I849" s="3290" t="s">
        <v>3312</v>
      </c>
      <c r="J849" s="3290" t="s">
        <v>3305</v>
      </c>
      <c r="K849" s="3409">
        <v>42.46</v>
      </c>
      <c r="L849" s="3412">
        <v>31.54</v>
      </c>
      <c r="M849" s="3291"/>
      <c r="N849" s="3291"/>
      <c r="O849" s="3289"/>
      <c r="P849" s="3289"/>
      <c r="Q849" s="3289"/>
      <c r="R849" s="3291"/>
      <c r="S849" s="3291"/>
      <c r="T849" s="3239" t="str">
        <f t="shared" si="14"/>
        <v>无</v>
      </c>
    </row>
    <row r="850" spans="1:20" hidden="1">
      <c r="A850" s="3289">
        <v>848</v>
      </c>
      <c r="B850" s="3289">
        <v>3</v>
      </c>
      <c r="C850" s="3289">
        <v>1</v>
      </c>
      <c r="D850" s="3413">
        <v>505</v>
      </c>
      <c r="E850" s="3290">
        <v>515</v>
      </c>
      <c r="F850" s="3291">
        <v>1</v>
      </c>
      <c r="G850" s="3291">
        <v>0</v>
      </c>
      <c r="H850" s="3291">
        <v>1</v>
      </c>
      <c r="I850" s="3290" t="s">
        <v>3312</v>
      </c>
      <c r="J850" s="3290" t="s">
        <v>3504</v>
      </c>
      <c r="K850" s="3409">
        <v>42.83</v>
      </c>
      <c r="L850" s="3412">
        <v>31.81</v>
      </c>
      <c r="M850" s="3291"/>
      <c r="N850" s="3291"/>
      <c r="O850" s="3289"/>
      <c r="P850" s="3289"/>
      <c r="Q850" s="3289"/>
      <c r="R850" s="3291"/>
      <c r="S850" s="3291"/>
      <c r="T850" s="3239" t="str">
        <f t="shared" si="14"/>
        <v>无</v>
      </c>
    </row>
    <row r="851" spans="1:20">
      <c r="A851" s="3289">
        <v>849</v>
      </c>
      <c r="B851" s="3289">
        <v>3</v>
      </c>
      <c r="C851" s="3289">
        <v>1</v>
      </c>
      <c r="D851" s="3413">
        <v>506</v>
      </c>
      <c r="E851" s="3290">
        <v>510</v>
      </c>
      <c r="F851" s="3291">
        <v>1</v>
      </c>
      <c r="G851" s="3291">
        <v>1</v>
      </c>
      <c r="H851" s="3291">
        <v>1</v>
      </c>
      <c r="I851" s="3290" t="s">
        <v>3300</v>
      </c>
      <c r="J851" s="3290" t="s">
        <v>3341</v>
      </c>
      <c r="K851" s="3409">
        <v>54.28</v>
      </c>
      <c r="L851" s="3412">
        <v>40.32</v>
      </c>
      <c r="M851" s="3291"/>
      <c r="N851" s="3291"/>
      <c r="O851" s="3289"/>
      <c r="P851" s="3289"/>
      <c r="Q851" s="3289"/>
      <c r="R851" s="3291"/>
      <c r="S851" s="3291"/>
      <c r="T851" s="3239" t="str">
        <f t="shared" si="14"/>
        <v>有</v>
      </c>
    </row>
    <row r="852" spans="1:20">
      <c r="A852" s="3289">
        <v>850</v>
      </c>
      <c r="B852" s="3289">
        <v>3</v>
      </c>
      <c r="C852" s="3289">
        <v>1</v>
      </c>
      <c r="D852" s="3413">
        <v>507</v>
      </c>
      <c r="E852" s="3290">
        <v>509</v>
      </c>
      <c r="F852" s="3291">
        <v>1</v>
      </c>
      <c r="G852" s="3291">
        <v>1</v>
      </c>
      <c r="H852" s="3291">
        <v>1</v>
      </c>
      <c r="I852" s="3290" t="s">
        <v>3300</v>
      </c>
      <c r="J852" s="3290" t="s">
        <v>3326</v>
      </c>
      <c r="K852" s="3409">
        <v>54.28</v>
      </c>
      <c r="L852" s="3412">
        <v>40.32</v>
      </c>
      <c r="M852" s="3291"/>
      <c r="N852" s="3291"/>
      <c r="O852" s="3289"/>
      <c r="P852" s="3289"/>
      <c r="Q852" s="3289"/>
      <c r="R852" s="3291"/>
      <c r="S852" s="3291"/>
      <c r="T852" s="3239" t="str">
        <f t="shared" si="14"/>
        <v>有</v>
      </c>
    </row>
    <row r="853" spans="1:20">
      <c r="A853" s="3289">
        <v>851</v>
      </c>
      <c r="B853" s="3289">
        <v>3</v>
      </c>
      <c r="C853" s="3289">
        <v>1</v>
      </c>
      <c r="D853" s="3413">
        <v>509</v>
      </c>
      <c r="E853" s="3290">
        <v>508</v>
      </c>
      <c r="F853" s="3291">
        <v>1</v>
      </c>
      <c r="G853" s="3291">
        <v>1</v>
      </c>
      <c r="H853" s="3291">
        <v>1</v>
      </c>
      <c r="I853" s="3290" t="s">
        <v>3300</v>
      </c>
      <c r="J853" s="3290" t="s">
        <v>3326</v>
      </c>
      <c r="K853" s="3409">
        <v>54.28</v>
      </c>
      <c r="L853" s="3412">
        <v>40.32</v>
      </c>
      <c r="M853" s="3291"/>
      <c r="N853" s="3291"/>
      <c r="O853" s="3289"/>
      <c r="P853" s="3289"/>
      <c r="Q853" s="3289"/>
      <c r="R853" s="3291"/>
      <c r="S853" s="3291"/>
      <c r="T853" s="3239" t="str">
        <f t="shared" si="14"/>
        <v>有</v>
      </c>
    </row>
    <row r="854" spans="1:20" hidden="1">
      <c r="A854" s="3289">
        <v>852</v>
      </c>
      <c r="B854" s="3289">
        <v>3</v>
      </c>
      <c r="C854" s="3289">
        <v>1</v>
      </c>
      <c r="D854" s="3413">
        <v>510</v>
      </c>
      <c r="E854" s="3290">
        <v>516</v>
      </c>
      <c r="F854" s="3291">
        <v>1</v>
      </c>
      <c r="G854" s="3291">
        <v>0</v>
      </c>
      <c r="H854" s="3291">
        <v>1</v>
      </c>
      <c r="I854" s="3290" t="s">
        <v>3312</v>
      </c>
      <c r="J854" s="3290" t="s">
        <v>3306</v>
      </c>
      <c r="K854" s="3409">
        <v>43.43</v>
      </c>
      <c r="L854" s="3412">
        <v>32.26</v>
      </c>
      <c r="M854" s="3291"/>
      <c r="N854" s="3291"/>
      <c r="O854" s="3289"/>
      <c r="P854" s="3289"/>
      <c r="Q854" s="3289"/>
      <c r="R854" s="3291"/>
      <c r="S854" s="3291"/>
      <c r="T854" s="3239" t="str">
        <f t="shared" si="14"/>
        <v>无</v>
      </c>
    </row>
    <row r="855" spans="1:20">
      <c r="A855" s="3289">
        <v>853</v>
      </c>
      <c r="B855" s="3289">
        <v>3</v>
      </c>
      <c r="C855" s="3289">
        <v>1</v>
      </c>
      <c r="D855" s="3413">
        <v>511</v>
      </c>
      <c r="E855" s="3290">
        <v>507</v>
      </c>
      <c r="F855" s="3291">
        <v>1</v>
      </c>
      <c r="G855" s="3291">
        <v>1</v>
      </c>
      <c r="H855" s="3291">
        <v>1</v>
      </c>
      <c r="I855" s="3290" t="s">
        <v>3300</v>
      </c>
      <c r="J855" s="3290" t="s">
        <v>3326</v>
      </c>
      <c r="K855" s="3409">
        <v>54.28</v>
      </c>
      <c r="L855" s="3412">
        <v>40.32</v>
      </c>
      <c r="M855" s="3291"/>
      <c r="N855" s="3291"/>
      <c r="O855" s="3289"/>
      <c r="P855" s="3289"/>
      <c r="Q855" s="3289"/>
      <c r="R855" s="3291"/>
      <c r="S855" s="3291"/>
      <c r="T855" s="3239" t="str">
        <f t="shared" si="14"/>
        <v>有</v>
      </c>
    </row>
    <row r="856" spans="1:20">
      <c r="A856" s="3289">
        <v>854</v>
      </c>
      <c r="B856" s="3289">
        <v>3</v>
      </c>
      <c r="C856" s="3289">
        <v>1</v>
      </c>
      <c r="D856" s="3413">
        <v>512</v>
      </c>
      <c r="E856" s="3290">
        <v>517</v>
      </c>
      <c r="F856" s="3291">
        <v>1</v>
      </c>
      <c r="G856" s="3291">
        <v>1</v>
      </c>
      <c r="H856" s="3291">
        <v>1</v>
      </c>
      <c r="I856" s="3290" t="s">
        <v>3312</v>
      </c>
      <c r="J856" s="3290" t="s">
        <v>3326</v>
      </c>
      <c r="K856" s="3409">
        <v>54.28</v>
      </c>
      <c r="L856" s="3412">
        <v>40.32</v>
      </c>
      <c r="M856" s="3291"/>
      <c r="N856" s="3291"/>
      <c r="O856" s="3289">
        <v>2.9</v>
      </c>
      <c r="P856" s="3289" t="s">
        <v>3363</v>
      </c>
      <c r="Q856" s="3289" t="s">
        <v>3482</v>
      </c>
      <c r="R856" s="3291"/>
      <c r="S856" s="3291"/>
      <c r="T856" s="3239" t="str">
        <f t="shared" si="14"/>
        <v>有</v>
      </c>
    </row>
    <row r="857" spans="1:20">
      <c r="A857" s="3289">
        <v>855</v>
      </c>
      <c r="B857" s="3289">
        <v>3</v>
      </c>
      <c r="C857" s="3289">
        <v>1</v>
      </c>
      <c r="D857" s="3413">
        <v>513</v>
      </c>
      <c r="E857" s="3290">
        <v>518</v>
      </c>
      <c r="F857" s="3291">
        <v>1</v>
      </c>
      <c r="G857" s="3291">
        <v>1</v>
      </c>
      <c r="H857" s="3291">
        <v>1</v>
      </c>
      <c r="I857" s="3290" t="s">
        <v>3312</v>
      </c>
      <c r="J857" s="3290" t="s">
        <v>3326</v>
      </c>
      <c r="K857" s="3409">
        <v>54.28</v>
      </c>
      <c r="L857" s="3412">
        <v>40.32</v>
      </c>
      <c r="M857" s="3291"/>
      <c r="N857" s="3291"/>
      <c r="O857" s="3289"/>
      <c r="P857" s="3289"/>
      <c r="Q857" s="3289"/>
      <c r="R857" s="3291"/>
      <c r="S857" s="3291"/>
      <c r="T857" s="3239" t="str">
        <f t="shared" si="14"/>
        <v>有</v>
      </c>
    </row>
    <row r="858" spans="1:20">
      <c r="A858" s="3289">
        <v>856</v>
      </c>
      <c r="B858" s="3289">
        <v>3</v>
      </c>
      <c r="C858" s="3289">
        <v>1</v>
      </c>
      <c r="D858" s="3413">
        <v>514</v>
      </c>
      <c r="E858" s="3290">
        <v>506</v>
      </c>
      <c r="F858" s="3291">
        <v>1</v>
      </c>
      <c r="G858" s="3291">
        <v>1</v>
      </c>
      <c r="H858" s="3291">
        <v>1</v>
      </c>
      <c r="I858" s="3290" t="s">
        <v>3300</v>
      </c>
      <c r="J858" s="3290" t="s">
        <v>3326</v>
      </c>
      <c r="K858" s="3409">
        <v>54.28</v>
      </c>
      <c r="L858" s="3412">
        <v>40.32</v>
      </c>
      <c r="M858" s="3291"/>
      <c r="N858" s="3291"/>
      <c r="O858" s="3289"/>
      <c r="P858" s="3289"/>
      <c r="Q858" s="3289"/>
      <c r="R858" s="3291"/>
      <c r="S858" s="3291"/>
      <c r="T858" s="3239" t="str">
        <f t="shared" si="14"/>
        <v>有</v>
      </c>
    </row>
    <row r="859" spans="1:20">
      <c r="A859" s="3289">
        <v>857</v>
      </c>
      <c r="B859" s="3289">
        <v>3</v>
      </c>
      <c r="C859" s="3289">
        <v>1</v>
      </c>
      <c r="D859" s="3413">
        <v>515</v>
      </c>
      <c r="E859" s="3290">
        <v>519</v>
      </c>
      <c r="F859" s="3291">
        <v>1</v>
      </c>
      <c r="G859" s="3291">
        <v>1</v>
      </c>
      <c r="H859" s="3291">
        <v>1</v>
      </c>
      <c r="I859" s="3290" t="s">
        <v>3312</v>
      </c>
      <c r="J859" s="3290" t="s">
        <v>3326</v>
      </c>
      <c r="K859" s="3409">
        <v>54.28</v>
      </c>
      <c r="L859" s="3412">
        <v>40.32</v>
      </c>
      <c r="M859" s="3291"/>
      <c r="N859" s="3291"/>
      <c r="O859" s="3289"/>
      <c r="P859" s="3289"/>
      <c r="Q859" s="3289"/>
      <c r="R859" s="3291"/>
      <c r="S859" s="3291"/>
      <c r="T859" s="3239" t="str">
        <f t="shared" si="14"/>
        <v>有</v>
      </c>
    </row>
    <row r="860" spans="1:20">
      <c r="A860" s="3289">
        <v>858</v>
      </c>
      <c r="B860" s="3289">
        <v>3</v>
      </c>
      <c r="C860" s="3289">
        <v>1</v>
      </c>
      <c r="D860" s="3413">
        <v>516</v>
      </c>
      <c r="E860" s="3290">
        <v>505</v>
      </c>
      <c r="F860" s="3291">
        <v>1</v>
      </c>
      <c r="G860" s="3291">
        <v>1</v>
      </c>
      <c r="H860" s="3291">
        <v>1</v>
      </c>
      <c r="I860" s="3290" t="s">
        <v>3300</v>
      </c>
      <c r="J860" s="3290" t="s">
        <v>3326</v>
      </c>
      <c r="K860" s="3409">
        <v>54.28</v>
      </c>
      <c r="L860" s="3412">
        <v>40.32</v>
      </c>
      <c r="M860" s="3291"/>
      <c r="N860" s="3291"/>
      <c r="O860" s="3289"/>
      <c r="P860" s="3289"/>
      <c r="Q860" s="3289"/>
      <c r="R860" s="3291"/>
      <c r="S860" s="3291"/>
      <c r="T860" s="3239" t="str">
        <f t="shared" si="14"/>
        <v>有</v>
      </c>
    </row>
    <row r="861" spans="1:20">
      <c r="A861" s="3289">
        <v>859</v>
      </c>
      <c r="B861" s="3289">
        <v>3</v>
      </c>
      <c r="C861" s="3289">
        <v>1</v>
      </c>
      <c r="D861" s="3413">
        <v>517</v>
      </c>
      <c r="E861" s="3290">
        <v>504</v>
      </c>
      <c r="F861" s="3291">
        <v>1</v>
      </c>
      <c r="G861" s="3291">
        <v>1</v>
      </c>
      <c r="H861" s="3291">
        <v>1</v>
      </c>
      <c r="I861" s="3290" t="s">
        <v>3300</v>
      </c>
      <c r="J861" s="3290" t="s">
        <v>3326</v>
      </c>
      <c r="K861" s="3409">
        <v>54.28</v>
      </c>
      <c r="L861" s="3412">
        <v>40.32</v>
      </c>
      <c r="M861" s="3291"/>
      <c r="N861" s="3291"/>
      <c r="O861" s="3289"/>
      <c r="P861" s="3289"/>
      <c r="Q861" s="3289"/>
      <c r="R861" s="3291"/>
      <c r="S861" s="3291"/>
      <c r="T861" s="3239" t="str">
        <f t="shared" si="14"/>
        <v>有</v>
      </c>
    </row>
    <row r="862" spans="1:20">
      <c r="A862" s="3289">
        <v>860</v>
      </c>
      <c r="B862" s="3289">
        <v>3</v>
      </c>
      <c r="C862" s="3289">
        <v>1</v>
      </c>
      <c r="D862" s="3413">
        <v>518</v>
      </c>
      <c r="E862" s="3290">
        <v>503</v>
      </c>
      <c r="F862" s="3291">
        <v>1</v>
      </c>
      <c r="G862" s="3291">
        <v>1</v>
      </c>
      <c r="H862" s="3291">
        <v>1</v>
      </c>
      <c r="I862" s="3290" t="s">
        <v>3300</v>
      </c>
      <c r="J862" s="3290" t="s">
        <v>3326</v>
      </c>
      <c r="K862" s="3409">
        <v>54.28</v>
      </c>
      <c r="L862" s="3412">
        <v>40.32</v>
      </c>
      <c r="M862" s="3291"/>
      <c r="N862" s="3291"/>
      <c r="O862" s="3289"/>
      <c r="P862" s="3289"/>
      <c r="Q862" s="3289"/>
      <c r="R862" s="3291"/>
      <c r="S862" s="3291"/>
      <c r="T862" s="3239" t="str">
        <f t="shared" si="14"/>
        <v>有</v>
      </c>
    </row>
    <row r="863" spans="1:20">
      <c r="A863" s="3289">
        <v>861</v>
      </c>
      <c r="B863" s="3289">
        <v>3</v>
      </c>
      <c r="C863" s="3289">
        <v>1</v>
      </c>
      <c r="D863" s="3413">
        <v>519</v>
      </c>
      <c r="E863" s="3290">
        <v>520</v>
      </c>
      <c r="F863" s="3291">
        <v>1</v>
      </c>
      <c r="G863" s="3291">
        <v>1</v>
      </c>
      <c r="H863" s="3291">
        <v>1</v>
      </c>
      <c r="I863" s="3290" t="s">
        <v>3312</v>
      </c>
      <c r="J863" s="3290" t="s">
        <v>3340</v>
      </c>
      <c r="K863" s="3409">
        <v>54.73</v>
      </c>
      <c r="L863" s="3412">
        <v>40.65</v>
      </c>
      <c r="M863" s="3291"/>
      <c r="N863" s="3291"/>
      <c r="O863" s="3289"/>
      <c r="P863" s="3289"/>
      <c r="Q863" s="3289"/>
      <c r="R863" s="3291"/>
      <c r="S863" s="3291"/>
      <c r="T863" s="3239" t="str">
        <f t="shared" si="14"/>
        <v>有</v>
      </c>
    </row>
    <row r="864" spans="1:20">
      <c r="A864" s="3289">
        <v>862</v>
      </c>
      <c r="B864" s="3289">
        <v>3</v>
      </c>
      <c r="C864" s="3289">
        <v>1</v>
      </c>
      <c r="D864" s="3413">
        <v>520</v>
      </c>
      <c r="E864" s="3290">
        <v>502</v>
      </c>
      <c r="F864" s="3291">
        <v>1</v>
      </c>
      <c r="G864" s="3291">
        <v>1</v>
      </c>
      <c r="H864" s="3291">
        <v>1</v>
      </c>
      <c r="I864" s="3290" t="s">
        <v>3300</v>
      </c>
      <c r="J864" s="3290" t="s">
        <v>3340</v>
      </c>
      <c r="K864" s="3409">
        <v>54.73</v>
      </c>
      <c r="L864" s="3412">
        <v>40.65</v>
      </c>
      <c r="M864" s="3291"/>
      <c r="N864" s="3291"/>
      <c r="O864" s="3289"/>
      <c r="P864" s="3289"/>
      <c r="Q864" s="3289"/>
      <c r="R864" s="3291"/>
      <c r="S864" s="3291"/>
      <c r="T864" s="3239" t="str">
        <f t="shared" si="14"/>
        <v>有</v>
      </c>
    </row>
    <row r="865" spans="1:20">
      <c r="A865" s="3289">
        <v>863</v>
      </c>
      <c r="B865" s="3289">
        <v>3</v>
      </c>
      <c r="C865" s="3289">
        <v>1</v>
      </c>
      <c r="D865" s="3413">
        <v>521</v>
      </c>
      <c r="E865" s="3290">
        <v>521</v>
      </c>
      <c r="F865" s="3291">
        <v>4</v>
      </c>
      <c r="G865" s="3291">
        <v>1</v>
      </c>
      <c r="H865" s="3291">
        <v>1</v>
      </c>
      <c r="I865" s="3290" t="s">
        <v>3316</v>
      </c>
      <c r="J865" s="3290" t="s">
        <v>3339</v>
      </c>
      <c r="K865" s="3409">
        <v>103.21</v>
      </c>
      <c r="L865" s="3412">
        <v>76.66</v>
      </c>
      <c r="M865" s="3291"/>
      <c r="N865" s="3291"/>
      <c r="O865" s="3289"/>
      <c r="P865" s="3289"/>
      <c r="Q865" s="3289"/>
      <c r="R865" s="3291"/>
      <c r="S865" s="3291"/>
      <c r="T865" s="3239" t="str">
        <f t="shared" si="14"/>
        <v>有</v>
      </c>
    </row>
    <row r="866" spans="1:20">
      <c r="A866" s="3289">
        <v>864</v>
      </c>
      <c r="B866" s="3289">
        <v>3</v>
      </c>
      <c r="C866" s="3289">
        <v>1</v>
      </c>
      <c r="D866" s="3413">
        <v>522</v>
      </c>
      <c r="E866" s="3290">
        <v>501</v>
      </c>
      <c r="F866" s="3291">
        <v>4</v>
      </c>
      <c r="G866" s="3291">
        <v>1</v>
      </c>
      <c r="H866" s="3291">
        <v>1</v>
      </c>
      <c r="I866" s="3290" t="s">
        <v>3318</v>
      </c>
      <c r="J866" s="3290" t="s">
        <v>3339</v>
      </c>
      <c r="K866" s="3409">
        <v>103.21</v>
      </c>
      <c r="L866" s="3412">
        <v>76.66</v>
      </c>
      <c r="M866" s="3291"/>
      <c r="N866" s="3291"/>
      <c r="O866" s="3289"/>
      <c r="P866" s="3413"/>
      <c r="Q866" s="3413"/>
      <c r="R866" s="3291"/>
      <c r="S866" s="3291"/>
      <c r="T866" s="3239" t="str">
        <f t="shared" si="14"/>
        <v>有</v>
      </c>
    </row>
    <row r="867" spans="1:20" hidden="1">
      <c r="A867" s="3289">
        <v>865</v>
      </c>
      <c r="B867" s="3289">
        <v>3</v>
      </c>
      <c r="C867" s="3289">
        <v>1</v>
      </c>
      <c r="D867" s="3413">
        <v>601</v>
      </c>
      <c r="E867" s="3290">
        <v>613</v>
      </c>
      <c r="F867" s="3291">
        <v>1</v>
      </c>
      <c r="G867" s="3291">
        <v>0</v>
      </c>
      <c r="H867" s="3291">
        <v>1</v>
      </c>
      <c r="I867" s="3290" t="s">
        <v>3310</v>
      </c>
      <c r="J867" s="3290" t="s">
        <v>3503</v>
      </c>
      <c r="K867" s="3409">
        <v>42.58</v>
      </c>
      <c r="L867" s="3412">
        <v>31.63</v>
      </c>
      <c r="M867" s="3291"/>
      <c r="N867" s="3291"/>
      <c r="O867" s="3289"/>
      <c r="P867" s="3289"/>
      <c r="Q867" s="3289"/>
      <c r="R867" s="3291"/>
      <c r="S867" s="3291"/>
      <c r="T867" s="3239" t="str">
        <f t="shared" si="14"/>
        <v>无</v>
      </c>
    </row>
    <row r="868" spans="1:20" hidden="1">
      <c r="A868" s="3289">
        <v>866</v>
      </c>
      <c r="B868" s="3289">
        <v>3</v>
      </c>
      <c r="C868" s="3289">
        <v>1</v>
      </c>
      <c r="D868" s="3413">
        <v>602</v>
      </c>
      <c r="E868" s="3290">
        <v>612</v>
      </c>
      <c r="F868" s="3291">
        <v>1</v>
      </c>
      <c r="G868" s="3291">
        <v>0</v>
      </c>
      <c r="H868" s="3291">
        <v>1</v>
      </c>
      <c r="I868" s="3290" t="s">
        <v>3302</v>
      </c>
      <c r="J868" s="3290" t="s">
        <v>3503</v>
      </c>
      <c r="K868" s="3409">
        <v>42.58</v>
      </c>
      <c r="L868" s="3412">
        <v>31.63</v>
      </c>
      <c r="M868" s="3291"/>
      <c r="N868" s="3291"/>
      <c r="O868" s="3289"/>
      <c r="P868" s="3289"/>
      <c r="Q868" s="3289"/>
      <c r="R868" s="3291"/>
      <c r="S868" s="3291"/>
      <c r="T868" s="3239" t="str">
        <f t="shared" si="14"/>
        <v>无</v>
      </c>
    </row>
    <row r="869" spans="1:20" hidden="1">
      <c r="A869" s="3289">
        <v>867</v>
      </c>
      <c r="B869" s="3289">
        <v>3</v>
      </c>
      <c r="C869" s="3289">
        <v>1</v>
      </c>
      <c r="D869" s="3413">
        <v>603</v>
      </c>
      <c r="E869" s="3290">
        <v>611</v>
      </c>
      <c r="F869" s="3291">
        <v>1</v>
      </c>
      <c r="G869" s="3291">
        <v>0</v>
      </c>
      <c r="H869" s="3291">
        <v>1</v>
      </c>
      <c r="I869" s="3290" t="s">
        <v>3300</v>
      </c>
      <c r="J869" s="3290" t="s">
        <v>3305</v>
      </c>
      <c r="K869" s="3409">
        <v>42.46</v>
      </c>
      <c r="L869" s="3412">
        <v>31.54</v>
      </c>
      <c r="M869" s="3291"/>
      <c r="N869" s="3291"/>
      <c r="O869" s="3289"/>
      <c r="P869" s="3289"/>
      <c r="Q869" s="3289"/>
      <c r="R869" s="3291"/>
      <c r="S869" s="3291"/>
      <c r="T869" s="3239" t="str">
        <f t="shared" si="14"/>
        <v>无</v>
      </c>
    </row>
    <row r="870" spans="1:20" hidden="1">
      <c r="A870" s="3289">
        <v>868</v>
      </c>
      <c r="B870" s="3289">
        <v>3</v>
      </c>
      <c r="C870" s="3289">
        <v>1</v>
      </c>
      <c r="D870" s="3413">
        <v>604</v>
      </c>
      <c r="E870" s="3290">
        <v>614</v>
      </c>
      <c r="F870" s="3291">
        <v>1</v>
      </c>
      <c r="G870" s="3291">
        <v>0</v>
      </c>
      <c r="H870" s="3291">
        <v>1</v>
      </c>
      <c r="I870" s="3290" t="s">
        <v>3312</v>
      </c>
      <c r="J870" s="3290" t="s">
        <v>3305</v>
      </c>
      <c r="K870" s="3409">
        <v>42.46</v>
      </c>
      <c r="L870" s="3412">
        <v>31.54</v>
      </c>
      <c r="M870" s="3291"/>
      <c r="N870" s="3291"/>
      <c r="O870" s="3289"/>
      <c r="P870" s="3289"/>
      <c r="Q870" s="3289"/>
      <c r="R870" s="3291"/>
      <c r="S870" s="3291"/>
      <c r="T870" s="3239" t="str">
        <f t="shared" si="14"/>
        <v>无</v>
      </c>
    </row>
    <row r="871" spans="1:20" hidden="1">
      <c r="A871" s="3289">
        <v>869</v>
      </c>
      <c r="B871" s="3289">
        <v>3</v>
      </c>
      <c r="C871" s="3289">
        <v>1</v>
      </c>
      <c r="D871" s="3413">
        <v>605</v>
      </c>
      <c r="E871" s="3290">
        <v>615</v>
      </c>
      <c r="F871" s="3291">
        <v>1</v>
      </c>
      <c r="G871" s="3291">
        <v>0</v>
      </c>
      <c r="H871" s="3291">
        <v>1</v>
      </c>
      <c r="I871" s="3290" t="s">
        <v>3312</v>
      </c>
      <c r="J871" s="3290" t="s">
        <v>3504</v>
      </c>
      <c r="K871" s="3409">
        <v>42.83</v>
      </c>
      <c r="L871" s="3412">
        <v>31.81</v>
      </c>
      <c r="M871" s="3291"/>
      <c r="N871" s="3291"/>
      <c r="O871" s="3289"/>
      <c r="P871" s="3289"/>
      <c r="Q871" s="3289"/>
      <c r="R871" s="3291"/>
      <c r="S871" s="3291"/>
      <c r="T871" s="3239" t="str">
        <f t="shared" si="14"/>
        <v>无</v>
      </c>
    </row>
    <row r="872" spans="1:20">
      <c r="A872" s="3289">
        <v>870</v>
      </c>
      <c r="B872" s="3289">
        <v>3</v>
      </c>
      <c r="C872" s="3289">
        <v>1</v>
      </c>
      <c r="D872" s="3413">
        <v>606</v>
      </c>
      <c r="E872" s="3290">
        <v>610</v>
      </c>
      <c r="F872" s="3291">
        <v>1</v>
      </c>
      <c r="G872" s="3291">
        <v>1</v>
      </c>
      <c r="H872" s="3291">
        <v>1</v>
      </c>
      <c r="I872" s="3290" t="s">
        <v>3300</v>
      </c>
      <c r="J872" s="3290" t="s">
        <v>3341</v>
      </c>
      <c r="K872" s="3409">
        <v>54.28</v>
      </c>
      <c r="L872" s="3412">
        <v>40.32</v>
      </c>
      <c r="M872" s="3291"/>
      <c r="N872" s="3291"/>
      <c r="O872" s="3289"/>
      <c r="P872" s="3289"/>
      <c r="Q872" s="3289"/>
      <c r="R872" s="3291"/>
      <c r="S872" s="3291"/>
      <c r="T872" s="3239" t="str">
        <f t="shared" si="14"/>
        <v>有</v>
      </c>
    </row>
    <row r="873" spans="1:20">
      <c r="A873" s="3289">
        <v>871</v>
      </c>
      <c r="B873" s="3289">
        <v>3</v>
      </c>
      <c r="C873" s="3289">
        <v>1</v>
      </c>
      <c r="D873" s="3413">
        <v>607</v>
      </c>
      <c r="E873" s="3290">
        <v>609</v>
      </c>
      <c r="F873" s="3291">
        <v>1</v>
      </c>
      <c r="G873" s="3291">
        <v>1</v>
      </c>
      <c r="H873" s="3291">
        <v>1</v>
      </c>
      <c r="I873" s="3290" t="s">
        <v>3300</v>
      </c>
      <c r="J873" s="3290" t="s">
        <v>3326</v>
      </c>
      <c r="K873" s="3409">
        <v>54.28</v>
      </c>
      <c r="L873" s="3412">
        <v>40.32</v>
      </c>
      <c r="M873" s="3291"/>
      <c r="N873" s="3291"/>
      <c r="O873" s="3289"/>
      <c r="P873" s="3289"/>
      <c r="Q873" s="3289"/>
      <c r="R873" s="3291"/>
      <c r="S873" s="3291"/>
      <c r="T873" s="3239" t="str">
        <f t="shared" si="14"/>
        <v>有</v>
      </c>
    </row>
    <row r="874" spans="1:20">
      <c r="A874" s="3289">
        <v>872</v>
      </c>
      <c r="B874" s="3289">
        <v>3</v>
      </c>
      <c r="C874" s="3289">
        <v>1</v>
      </c>
      <c r="D874" s="3413">
        <v>609</v>
      </c>
      <c r="E874" s="3290">
        <v>608</v>
      </c>
      <c r="F874" s="3291">
        <v>1</v>
      </c>
      <c r="G874" s="3291">
        <v>1</v>
      </c>
      <c r="H874" s="3291">
        <v>1</v>
      </c>
      <c r="I874" s="3290" t="s">
        <v>3300</v>
      </c>
      <c r="J874" s="3290" t="s">
        <v>3326</v>
      </c>
      <c r="K874" s="3409">
        <v>54.28</v>
      </c>
      <c r="L874" s="3412">
        <v>40.32</v>
      </c>
      <c r="M874" s="3291"/>
      <c r="N874" s="3291"/>
      <c r="O874" s="3289"/>
      <c r="P874" s="3289"/>
      <c r="Q874" s="3289"/>
      <c r="R874" s="3291"/>
      <c r="S874" s="3291"/>
      <c r="T874" s="3239" t="str">
        <f t="shared" si="14"/>
        <v>有</v>
      </c>
    </row>
    <row r="875" spans="1:20" hidden="1">
      <c r="A875" s="3289">
        <v>873</v>
      </c>
      <c r="B875" s="3289">
        <v>3</v>
      </c>
      <c r="C875" s="3289">
        <v>1</v>
      </c>
      <c r="D875" s="3413">
        <v>610</v>
      </c>
      <c r="E875" s="3290">
        <v>616</v>
      </c>
      <c r="F875" s="3291">
        <v>1</v>
      </c>
      <c r="G875" s="3291">
        <v>0</v>
      </c>
      <c r="H875" s="3291">
        <v>1</v>
      </c>
      <c r="I875" s="3290" t="s">
        <v>3312</v>
      </c>
      <c r="J875" s="3290" t="s">
        <v>3306</v>
      </c>
      <c r="K875" s="3409">
        <v>43.43</v>
      </c>
      <c r="L875" s="3412">
        <v>32.26</v>
      </c>
      <c r="M875" s="3291"/>
      <c r="N875" s="3291"/>
      <c r="O875" s="3289"/>
      <c r="P875" s="3289"/>
      <c r="Q875" s="3289"/>
      <c r="R875" s="3291"/>
      <c r="S875" s="3291"/>
      <c r="T875" s="3239" t="str">
        <f t="shared" si="14"/>
        <v>无</v>
      </c>
    </row>
    <row r="876" spans="1:20">
      <c r="A876" s="3289">
        <v>874</v>
      </c>
      <c r="B876" s="3289">
        <v>3</v>
      </c>
      <c r="C876" s="3289">
        <v>1</v>
      </c>
      <c r="D876" s="3413">
        <v>611</v>
      </c>
      <c r="E876" s="3290">
        <v>607</v>
      </c>
      <c r="F876" s="3291">
        <v>1</v>
      </c>
      <c r="G876" s="3291">
        <v>1</v>
      </c>
      <c r="H876" s="3291">
        <v>1</v>
      </c>
      <c r="I876" s="3290" t="s">
        <v>3300</v>
      </c>
      <c r="J876" s="3290" t="s">
        <v>3326</v>
      </c>
      <c r="K876" s="3409">
        <v>54.28</v>
      </c>
      <c r="L876" s="3412">
        <v>40.32</v>
      </c>
      <c r="M876" s="3291"/>
      <c r="N876" s="3291"/>
      <c r="O876" s="3289">
        <v>2.9</v>
      </c>
      <c r="P876" s="3289" t="s">
        <v>3363</v>
      </c>
      <c r="Q876" s="3289" t="s">
        <v>3482</v>
      </c>
      <c r="R876" s="3291"/>
      <c r="S876" s="3291"/>
      <c r="T876" s="3239" t="str">
        <f t="shared" si="14"/>
        <v>有</v>
      </c>
    </row>
    <row r="877" spans="1:20">
      <c r="A877" s="3289">
        <v>875</v>
      </c>
      <c r="B877" s="3289">
        <v>3</v>
      </c>
      <c r="C877" s="3289">
        <v>1</v>
      </c>
      <c r="D877" s="3413">
        <v>612</v>
      </c>
      <c r="E877" s="3290">
        <v>617</v>
      </c>
      <c r="F877" s="3291">
        <v>1</v>
      </c>
      <c r="G877" s="3291">
        <v>1</v>
      </c>
      <c r="H877" s="3291">
        <v>1</v>
      </c>
      <c r="I877" s="3290" t="s">
        <v>3312</v>
      </c>
      <c r="J877" s="3290" t="s">
        <v>3326</v>
      </c>
      <c r="K877" s="3409">
        <v>54.28</v>
      </c>
      <c r="L877" s="3412">
        <v>40.32</v>
      </c>
      <c r="M877" s="3291"/>
      <c r="N877" s="3291"/>
      <c r="O877" s="3289"/>
      <c r="P877" s="3289"/>
      <c r="Q877" s="3289"/>
      <c r="R877" s="3291"/>
      <c r="S877" s="3291"/>
      <c r="T877" s="3239" t="str">
        <f t="shared" si="14"/>
        <v>有</v>
      </c>
    </row>
    <row r="878" spans="1:20">
      <c r="A878" s="3289">
        <v>876</v>
      </c>
      <c r="B878" s="3289">
        <v>3</v>
      </c>
      <c r="C878" s="3289">
        <v>1</v>
      </c>
      <c r="D878" s="3413">
        <v>613</v>
      </c>
      <c r="E878" s="3290">
        <v>618</v>
      </c>
      <c r="F878" s="3291">
        <v>1</v>
      </c>
      <c r="G878" s="3291">
        <v>1</v>
      </c>
      <c r="H878" s="3291">
        <v>1</v>
      </c>
      <c r="I878" s="3290" t="s">
        <v>3312</v>
      </c>
      <c r="J878" s="3290" t="s">
        <v>3326</v>
      </c>
      <c r="K878" s="3409">
        <v>54.28</v>
      </c>
      <c r="L878" s="3412">
        <v>40.32</v>
      </c>
      <c r="M878" s="3291"/>
      <c r="N878" s="3291"/>
      <c r="O878" s="3289"/>
      <c r="P878" s="3289"/>
      <c r="Q878" s="3289"/>
      <c r="R878" s="3291"/>
      <c r="S878" s="3291"/>
      <c r="T878" s="3239" t="str">
        <f t="shared" si="14"/>
        <v>有</v>
      </c>
    </row>
    <row r="879" spans="1:20">
      <c r="A879" s="3289">
        <v>877</v>
      </c>
      <c r="B879" s="3289">
        <v>3</v>
      </c>
      <c r="C879" s="3289">
        <v>1</v>
      </c>
      <c r="D879" s="3413">
        <v>614</v>
      </c>
      <c r="E879" s="3290">
        <v>606</v>
      </c>
      <c r="F879" s="3291">
        <v>1</v>
      </c>
      <c r="G879" s="3291">
        <v>1</v>
      </c>
      <c r="H879" s="3291">
        <v>1</v>
      </c>
      <c r="I879" s="3290" t="s">
        <v>3300</v>
      </c>
      <c r="J879" s="3290" t="s">
        <v>3326</v>
      </c>
      <c r="K879" s="3409">
        <v>54.28</v>
      </c>
      <c r="L879" s="3412">
        <v>40.32</v>
      </c>
      <c r="M879" s="3291"/>
      <c r="N879" s="3291"/>
      <c r="O879" s="3289"/>
      <c r="P879" s="3289"/>
      <c r="Q879" s="3289"/>
      <c r="R879" s="3291"/>
      <c r="S879" s="3291"/>
      <c r="T879" s="3239" t="str">
        <f t="shared" si="14"/>
        <v>有</v>
      </c>
    </row>
    <row r="880" spans="1:20">
      <c r="A880" s="3289">
        <v>878</v>
      </c>
      <c r="B880" s="3289">
        <v>3</v>
      </c>
      <c r="C880" s="3289">
        <v>1</v>
      </c>
      <c r="D880" s="3413">
        <v>615</v>
      </c>
      <c r="E880" s="3290">
        <v>619</v>
      </c>
      <c r="F880" s="3291">
        <v>1</v>
      </c>
      <c r="G880" s="3291">
        <v>1</v>
      </c>
      <c r="H880" s="3291">
        <v>1</v>
      </c>
      <c r="I880" s="3290" t="s">
        <v>3312</v>
      </c>
      <c r="J880" s="3290" t="s">
        <v>3326</v>
      </c>
      <c r="K880" s="3409">
        <v>54.28</v>
      </c>
      <c r="L880" s="3412">
        <v>40.32</v>
      </c>
      <c r="M880" s="3291"/>
      <c r="N880" s="3291"/>
      <c r="O880" s="3289"/>
      <c r="P880" s="3289"/>
      <c r="Q880" s="3289"/>
      <c r="R880" s="3291"/>
      <c r="S880" s="3291"/>
      <c r="T880" s="3239" t="str">
        <f t="shared" si="14"/>
        <v>有</v>
      </c>
    </row>
    <row r="881" spans="1:20">
      <c r="A881" s="3289">
        <v>879</v>
      </c>
      <c r="B881" s="3289">
        <v>3</v>
      </c>
      <c r="C881" s="3289">
        <v>1</v>
      </c>
      <c r="D881" s="3413">
        <v>616</v>
      </c>
      <c r="E881" s="3290">
        <v>605</v>
      </c>
      <c r="F881" s="3291">
        <v>1</v>
      </c>
      <c r="G881" s="3291">
        <v>1</v>
      </c>
      <c r="H881" s="3291">
        <v>1</v>
      </c>
      <c r="I881" s="3290" t="s">
        <v>3300</v>
      </c>
      <c r="J881" s="3290" t="s">
        <v>3326</v>
      </c>
      <c r="K881" s="3409">
        <v>54.28</v>
      </c>
      <c r="L881" s="3412">
        <v>40.32</v>
      </c>
      <c r="M881" s="3291"/>
      <c r="N881" s="3291"/>
      <c r="O881" s="3289"/>
      <c r="P881" s="3289"/>
      <c r="Q881" s="3289"/>
      <c r="R881" s="3291"/>
      <c r="S881" s="3291"/>
      <c r="T881" s="3239" t="str">
        <f t="shared" si="14"/>
        <v>有</v>
      </c>
    </row>
    <row r="882" spans="1:20">
      <c r="A882" s="3289">
        <v>880</v>
      </c>
      <c r="B882" s="3289">
        <v>3</v>
      </c>
      <c r="C882" s="3289">
        <v>1</v>
      </c>
      <c r="D882" s="3413">
        <v>617</v>
      </c>
      <c r="E882" s="3290">
        <v>604</v>
      </c>
      <c r="F882" s="3291">
        <v>1</v>
      </c>
      <c r="G882" s="3291">
        <v>1</v>
      </c>
      <c r="H882" s="3291">
        <v>1</v>
      </c>
      <c r="I882" s="3290" t="s">
        <v>3300</v>
      </c>
      <c r="J882" s="3290" t="s">
        <v>3326</v>
      </c>
      <c r="K882" s="3409">
        <v>54.28</v>
      </c>
      <c r="L882" s="3412">
        <v>40.32</v>
      </c>
      <c r="M882" s="3291"/>
      <c r="N882" s="3291"/>
      <c r="O882" s="3289"/>
      <c r="P882" s="3289"/>
      <c r="Q882" s="3289"/>
      <c r="R882" s="3291"/>
      <c r="S882" s="3291"/>
      <c r="T882" s="3239" t="str">
        <f t="shared" si="14"/>
        <v>有</v>
      </c>
    </row>
    <row r="883" spans="1:20">
      <c r="A883" s="3289">
        <v>881</v>
      </c>
      <c r="B883" s="3289">
        <v>3</v>
      </c>
      <c r="C883" s="3289">
        <v>1</v>
      </c>
      <c r="D883" s="3413">
        <v>618</v>
      </c>
      <c r="E883" s="3290">
        <v>603</v>
      </c>
      <c r="F883" s="3291">
        <v>1</v>
      </c>
      <c r="G883" s="3291">
        <v>1</v>
      </c>
      <c r="H883" s="3291">
        <v>1</v>
      </c>
      <c r="I883" s="3290" t="s">
        <v>3300</v>
      </c>
      <c r="J883" s="3290" t="s">
        <v>3326</v>
      </c>
      <c r="K883" s="3409">
        <v>54.28</v>
      </c>
      <c r="L883" s="3412">
        <v>40.32</v>
      </c>
      <c r="M883" s="3291"/>
      <c r="N883" s="3291"/>
      <c r="O883" s="3289"/>
      <c r="P883" s="3289"/>
      <c r="Q883" s="3289"/>
      <c r="R883" s="3291"/>
      <c r="S883" s="3291"/>
      <c r="T883" s="3239" t="str">
        <f t="shared" si="14"/>
        <v>有</v>
      </c>
    </row>
    <row r="884" spans="1:20">
      <c r="A884" s="3289">
        <v>882</v>
      </c>
      <c r="B884" s="3289">
        <v>3</v>
      </c>
      <c r="C884" s="3289">
        <v>1</v>
      </c>
      <c r="D884" s="3413">
        <v>619</v>
      </c>
      <c r="E884" s="3290">
        <v>620</v>
      </c>
      <c r="F884" s="3291">
        <v>1</v>
      </c>
      <c r="G884" s="3291">
        <v>1</v>
      </c>
      <c r="H884" s="3291">
        <v>1</v>
      </c>
      <c r="I884" s="3290" t="s">
        <v>3312</v>
      </c>
      <c r="J884" s="3290" t="s">
        <v>3340</v>
      </c>
      <c r="K884" s="3409">
        <v>54.73</v>
      </c>
      <c r="L884" s="3412">
        <v>40.65</v>
      </c>
      <c r="M884" s="3291"/>
      <c r="N884" s="3291"/>
      <c r="O884" s="3289"/>
      <c r="P884" s="3289"/>
      <c r="Q884" s="3289"/>
      <c r="R884" s="3291"/>
      <c r="S884" s="3291"/>
      <c r="T884" s="3239" t="str">
        <f t="shared" si="14"/>
        <v>有</v>
      </c>
    </row>
    <row r="885" spans="1:20">
      <c r="A885" s="3289">
        <v>883</v>
      </c>
      <c r="B885" s="3289">
        <v>3</v>
      </c>
      <c r="C885" s="3289">
        <v>1</v>
      </c>
      <c r="D885" s="3413">
        <v>620</v>
      </c>
      <c r="E885" s="3290">
        <v>602</v>
      </c>
      <c r="F885" s="3291">
        <v>1</v>
      </c>
      <c r="G885" s="3291">
        <v>1</v>
      </c>
      <c r="H885" s="3291">
        <v>1</v>
      </c>
      <c r="I885" s="3290" t="s">
        <v>3300</v>
      </c>
      <c r="J885" s="3290" t="s">
        <v>3340</v>
      </c>
      <c r="K885" s="3409">
        <v>54.73</v>
      </c>
      <c r="L885" s="3412">
        <v>40.65</v>
      </c>
      <c r="M885" s="3291"/>
      <c r="N885" s="3291"/>
      <c r="O885" s="3289"/>
      <c r="P885" s="3289"/>
      <c r="Q885" s="3289"/>
      <c r="R885" s="3291"/>
      <c r="S885" s="3291"/>
      <c r="T885" s="3239" t="str">
        <f t="shared" si="14"/>
        <v>有</v>
      </c>
    </row>
    <row r="886" spans="1:20">
      <c r="A886" s="3289">
        <v>884</v>
      </c>
      <c r="B886" s="3289">
        <v>3</v>
      </c>
      <c r="C886" s="3289">
        <v>1</v>
      </c>
      <c r="D886" s="3413">
        <v>621</v>
      </c>
      <c r="E886" s="3290">
        <v>621</v>
      </c>
      <c r="F886" s="3291">
        <v>4</v>
      </c>
      <c r="G886" s="3291">
        <v>1</v>
      </c>
      <c r="H886" s="3291">
        <v>1</v>
      </c>
      <c r="I886" s="3290" t="s">
        <v>3316</v>
      </c>
      <c r="J886" s="3290" t="s">
        <v>3339</v>
      </c>
      <c r="K886" s="3409">
        <v>103.21</v>
      </c>
      <c r="L886" s="3412">
        <v>76.66</v>
      </c>
      <c r="M886" s="3291"/>
      <c r="N886" s="3291"/>
      <c r="O886" s="3289"/>
      <c r="P886" s="3289"/>
      <c r="Q886" s="3289"/>
      <c r="R886" s="3291"/>
      <c r="S886" s="3291"/>
      <c r="T886" s="3239" t="str">
        <f t="shared" si="14"/>
        <v>有</v>
      </c>
    </row>
    <row r="887" spans="1:20">
      <c r="A887" s="3289">
        <v>885</v>
      </c>
      <c r="B887" s="3289">
        <v>3</v>
      </c>
      <c r="C887" s="3289">
        <v>1</v>
      </c>
      <c r="D887" s="3413">
        <v>622</v>
      </c>
      <c r="E887" s="3290">
        <v>601</v>
      </c>
      <c r="F887" s="3291">
        <v>4</v>
      </c>
      <c r="G887" s="3291">
        <v>1</v>
      </c>
      <c r="H887" s="3291">
        <v>1</v>
      </c>
      <c r="I887" s="3290" t="s">
        <v>3318</v>
      </c>
      <c r="J887" s="3290" t="s">
        <v>3339</v>
      </c>
      <c r="K887" s="3409">
        <v>103.21</v>
      </c>
      <c r="L887" s="3412">
        <v>76.66</v>
      </c>
      <c r="M887" s="3291"/>
      <c r="N887" s="3291"/>
      <c r="O887" s="3289"/>
      <c r="P887" s="3413"/>
      <c r="Q887" s="3413"/>
      <c r="R887" s="3291"/>
      <c r="S887" s="3291"/>
      <c r="T887" s="3239" t="str">
        <f t="shared" si="14"/>
        <v>有</v>
      </c>
    </row>
    <row r="888" spans="1:20" hidden="1">
      <c r="A888" s="3289">
        <v>886</v>
      </c>
      <c r="B888" s="3289">
        <v>3</v>
      </c>
      <c r="C888" s="3289">
        <v>1</v>
      </c>
      <c r="D888" s="3413">
        <v>701</v>
      </c>
      <c r="E888" s="3290">
        <v>713</v>
      </c>
      <c r="F888" s="3291">
        <v>1</v>
      </c>
      <c r="G888" s="3291">
        <v>0</v>
      </c>
      <c r="H888" s="3291">
        <v>1</v>
      </c>
      <c r="I888" s="3290" t="s">
        <v>3310</v>
      </c>
      <c r="J888" s="3290" t="s">
        <v>3503</v>
      </c>
      <c r="K888" s="3409">
        <v>42.58</v>
      </c>
      <c r="L888" s="3412">
        <v>31.63</v>
      </c>
      <c r="M888" s="3291"/>
      <c r="N888" s="3291"/>
      <c r="O888" s="3289"/>
      <c r="P888" s="3289"/>
      <c r="Q888" s="3289"/>
      <c r="R888" s="3291"/>
      <c r="S888" s="3291"/>
      <c r="T888" s="3239" t="str">
        <f t="shared" si="14"/>
        <v>无</v>
      </c>
    </row>
    <row r="889" spans="1:20" hidden="1">
      <c r="A889" s="3289">
        <v>887</v>
      </c>
      <c r="B889" s="3289">
        <v>3</v>
      </c>
      <c r="C889" s="3289">
        <v>1</v>
      </c>
      <c r="D889" s="3413">
        <v>702</v>
      </c>
      <c r="E889" s="3290">
        <v>712</v>
      </c>
      <c r="F889" s="3291">
        <v>1</v>
      </c>
      <c r="G889" s="3291">
        <v>0</v>
      </c>
      <c r="H889" s="3291">
        <v>1</v>
      </c>
      <c r="I889" s="3290" t="s">
        <v>3302</v>
      </c>
      <c r="J889" s="3290" t="s">
        <v>3503</v>
      </c>
      <c r="K889" s="3409">
        <v>42.58</v>
      </c>
      <c r="L889" s="3412">
        <v>31.63</v>
      </c>
      <c r="M889" s="3291"/>
      <c r="N889" s="3291"/>
      <c r="O889" s="3289"/>
      <c r="P889" s="3289"/>
      <c r="Q889" s="3289"/>
      <c r="R889" s="3291"/>
      <c r="S889" s="3291"/>
      <c r="T889" s="3239" t="str">
        <f t="shared" si="14"/>
        <v>无</v>
      </c>
    </row>
    <row r="890" spans="1:20" hidden="1">
      <c r="A890" s="3289">
        <v>888</v>
      </c>
      <c r="B890" s="3289">
        <v>3</v>
      </c>
      <c r="C890" s="3289">
        <v>1</v>
      </c>
      <c r="D890" s="3413">
        <v>703</v>
      </c>
      <c r="E890" s="3290">
        <v>711</v>
      </c>
      <c r="F890" s="3291">
        <v>1</v>
      </c>
      <c r="G890" s="3291">
        <v>0</v>
      </c>
      <c r="H890" s="3291">
        <v>1</v>
      </c>
      <c r="I890" s="3290" t="s">
        <v>3300</v>
      </c>
      <c r="J890" s="3290" t="s">
        <v>3305</v>
      </c>
      <c r="K890" s="3409">
        <v>42.46</v>
      </c>
      <c r="L890" s="3412">
        <v>31.54</v>
      </c>
      <c r="M890" s="3291"/>
      <c r="N890" s="3291"/>
      <c r="O890" s="3289"/>
      <c r="P890" s="3289"/>
      <c r="Q890" s="3289"/>
      <c r="R890" s="3291"/>
      <c r="S890" s="3291"/>
      <c r="T890" s="3239" t="str">
        <f t="shared" si="14"/>
        <v>无</v>
      </c>
    </row>
    <row r="891" spans="1:20" hidden="1">
      <c r="A891" s="3289">
        <v>889</v>
      </c>
      <c r="B891" s="3289">
        <v>3</v>
      </c>
      <c r="C891" s="3289">
        <v>1</v>
      </c>
      <c r="D891" s="3413">
        <v>704</v>
      </c>
      <c r="E891" s="3290">
        <v>714</v>
      </c>
      <c r="F891" s="3291">
        <v>1</v>
      </c>
      <c r="G891" s="3291">
        <v>0</v>
      </c>
      <c r="H891" s="3291">
        <v>1</v>
      </c>
      <c r="I891" s="3290" t="s">
        <v>3312</v>
      </c>
      <c r="J891" s="3290" t="s">
        <v>3305</v>
      </c>
      <c r="K891" s="3409">
        <v>42.46</v>
      </c>
      <c r="L891" s="3412">
        <v>31.54</v>
      </c>
      <c r="M891" s="3291"/>
      <c r="N891" s="3291"/>
      <c r="O891" s="3289"/>
      <c r="P891" s="3289"/>
      <c r="Q891" s="3289"/>
      <c r="R891" s="3291"/>
      <c r="S891" s="3291"/>
      <c r="T891" s="3239" t="str">
        <f t="shared" si="14"/>
        <v>无</v>
      </c>
    </row>
    <row r="892" spans="1:20" hidden="1">
      <c r="A892" s="3289">
        <v>890</v>
      </c>
      <c r="B892" s="3289">
        <v>3</v>
      </c>
      <c r="C892" s="3289">
        <v>1</v>
      </c>
      <c r="D892" s="3413">
        <v>705</v>
      </c>
      <c r="E892" s="3290">
        <v>715</v>
      </c>
      <c r="F892" s="3291">
        <v>1</v>
      </c>
      <c r="G892" s="3291">
        <v>0</v>
      </c>
      <c r="H892" s="3291">
        <v>1</v>
      </c>
      <c r="I892" s="3290" t="s">
        <v>3312</v>
      </c>
      <c r="J892" s="3290" t="s">
        <v>3504</v>
      </c>
      <c r="K892" s="3409">
        <v>42.83</v>
      </c>
      <c r="L892" s="3412">
        <v>31.81</v>
      </c>
      <c r="M892" s="3291"/>
      <c r="N892" s="3291"/>
      <c r="O892" s="3289"/>
      <c r="P892" s="3289"/>
      <c r="Q892" s="3289"/>
      <c r="R892" s="3291"/>
      <c r="S892" s="3291"/>
      <c r="T892" s="3239" t="str">
        <f t="shared" si="14"/>
        <v>无</v>
      </c>
    </row>
    <row r="893" spans="1:20">
      <c r="A893" s="3289">
        <v>891</v>
      </c>
      <c r="B893" s="3289">
        <v>3</v>
      </c>
      <c r="C893" s="3289">
        <v>1</v>
      </c>
      <c r="D893" s="3413">
        <v>706</v>
      </c>
      <c r="E893" s="3290">
        <v>710</v>
      </c>
      <c r="F893" s="3291">
        <v>1</v>
      </c>
      <c r="G893" s="3291">
        <v>1</v>
      </c>
      <c r="H893" s="3291">
        <v>1</v>
      </c>
      <c r="I893" s="3290" t="s">
        <v>3300</v>
      </c>
      <c r="J893" s="3290" t="s">
        <v>3341</v>
      </c>
      <c r="K893" s="3409">
        <v>54.28</v>
      </c>
      <c r="L893" s="3412">
        <v>40.32</v>
      </c>
      <c r="M893" s="3291"/>
      <c r="N893" s="3291"/>
      <c r="O893" s="3289"/>
      <c r="P893" s="3289"/>
      <c r="Q893" s="3289"/>
      <c r="R893" s="3291"/>
      <c r="S893" s="3291"/>
      <c r="T893" s="3239" t="str">
        <f t="shared" si="14"/>
        <v>有</v>
      </c>
    </row>
    <row r="894" spans="1:20">
      <c r="A894" s="3289">
        <v>892</v>
      </c>
      <c r="B894" s="3289">
        <v>3</v>
      </c>
      <c r="C894" s="3289">
        <v>1</v>
      </c>
      <c r="D894" s="3413">
        <v>707</v>
      </c>
      <c r="E894" s="3290">
        <v>709</v>
      </c>
      <c r="F894" s="3291">
        <v>1</v>
      </c>
      <c r="G894" s="3291">
        <v>1</v>
      </c>
      <c r="H894" s="3291">
        <v>1</v>
      </c>
      <c r="I894" s="3290" t="s">
        <v>3300</v>
      </c>
      <c r="J894" s="3290" t="s">
        <v>3326</v>
      </c>
      <c r="K894" s="3409">
        <v>54.28</v>
      </c>
      <c r="L894" s="3412">
        <v>40.32</v>
      </c>
      <c r="M894" s="3291"/>
      <c r="N894" s="3291"/>
      <c r="O894" s="3289"/>
      <c r="P894" s="3289"/>
      <c r="Q894" s="3289"/>
      <c r="R894" s="3291"/>
      <c r="S894" s="3291"/>
      <c r="T894" s="3239" t="str">
        <f t="shared" si="14"/>
        <v>有</v>
      </c>
    </row>
    <row r="895" spans="1:20">
      <c r="A895" s="3289">
        <v>893</v>
      </c>
      <c r="B895" s="3289">
        <v>3</v>
      </c>
      <c r="C895" s="3289">
        <v>1</v>
      </c>
      <c r="D895" s="3413">
        <v>709</v>
      </c>
      <c r="E895" s="3290">
        <v>708</v>
      </c>
      <c r="F895" s="3291">
        <v>1</v>
      </c>
      <c r="G895" s="3291">
        <v>1</v>
      </c>
      <c r="H895" s="3291">
        <v>1</v>
      </c>
      <c r="I895" s="3290" t="s">
        <v>3300</v>
      </c>
      <c r="J895" s="3290" t="s">
        <v>3326</v>
      </c>
      <c r="K895" s="3409">
        <v>54.28</v>
      </c>
      <c r="L895" s="3412">
        <v>40.32</v>
      </c>
      <c r="M895" s="3291"/>
      <c r="N895" s="3291"/>
      <c r="O895" s="3289"/>
      <c r="P895" s="3289"/>
      <c r="Q895" s="3289"/>
      <c r="R895" s="3291"/>
      <c r="S895" s="3291"/>
      <c r="T895" s="3239" t="str">
        <f t="shared" si="14"/>
        <v>有</v>
      </c>
    </row>
    <row r="896" spans="1:20" hidden="1">
      <c r="A896" s="3289">
        <v>894</v>
      </c>
      <c r="B896" s="3289">
        <v>3</v>
      </c>
      <c r="C896" s="3289">
        <v>1</v>
      </c>
      <c r="D896" s="3413">
        <v>710</v>
      </c>
      <c r="E896" s="3290">
        <v>716</v>
      </c>
      <c r="F896" s="3291">
        <v>1</v>
      </c>
      <c r="G896" s="3291">
        <v>0</v>
      </c>
      <c r="H896" s="3291">
        <v>1</v>
      </c>
      <c r="I896" s="3290" t="s">
        <v>3312</v>
      </c>
      <c r="J896" s="3290" t="s">
        <v>3306</v>
      </c>
      <c r="K896" s="3409">
        <v>43.43</v>
      </c>
      <c r="L896" s="3412">
        <v>32.26</v>
      </c>
      <c r="M896" s="3291"/>
      <c r="N896" s="3291"/>
      <c r="O896" s="3289"/>
      <c r="P896" s="3289"/>
      <c r="Q896" s="3289"/>
      <c r="R896" s="3291"/>
      <c r="S896" s="3291"/>
      <c r="T896" s="3239" t="str">
        <f t="shared" si="14"/>
        <v>无</v>
      </c>
    </row>
    <row r="897" spans="1:20">
      <c r="A897" s="3289">
        <v>895</v>
      </c>
      <c r="B897" s="3289">
        <v>3</v>
      </c>
      <c r="C897" s="3289">
        <v>1</v>
      </c>
      <c r="D897" s="3413">
        <v>711</v>
      </c>
      <c r="E897" s="3290">
        <v>707</v>
      </c>
      <c r="F897" s="3291">
        <v>1</v>
      </c>
      <c r="G897" s="3291">
        <v>1</v>
      </c>
      <c r="H897" s="3291">
        <v>1</v>
      </c>
      <c r="I897" s="3290" t="s">
        <v>3300</v>
      </c>
      <c r="J897" s="3290" t="s">
        <v>3326</v>
      </c>
      <c r="K897" s="3409">
        <v>54.28</v>
      </c>
      <c r="L897" s="3412">
        <v>40.32</v>
      </c>
      <c r="M897" s="3291"/>
      <c r="N897" s="3291"/>
      <c r="O897" s="3289"/>
      <c r="P897" s="3289"/>
      <c r="Q897" s="3289"/>
      <c r="R897" s="3291"/>
      <c r="S897" s="3291"/>
      <c r="T897" s="3239" t="str">
        <f t="shared" si="14"/>
        <v>有</v>
      </c>
    </row>
    <row r="898" spans="1:20">
      <c r="A898" s="3289">
        <v>896</v>
      </c>
      <c r="B898" s="3289">
        <v>3</v>
      </c>
      <c r="C898" s="3289">
        <v>1</v>
      </c>
      <c r="D898" s="3413">
        <v>712</v>
      </c>
      <c r="E898" s="3290">
        <v>717</v>
      </c>
      <c r="F898" s="3291">
        <v>1</v>
      </c>
      <c r="G898" s="3291">
        <v>1</v>
      </c>
      <c r="H898" s="3291">
        <v>1</v>
      </c>
      <c r="I898" s="3290" t="s">
        <v>3312</v>
      </c>
      <c r="J898" s="3290" t="s">
        <v>3326</v>
      </c>
      <c r="K898" s="3409">
        <v>54.28</v>
      </c>
      <c r="L898" s="3412">
        <v>40.32</v>
      </c>
      <c r="M898" s="3291"/>
      <c r="N898" s="3291"/>
      <c r="O898" s="3289">
        <v>2.9</v>
      </c>
      <c r="P898" s="3289" t="s">
        <v>3363</v>
      </c>
      <c r="Q898" s="3289" t="s">
        <v>3482</v>
      </c>
      <c r="R898" s="3291"/>
      <c r="S898" s="3291"/>
      <c r="T898" s="3239" t="str">
        <f t="shared" si="14"/>
        <v>有</v>
      </c>
    </row>
    <row r="899" spans="1:20">
      <c r="A899" s="3289">
        <v>897</v>
      </c>
      <c r="B899" s="3289">
        <v>3</v>
      </c>
      <c r="C899" s="3289">
        <v>1</v>
      </c>
      <c r="D899" s="3413">
        <v>713</v>
      </c>
      <c r="E899" s="3290">
        <v>718</v>
      </c>
      <c r="F899" s="3291">
        <v>1</v>
      </c>
      <c r="G899" s="3291">
        <v>1</v>
      </c>
      <c r="H899" s="3291">
        <v>1</v>
      </c>
      <c r="I899" s="3290" t="s">
        <v>3312</v>
      </c>
      <c r="J899" s="3290" t="s">
        <v>3326</v>
      </c>
      <c r="K899" s="3409">
        <v>54.28</v>
      </c>
      <c r="L899" s="3412">
        <v>40.32</v>
      </c>
      <c r="M899" s="3291"/>
      <c r="N899" s="3291"/>
      <c r="O899" s="3289"/>
      <c r="P899" s="3289"/>
      <c r="Q899" s="3289"/>
      <c r="R899" s="3291"/>
      <c r="S899" s="3291"/>
      <c r="T899" s="3239" t="str">
        <f t="shared" si="14"/>
        <v>有</v>
      </c>
    </row>
    <row r="900" spans="1:20">
      <c r="A900" s="3289">
        <v>898</v>
      </c>
      <c r="B900" s="3289">
        <v>3</v>
      </c>
      <c r="C900" s="3289">
        <v>1</v>
      </c>
      <c r="D900" s="3413">
        <v>714</v>
      </c>
      <c r="E900" s="3290">
        <v>706</v>
      </c>
      <c r="F900" s="3291">
        <v>1</v>
      </c>
      <c r="G900" s="3291">
        <v>1</v>
      </c>
      <c r="H900" s="3291">
        <v>1</v>
      </c>
      <c r="I900" s="3290" t="s">
        <v>3300</v>
      </c>
      <c r="J900" s="3290" t="s">
        <v>3326</v>
      </c>
      <c r="K900" s="3409">
        <v>54.28</v>
      </c>
      <c r="L900" s="3412">
        <v>40.32</v>
      </c>
      <c r="M900" s="3291"/>
      <c r="N900" s="3291"/>
      <c r="O900" s="3289"/>
      <c r="P900" s="3289"/>
      <c r="Q900" s="3289"/>
      <c r="R900" s="3291"/>
      <c r="S900" s="3291"/>
      <c r="T900" s="3239" t="str">
        <f t="shared" ref="T900:T944" si="15">IF(OR(J900="无障碍宿舍",J900="无障碍宿舍-01",J900="无障碍宿舍-02",J900="40平",J900="40平-01",J900="40平-02",J900="40平-03",J900="40平-04",J900="40平-06",J900="40平-07",J900="D2"),"无","有")</f>
        <v>有</v>
      </c>
    </row>
    <row r="901" spans="1:20">
      <c r="A901" s="3289">
        <v>899</v>
      </c>
      <c r="B901" s="3289">
        <v>3</v>
      </c>
      <c r="C901" s="3289">
        <v>1</v>
      </c>
      <c r="D901" s="3413">
        <v>715</v>
      </c>
      <c r="E901" s="3290">
        <v>719</v>
      </c>
      <c r="F901" s="3291">
        <v>1</v>
      </c>
      <c r="G901" s="3291">
        <v>1</v>
      </c>
      <c r="H901" s="3291">
        <v>1</v>
      </c>
      <c r="I901" s="3290" t="s">
        <v>3312</v>
      </c>
      <c r="J901" s="3290" t="s">
        <v>3326</v>
      </c>
      <c r="K901" s="3409">
        <v>54.28</v>
      </c>
      <c r="L901" s="3412">
        <v>40.32</v>
      </c>
      <c r="M901" s="3291"/>
      <c r="N901" s="3291"/>
      <c r="O901" s="3289"/>
      <c r="P901" s="3289"/>
      <c r="Q901" s="3289"/>
      <c r="R901" s="3291"/>
      <c r="S901" s="3291"/>
      <c r="T901" s="3239" t="str">
        <f t="shared" si="15"/>
        <v>有</v>
      </c>
    </row>
    <row r="902" spans="1:20">
      <c r="A902" s="3289">
        <v>900</v>
      </c>
      <c r="B902" s="3289">
        <v>3</v>
      </c>
      <c r="C902" s="3289">
        <v>1</v>
      </c>
      <c r="D902" s="3413">
        <v>716</v>
      </c>
      <c r="E902" s="3290">
        <v>705</v>
      </c>
      <c r="F902" s="3291">
        <v>1</v>
      </c>
      <c r="G902" s="3291">
        <v>1</v>
      </c>
      <c r="H902" s="3291">
        <v>1</v>
      </c>
      <c r="I902" s="3290" t="s">
        <v>3300</v>
      </c>
      <c r="J902" s="3290" t="s">
        <v>3326</v>
      </c>
      <c r="K902" s="3409">
        <v>54.28</v>
      </c>
      <c r="L902" s="3412">
        <v>40.32</v>
      </c>
      <c r="M902" s="3291"/>
      <c r="N902" s="3291"/>
      <c r="O902" s="3289"/>
      <c r="P902" s="3289"/>
      <c r="Q902" s="3289"/>
      <c r="R902" s="3291"/>
      <c r="S902" s="3291"/>
      <c r="T902" s="3239" t="str">
        <f t="shared" si="15"/>
        <v>有</v>
      </c>
    </row>
    <row r="903" spans="1:20">
      <c r="A903" s="3289">
        <v>901</v>
      </c>
      <c r="B903" s="3289">
        <v>3</v>
      </c>
      <c r="C903" s="3289">
        <v>1</v>
      </c>
      <c r="D903" s="3413">
        <v>717</v>
      </c>
      <c r="E903" s="3290">
        <v>704</v>
      </c>
      <c r="F903" s="3291">
        <v>1</v>
      </c>
      <c r="G903" s="3291">
        <v>1</v>
      </c>
      <c r="H903" s="3291">
        <v>1</v>
      </c>
      <c r="I903" s="3290" t="s">
        <v>3300</v>
      </c>
      <c r="J903" s="3290" t="s">
        <v>3326</v>
      </c>
      <c r="K903" s="3409">
        <v>54.28</v>
      </c>
      <c r="L903" s="3412">
        <v>40.32</v>
      </c>
      <c r="M903" s="3291"/>
      <c r="N903" s="3291"/>
      <c r="O903" s="3289"/>
      <c r="P903" s="3289"/>
      <c r="Q903" s="3289"/>
      <c r="R903" s="3291"/>
      <c r="S903" s="3291"/>
      <c r="T903" s="3239" t="str">
        <f t="shared" si="15"/>
        <v>有</v>
      </c>
    </row>
    <row r="904" spans="1:20">
      <c r="A904" s="3289">
        <v>902</v>
      </c>
      <c r="B904" s="3289">
        <v>3</v>
      </c>
      <c r="C904" s="3289">
        <v>1</v>
      </c>
      <c r="D904" s="3413">
        <v>718</v>
      </c>
      <c r="E904" s="3290">
        <v>703</v>
      </c>
      <c r="F904" s="3291">
        <v>1</v>
      </c>
      <c r="G904" s="3291">
        <v>1</v>
      </c>
      <c r="H904" s="3291">
        <v>1</v>
      </c>
      <c r="I904" s="3290" t="s">
        <v>3300</v>
      </c>
      <c r="J904" s="3290" t="s">
        <v>3326</v>
      </c>
      <c r="K904" s="3409">
        <v>54.28</v>
      </c>
      <c r="L904" s="3412">
        <v>40.32</v>
      </c>
      <c r="M904" s="3291"/>
      <c r="N904" s="3291"/>
      <c r="O904" s="3289"/>
      <c r="P904" s="3289"/>
      <c r="Q904" s="3289"/>
      <c r="R904" s="3291"/>
      <c r="S904" s="3291"/>
      <c r="T904" s="3239" t="str">
        <f t="shared" si="15"/>
        <v>有</v>
      </c>
    </row>
    <row r="905" spans="1:20">
      <c r="A905" s="3289">
        <v>903</v>
      </c>
      <c r="B905" s="3289">
        <v>3</v>
      </c>
      <c r="C905" s="3289">
        <v>1</v>
      </c>
      <c r="D905" s="3413">
        <v>719</v>
      </c>
      <c r="E905" s="3290">
        <v>720</v>
      </c>
      <c r="F905" s="3291">
        <v>1</v>
      </c>
      <c r="G905" s="3291">
        <v>1</v>
      </c>
      <c r="H905" s="3291">
        <v>1</v>
      </c>
      <c r="I905" s="3290" t="s">
        <v>3312</v>
      </c>
      <c r="J905" s="3290" t="s">
        <v>3340</v>
      </c>
      <c r="K905" s="3409">
        <v>54.73</v>
      </c>
      <c r="L905" s="3412">
        <v>40.65</v>
      </c>
      <c r="M905" s="3291"/>
      <c r="N905" s="3291"/>
      <c r="O905" s="3289"/>
      <c r="P905" s="3289"/>
      <c r="Q905" s="3289"/>
      <c r="R905" s="3291"/>
      <c r="S905" s="3291"/>
      <c r="T905" s="3239" t="str">
        <f t="shared" si="15"/>
        <v>有</v>
      </c>
    </row>
    <row r="906" spans="1:20">
      <c r="A906" s="3289">
        <v>904</v>
      </c>
      <c r="B906" s="3289">
        <v>3</v>
      </c>
      <c r="C906" s="3289">
        <v>1</v>
      </c>
      <c r="D906" s="3413">
        <v>720</v>
      </c>
      <c r="E906" s="3290">
        <v>702</v>
      </c>
      <c r="F906" s="3291">
        <v>1</v>
      </c>
      <c r="G906" s="3291">
        <v>1</v>
      </c>
      <c r="H906" s="3291">
        <v>1</v>
      </c>
      <c r="I906" s="3290" t="s">
        <v>3300</v>
      </c>
      <c r="J906" s="3290" t="s">
        <v>3340</v>
      </c>
      <c r="K906" s="3409">
        <v>54.73</v>
      </c>
      <c r="L906" s="3412">
        <v>40.65</v>
      </c>
      <c r="M906" s="3291"/>
      <c r="N906" s="3291"/>
      <c r="O906" s="3289"/>
      <c r="P906" s="3289"/>
      <c r="Q906" s="3289"/>
      <c r="R906" s="3291"/>
      <c r="S906" s="3291"/>
      <c r="T906" s="3239" t="str">
        <f t="shared" si="15"/>
        <v>有</v>
      </c>
    </row>
    <row r="907" spans="1:20">
      <c r="A907" s="3289">
        <v>905</v>
      </c>
      <c r="B907" s="3289">
        <v>3</v>
      </c>
      <c r="C907" s="3289">
        <v>1</v>
      </c>
      <c r="D907" s="3413">
        <v>721</v>
      </c>
      <c r="E907" s="3290">
        <v>721</v>
      </c>
      <c r="F907" s="3291">
        <v>4</v>
      </c>
      <c r="G907" s="3291">
        <v>1</v>
      </c>
      <c r="H907" s="3291">
        <v>1</v>
      </c>
      <c r="I907" s="3290" t="s">
        <v>3316</v>
      </c>
      <c r="J907" s="3290" t="s">
        <v>3339</v>
      </c>
      <c r="K907" s="3409">
        <v>103.21</v>
      </c>
      <c r="L907" s="3412">
        <v>76.66</v>
      </c>
      <c r="M907" s="3291"/>
      <c r="N907" s="3291"/>
      <c r="O907" s="3289"/>
      <c r="P907" s="3289"/>
      <c r="Q907" s="3289"/>
      <c r="R907" s="3291"/>
      <c r="S907" s="3291"/>
      <c r="T907" s="3239" t="str">
        <f t="shared" si="15"/>
        <v>有</v>
      </c>
    </row>
    <row r="908" spans="1:20">
      <c r="A908" s="3289">
        <v>906</v>
      </c>
      <c r="B908" s="3289">
        <v>3</v>
      </c>
      <c r="C908" s="3289">
        <v>1</v>
      </c>
      <c r="D908" s="3413">
        <v>722</v>
      </c>
      <c r="E908" s="3290">
        <v>701</v>
      </c>
      <c r="F908" s="3291">
        <v>4</v>
      </c>
      <c r="G908" s="3291">
        <v>1</v>
      </c>
      <c r="H908" s="3291">
        <v>1</v>
      </c>
      <c r="I908" s="3290" t="s">
        <v>3318</v>
      </c>
      <c r="J908" s="3290" t="s">
        <v>3339</v>
      </c>
      <c r="K908" s="3409">
        <v>103.21</v>
      </c>
      <c r="L908" s="3412">
        <v>76.66</v>
      </c>
      <c r="M908" s="3291"/>
      <c r="N908" s="3291"/>
      <c r="O908" s="3289"/>
      <c r="P908" s="3413"/>
      <c r="Q908" s="3413"/>
      <c r="R908" s="3291"/>
      <c r="S908" s="3291"/>
      <c r="T908" s="3239" t="str">
        <f t="shared" si="15"/>
        <v>有</v>
      </c>
    </row>
    <row r="909" spans="1:20" hidden="1">
      <c r="A909" s="3289">
        <v>907</v>
      </c>
      <c r="B909" s="3289">
        <v>3</v>
      </c>
      <c r="C909" s="3289">
        <v>1</v>
      </c>
      <c r="D909" s="3413">
        <v>801</v>
      </c>
      <c r="E909" s="3290">
        <v>813</v>
      </c>
      <c r="F909" s="3291">
        <v>1</v>
      </c>
      <c r="G909" s="3291">
        <v>0</v>
      </c>
      <c r="H909" s="3291">
        <v>1</v>
      </c>
      <c r="I909" s="3290" t="s">
        <v>3310</v>
      </c>
      <c r="J909" s="3290" t="s">
        <v>3503</v>
      </c>
      <c r="K909" s="3409">
        <v>42.58</v>
      </c>
      <c r="L909" s="3412">
        <v>31.63</v>
      </c>
      <c r="M909" s="3291"/>
      <c r="N909" s="3291"/>
      <c r="O909" s="3289"/>
      <c r="P909" s="3289"/>
      <c r="Q909" s="3289"/>
      <c r="R909" s="3291"/>
      <c r="S909" s="3291"/>
      <c r="T909" s="3239" t="str">
        <f t="shared" si="15"/>
        <v>无</v>
      </c>
    </row>
    <row r="910" spans="1:20" hidden="1">
      <c r="A910" s="3289">
        <v>908</v>
      </c>
      <c r="B910" s="3289">
        <v>3</v>
      </c>
      <c r="C910" s="3289">
        <v>1</v>
      </c>
      <c r="D910" s="3413">
        <v>802</v>
      </c>
      <c r="E910" s="3290">
        <v>812</v>
      </c>
      <c r="F910" s="3291">
        <v>1</v>
      </c>
      <c r="G910" s="3291">
        <v>0</v>
      </c>
      <c r="H910" s="3291">
        <v>1</v>
      </c>
      <c r="I910" s="3290" t="s">
        <v>3302</v>
      </c>
      <c r="J910" s="3290" t="s">
        <v>3503</v>
      </c>
      <c r="K910" s="3409">
        <v>42.58</v>
      </c>
      <c r="L910" s="3412">
        <v>31.63</v>
      </c>
      <c r="M910" s="3291"/>
      <c r="N910" s="3291"/>
      <c r="O910" s="3289"/>
      <c r="P910" s="3289"/>
      <c r="Q910" s="3289"/>
      <c r="R910" s="3291"/>
      <c r="S910" s="3291"/>
      <c r="T910" s="3239" t="str">
        <f t="shared" si="15"/>
        <v>无</v>
      </c>
    </row>
    <row r="911" spans="1:20" hidden="1">
      <c r="A911" s="3289">
        <v>909</v>
      </c>
      <c r="B911" s="3289">
        <v>3</v>
      </c>
      <c r="C911" s="3289">
        <v>1</v>
      </c>
      <c r="D911" s="3413">
        <v>803</v>
      </c>
      <c r="E911" s="3290">
        <v>811</v>
      </c>
      <c r="F911" s="3291">
        <v>1</v>
      </c>
      <c r="G911" s="3291">
        <v>0</v>
      </c>
      <c r="H911" s="3291">
        <v>1</v>
      </c>
      <c r="I911" s="3290" t="s">
        <v>3300</v>
      </c>
      <c r="J911" s="3290" t="s">
        <v>3305</v>
      </c>
      <c r="K911" s="3409">
        <v>42.46</v>
      </c>
      <c r="L911" s="3412">
        <v>31.54</v>
      </c>
      <c r="M911" s="3291"/>
      <c r="N911" s="3291"/>
      <c r="O911" s="3289"/>
      <c r="P911" s="3289"/>
      <c r="Q911" s="3289"/>
      <c r="R911" s="3291"/>
      <c r="S911" s="3291"/>
      <c r="T911" s="3239" t="str">
        <f t="shared" si="15"/>
        <v>无</v>
      </c>
    </row>
    <row r="912" spans="1:20" hidden="1">
      <c r="A912" s="3289">
        <v>910</v>
      </c>
      <c r="B912" s="3289">
        <v>3</v>
      </c>
      <c r="C912" s="3289">
        <v>1</v>
      </c>
      <c r="D912" s="3413">
        <v>804</v>
      </c>
      <c r="E912" s="3290">
        <v>814</v>
      </c>
      <c r="F912" s="3291">
        <v>1</v>
      </c>
      <c r="G912" s="3291">
        <v>0</v>
      </c>
      <c r="H912" s="3291">
        <v>1</v>
      </c>
      <c r="I912" s="3290" t="s">
        <v>3312</v>
      </c>
      <c r="J912" s="3290" t="s">
        <v>3305</v>
      </c>
      <c r="K912" s="3409">
        <v>42.46</v>
      </c>
      <c r="L912" s="3412">
        <v>31.54</v>
      </c>
      <c r="M912" s="3291"/>
      <c r="N912" s="3291"/>
      <c r="O912" s="3289"/>
      <c r="P912" s="3289"/>
      <c r="Q912" s="3289"/>
      <c r="R912" s="3291"/>
      <c r="S912" s="3291"/>
      <c r="T912" s="3239" t="str">
        <f t="shared" si="15"/>
        <v>无</v>
      </c>
    </row>
    <row r="913" spans="1:20" hidden="1">
      <c r="A913" s="3289">
        <v>911</v>
      </c>
      <c r="B913" s="3289">
        <v>3</v>
      </c>
      <c r="C913" s="3289">
        <v>1</v>
      </c>
      <c r="D913" s="3413">
        <v>805</v>
      </c>
      <c r="E913" s="3290">
        <v>815</v>
      </c>
      <c r="F913" s="3291">
        <v>1</v>
      </c>
      <c r="G913" s="3291">
        <v>0</v>
      </c>
      <c r="H913" s="3291">
        <v>1</v>
      </c>
      <c r="I913" s="3290" t="s">
        <v>3312</v>
      </c>
      <c r="J913" s="3290" t="s">
        <v>3504</v>
      </c>
      <c r="K913" s="3409">
        <v>42.83</v>
      </c>
      <c r="L913" s="3412">
        <v>31.81</v>
      </c>
      <c r="M913" s="3291"/>
      <c r="N913" s="3291"/>
      <c r="O913" s="3289"/>
      <c r="P913" s="3289"/>
      <c r="Q913" s="3289"/>
      <c r="R913" s="3291"/>
      <c r="S913" s="3291"/>
      <c r="T913" s="3239" t="str">
        <f t="shared" si="15"/>
        <v>无</v>
      </c>
    </row>
    <row r="914" spans="1:20">
      <c r="A914" s="3289">
        <v>912</v>
      </c>
      <c r="B914" s="3289">
        <v>3</v>
      </c>
      <c r="C914" s="3289">
        <v>1</v>
      </c>
      <c r="D914" s="3413">
        <v>806</v>
      </c>
      <c r="E914" s="3290">
        <v>810</v>
      </c>
      <c r="F914" s="3291">
        <v>1</v>
      </c>
      <c r="G914" s="3291">
        <v>1</v>
      </c>
      <c r="H914" s="3291">
        <v>1</v>
      </c>
      <c r="I914" s="3290" t="s">
        <v>3300</v>
      </c>
      <c r="J914" s="3290" t="s">
        <v>3341</v>
      </c>
      <c r="K914" s="3409">
        <v>54.28</v>
      </c>
      <c r="L914" s="3412">
        <v>40.32</v>
      </c>
      <c r="M914" s="3291"/>
      <c r="N914" s="3291"/>
      <c r="O914" s="3289"/>
      <c r="P914" s="3289"/>
      <c r="Q914" s="3289"/>
      <c r="R914" s="3291"/>
      <c r="S914" s="3291"/>
      <c r="T914" s="3239" t="str">
        <f t="shared" si="15"/>
        <v>有</v>
      </c>
    </row>
    <row r="915" spans="1:20">
      <c r="A915" s="3289">
        <v>913</v>
      </c>
      <c r="B915" s="3289">
        <v>3</v>
      </c>
      <c r="C915" s="3289">
        <v>1</v>
      </c>
      <c r="D915" s="3413">
        <v>807</v>
      </c>
      <c r="E915" s="3290">
        <v>809</v>
      </c>
      <c r="F915" s="3291">
        <v>1</v>
      </c>
      <c r="G915" s="3291">
        <v>1</v>
      </c>
      <c r="H915" s="3291">
        <v>1</v>
      </c>
      <c r="I915" s="3290" t="s">
        <v>3300</v>
      </c>
      <c r="J915" s="3290" t="s">
        <v>3326</v>
      </c>
      <c r="K915" s="3409">
        <v>54.28</v>
      </c>
      <c r="L915" s="3412">
        <v>40.32</v>
      </c>
      <c r="M915" s="3291"/>
      <c r="N915" s="3291"/>
      <c r="O915" s="3289"/>
      <c r="P915" s="3289"/>
      <c r="Q915" s="3289"/>
      <c r="R915" s="3291"/>
      <c r="S915" s="3291"/>
      <c r="T915" s="3239" t="str">
        <f t="shared" si="15"/>
        <v>有</v>
      </c>
    </row>
    <row r="916" spans="1:20">
      <c r="A916" s="3289">
        <v>914</v>
      </c>
      <c r="B916" s="3289">
        <v>3</v>
      </c>
      <c r="C916" s="3289">
        <v>1</v>
      </c>
      <c r="D916" s="3413">
        <v>809</v>
      </c>
      <c r="E916" s="3290">
        <v>808</v>
      </c>
      <c r="F916" s="3291">
        <v>1</v>
      </c>
      <c r="G916" s="3291">
        <v>1</v>
      </c>
      <c r="H916" s="3291">
        <v>1</v>
      </c>
      <c r="I916" s="3290" t="s">
        <v>3300</v>
      </c>
      <c r="J916" s="3290" t="s">
        <v>3326</v>
      </c>
      <c r="K916" s="3409">
        <v>54.28</v>
      </c>
      <c r="L916" s="3412">
        <v>40.32</v>
      </c>
      <c r="M916" s="3291"/>
      <c r="N916" s="3291"/>
      <c r="O916" s="3289"/>
      <c r="P916" s="3289"/>
      <c r="Q916" s="3289"/>
      <c r="R916" s="3291"/>
      <c r="S916" s="3291"/>
      <c r="T916" s="3239" t="str">
        <f t="shared" si="15"/>
        <v>有</v>
      </c>
    </row>
    <row r="917" spans="1:20" hidden="1">
      <c r="A917" s="3289">
        <v>915</v>
      </c>
      <c r="B917" s="3289">
        <v>3</v>
      </c>
      <c r="C917" s="3289">
        <v>1</v>
      </c>
      <c r="D917" s="3413">
        <v>810</v>
      </c>
      <c r="E917" s="3290">
        <v>816</v>
      </c>
      <c r="F917" s="3291">
        <v>1</v>
      </c>
      <c r="G917" s="3291">
        <v>0</v>
      </c>
      <c r="H917" s="3291">
        <v>1</v>
      </c>
      <c r="I917" s="3290" t="s">
        <v>3312</v>
      </c>
      <c r="J917" s="3290" t="s">
        <v>3306</v>
      </c>
      <c r="K917" s="3409">
        <v>43.43</v>
      </c>
      <c r="L917" s="3412">
        <v>32.26</v>
      </c>
      <c r="M917" s="3291"/>
      <c r="N917" s="3291"/>
      <c r="O917" s="3289"/>
      <c r="P917" s="3289"/>
      <c r="Q917" s="3289"/>
      <c r="R917" s="3291"/>
      <c r="S917" s="3291"/>
      <c r="T917" s="3239" t="str">
        <f t="shared" si="15"/>
        <v>无</v>
      </c>
    </row>
    <row r="918" spans="1:20">
      <c r="A918" s="3289">
        <v>916</v>
      </c>
      <c r="B918" s="3289">
        <v>3</v>
      </c>
      <c r="C918" s="3289">
        <v>1</v>
      </c>
      <c r="D918" s="3413">
        <v>811</v>
      </c>
      <c r="E918" s="3290">
        <v>807</v>
      </c>
      <c r="F918" s="3291">
        <v>1</v>
      </c>
      <c r="G918" s="3291">
        <v>1</v>
      </c>
      <c r="H918" s="3291">
        <v>1</v>
      </c>
      <c r="I918" s="3290" t="s">
        <v>3300</v>
      </c>
      <c r="J918" s="3290" t="s">
        <v>3326</v>
      </c>
      <c r="K918" s="3409">
        <v>54.28</v>
      </c>
      <c r="L918" s="3412">
        <v>40.32</v>
      </c>
      <c r="M918" s="3291"/>
      <c r="N918" s="3291"/>
      <c r="O918" s="3289"/>
      <c r="P918" s="3289"/>
      <c r="Q918" s="3289"/>
      <c r="R918" s="3291"/>
      <c r="S918" s="3291"/>
      <c r="T918" s="3239" t="str">
        <f t="shared" si="15"/>
        <v>有</v>
      </c>
    </row>
    <row r="919" spans="1:20">
      <c r="A919" s="3289">
        <v>917</v>
      </c>
      <c r="B919" s="3289">
        <v>3</v>
      </c>
      <c r="C919" s="3289">
        <v>1</v>
      </c>
      <c r="D919" s="3413">
        <v>812</v>
      </c>
      <c r="E919" s="3290">
        <v>817</v>
      </c>
      <c r="F919" s="3291">
        <v>1</v>
      </c>
      <c r="G919" s="3291">
        <v>1</v>
      </c>
      <c r="H919" s="3291">
        <v>1</v>
      </c>
      <c r="I919" s="3290" t="s">
        <v>3312</v>
      </c>
      <c r="J919" s="3290" t="s">
        <v>3326</v>
      </c>
      <c r="K919" s="3409">
        <v>54.28</v>
      </c>
      <c r="L919" s="3412">
        <v>40.32</v>
      </c>
      <c r="M919" s="3291"/>
      <c r="N919" s="3291"/>
      <c r="O919" s="3289">
        <v>2.9</v>
      </c>
      <c r="P919" s="3289" t="s">
        <v>3363</v>
      </c>
      <c r="Q919" s="3289" t="s">
        <v>3482</v>
      </c>
      <c r="R919" s="3291"/>
      <c r="S919" s="3291"/>
      <c r="T919" s="3239" t="str">
        <f t="shared" si="15"/>
        <v>有</v>
      </c>
    </row>
    <row r="920" spans="1:20">
      <c r="A920" s="3289">
        <v>918</v>
      </c>
      <c r="B920" s="3289">
        <v>3</v>
      </c>
      <c r="C920" s="3289">
        <v>1</v>
      </c>
      <c r="D920" s="3413">
        <v>813</v>
      </c>
      <c r="E920" s="3290">
        <v>818</v>
      </c>
      <c r="F920" s="3291">
        <v>1</v>
      </c>
      <c r="G920" s="3291">
        <v>1</v>
      </c>
      <c r="H920" s="3291">
        <v>1</v>
      </c>
      <c r="I920" s="3290" t="s">
        <v>3312</v>
      </c>
      <c r="J920" s="3290" t="s">
        <v>3326</v>
      </c>
      <c r="K920" s="3409">
        <v>54.28</v>
      </c>
      <c r="L920" s="3412">
        <v>40.32</v>
      </c>
      <c r="M920" s="3291"/>
      <c r="N920" s="3291"/>
      <c r="O920" s="3289"/>
      <c r="P920" s="3289"/>
      <c r="Q920" s="3289"/>
      <c r="R920" s="3291"/>
      <c r="S920" s="3291"/>
      <c r="T920" s="3239" t="str">
        <f t="shared" si="15"/>
        <v>有</v>
      </c>
    </row>
    <row r="921" spans="1:20">
      <c r="A921" s="3289">
        <v>919</v>
      </c>
      <c r="B921" s="3289">
        <v>3</v>
      </c>
      <c r="C921" s="3289">
        <v>1</v>
      </c>
      <c r="D921" s="3413">
        <v>814</v>
      </c>
      <c r="E921" s="3290">
        <v>806</v>
      </c>
      <c r="F921" s="3291">
        <v>1</v>
      </c>
      <c r="G921" s="3291">
        <v>1</v>
      </c>
      <c r="H921" s="3291">
        <v>1</v>
      </c>
      <c r="I921" s="3290" t="s">
        <v>3300</v>
      </c>
      <c r="J921" s="3290" t="s">
        <v>3326</v>
      </c>
      <c r="K921" s="3409">
        <v>54.28</v>
      </c>
      <c r="L921" s="3412">
        <v>40.32</v>
      </c>
      <c r="M921" s="3291"/>
      <c r="N921" s="3291"/>
      <c r="O921" s="3289"/>
      <c r="P921" s="3289"/>
      <c r="Q921" s="3289"/>
      <c r="R921" s="3291"/>
      <c r="S921" s="3291"/>
      <c r="T921" s="3239" t="str">
        <f t="shared" si="15"/>
        <v>有</v>
      </c>
    </row>
    <row r="922" spans="1:20">
      <c r="A922" s="3289">
        <v>920</v>
      </c>
      <c r="B922" s="3289">
        <v>3</v>
      </c>
      <c r="C922" s="3289">
        <v>1</v>
      </c>
      <c r="D922" s="3413">
        <v>815</v>
      </c>
      <c r="E922" s="3290">
        <v>819</v>
      </c>
      <c r="F922" s="3291">
        <v>1</v>
      </c>
      <c r="G922" s="3291">
        <v>1</v>
      </c>
      <c r="H922" s="3291">
        <v>1</v>
      </c>
      <c r="I922" s="3290" t="s">
        <v>3312</v>
      </c>
      <c r="J922" s="3290" t="s">
        <v>3326</v>
      </c>
      <c r="K922" s="3409">
        <v>54.28</v>
      </c>
      <c r="L922" s="3412">
        <v>40.32</v>
      </c>
      <c r="M922" s="3291"/>
      <c r="N922" s="3291"/>
      <c r="O922" s="3289"/>
      <c r="P922" s="3289"/>
      <c r="Q922" s="3289"/>
      <c r="R922" s="3291"/>
      <c r="S922" s="3291"/>
      <c r="T922" s="3239" t="str">
        <f t="shared" si="15"/>
        <v>有</v>
      </c>
    </row>
    <row r="923" spans="1:20">
      <c r="A923" s="3289">
        <v>921</v>
      </c>
      <c r="B923" s="3289">
        <v>3</v>
      </c>
      <c r="C923" s="3289">
        <v>1</v>
      </c>
      <c r="D923" s="3413">
        <v>816</v>
      </c>
      <c r="E923" s="3290">
        <v>805</v>
      </c>
      <c r="F923" s="3291">
        <v>1</v>
      </c>
      <c r="G923" s="3291">
        <v>1</v>
      </c>
      <c r="H923" s="3291">
        <v>1</v>
      </c>
      <c r="I923" s="3290" t="s">
        <v>3300</v>
      </c>
      <c r="J923" s="3290" t="s">
        <v>3326</v>
      </c>
      <c r="K923" s="3409">
        <v>54.28</v>
      </c>
      <c r="L923" s="3412">
        <v>40.32</v>
      </c>
      <c r="M923" s="3291"/>
      <c r="N923" s="3291"/>
      <c r="O923" s="3289"/>
      <c r="P923" s="3289"/>
      <c r="Q923" s="3289"/>
      <c r="R923" s="3291"/>
      <c r="S923" s="3291"/>
      <c r="T923" s="3239" t="str">
        <f t="shared" si="15"/>
        <v>有</v>
      </c>
    </row>
    <row r="924" spans="1:20">
      <c r="A924" s="3289">
        <v>922</v>
      </c>
      <c r="B924" s="3289">
        <v>3</v>
      </c>
      <c r="C924" s="3289">
        <v>1</v>
      </c>
      <c r="D924" s="3413">
        <v>817</v>
      </c>
      <c r="E924" s="3290">
        <v>804</v>
      </c>
      <c r="F924" s="3291">
        <v>1</v>
      </c>
      <c r="G924" s="3291">
        <v>1</v>
      </c>
      <c r="H924" s="3291">
        <v>1</v>
      </c>
      <c r="I924" s="3290" t="s">
        <v>3300</v>
      </c>
      <c r="J924" s="3290" t="s">
        <v>3326</v>
      </c>
      <c r="K924" s="3409">
        <v>54.28</v>
      </c>
      <c r="L924" s="3412">
        <v>40.32</v>
      </c>
      <c r="M924" s="3291"/>
      <c r="N924" s="3291"/>
      <c r="O924" s="3289"/>
      <c r="P924" s="3289"/>
      <c r="Q924" s="3289"/>
      <c r="R924" s="3291"/>
      <c r="S924" s="3291"/>
      <c r="T924" s="3239" t="str">
        <f t="shared" si="15"/>
        <v>有</v>
      </c>
    </row>
    <row r="925" spans="1:20">
      <c r="A925" s="3289">
        <v>923</v>
      </c>
      <c r="B925" s="3289">
        <v>3</v>
      </c>
      <c r="C925" s="3289">
        <v>1</v>
      </c>
      <c r="D925" s="3413">
        <v>818</v>
      </c>
      <c r="E925" s="3290">
        <v>803</v>
      </c>
      <c r="F925" s="3291">
        <v>1</v>
      </c>
      <c r="G925" s="3291">
        <v>1</v>
      </c>
      <c r="H925" s="3291">
        <v>1</v>
      </c>
      <c r="I925" s="3290" t="s">
        <v>3300</v>
      </c>
      <c r="J925" s="3290" t="s">
        <v>3326</v>
      </c>
      <c r="K925" s="3409">
        <v>54.28</v>
      </c>
      <c r="L925" s="3412">
        <v>40.32</v>
      </c>
      <c r="M925" s="3291"/>
      <c r="N925" s="3291"/>
      <c r="O925" s="3289"/>
      <c r="P925" s="3289"/>
      <c r="Q925" s="3289"/>
      <c r="R925" s="3291"/>
      <c r="S925" s="3291"/>
      <c r="T925" s="3239" t="str">
        <f t="shared" si="15"/>
        <v>有</v>
      </c>
    </row>
    <row r="926" spans="1:20">
      <c r="A926" s="3289">
        <v>924</v>
      </c>
      <c r="B926" s="3289">
        <v>3</v>
      </c>
      <c r="C926" s="3289">
        <v>1</v>
      </c>
      <c r="D926" s="3413">
        <v>819</v>
      </c>
      <c r="E926" s="3290">
        <v>820</v>
      </c>
      <c r="F926" s="3291">
        <v>1</v>
      </c>
      <c r="G926" s="3291">
        <v>1</v>
      </c>
      <c r="H926" s="3291">
        <v>1</v>
      </c>
      <c r="I926" s="3290" t="s">
        <v>3312</v>
      </c>
      <c r="J926" s="3290" t="s">
        <v>3340</v>
      </c>
      <c r="K926" s="3409">
        <v>54.73</v>
      </c>
      <c r="L926" s="3412">
        <v>40.65</v>
      </c>
      <c r="M926" s="3291"/>
      <c r="N926" s="3291"/>
      <c r="O926" s="3289"/>
      <c r="P926" s="3289"/>
      <c r="Q926" s="3289"/>
      <c r="R926" s="3291"/>
      <c r="S926" s="3291"/>
      <c r="T926" s="3239" t="str">
        <f t="shared" si="15"/>
        <v>有</v>
      </c>
    </row>
    <row r="927" spans="1:20">
      <c r="A927" s="3289">
        <v>925</v>
      </c>
      <c r="B927" s="3289">
        <v>3</v>
      </c>
      <c r="C927" s="3289">
        <v>1</v>
      </c>
      <c r="D927" s="3413">
        <v>820</v>
      </c>
      <c r="E927" s="3290">
        <v>802</v>
      </c>
      <c r="F927" s="3291">
        <v>1</v>
      </c>
      <c r="G927" s="3291">
        <v>1</v>
      </c>
      <c r="H927" s="3291">
        <v>1</v>
      </c>
      <c r="I927" s="3290" t="s">
        <v>3300</v>
      </c>
      <c r="J927" s="3290" t="s">
        <v>3340</v>
      </c>
      <c r="K927" s="3409">
        <v>54.73</v>
      </c>
      <c r="L927" s="3412">
        <v>40.65</v>
      </c>
      <c r="M927" s="3291"/>
      <c r="N927" s="3291"/>
      <c r="O927" s="3289"/>
      <c r="P927" s="3289"/>
      <c r="Q927" s="3289"/>
      <c r="R927" s="3291"/>
      <c r="S927" s="3291"/>
      <c r="T927" s="3239" t="str">
        <f t="shared" si="15"/>
        <v>有</v>
      </c>
    </row>
    <row r="928" spans="1:20">
      <c r="A928" s="3289">
        <v>926</v>
      </c>
      <c r="B928" s="3289">
        <v>3</v>
      </c>
      <c r="C928" s="3289">
        <v>1</v>
      </c>
      <c r="D928" s="3413">
        <v>821</v>
      </c>
      <c r="E928" s="3290">
        <v>821</v>
      </c>
      <c r="F928" s="3291">
        <v>4</v>
      </c>
      <c r="G928" s="3291">
        <v>1</v>
      </c>
      <c r="H928" s="3291">
        <v>1</v>
      </c>
      <c r="I928" s="3290" t="s">
        <v>3316</v>
      </c>
      <c r="J928" s="3290" t="s">
        <v>3339</v>
      </c>
      <c r="K928" s="3409">
        <v>103.21</v>
      </c>
      <c r="L928" s="3412">
        <v>76.66</v>
      </c>
      <c r="M928" s="3291"/>
      <c r="N928" s="3291"/>
      <c r="O928" s="3289"/>
      <c r="P928" s="3289"/>
      <c r="Q928" s="3289"/>
      <c r="R928" s="3291"/>
      <c r="S928" s="3291"/>
      <c r="T928" s="3239" t="str">
        <f t="shared" si="15"/>
        <v>有</v>
      </c>
    </row>
    <row r="929" spans="1:20">
      <c r="A929" s="3289">
        <v>927</v>
      </c>
      <c r="B929" s="3289">
        <v>3</v>
      </c>
      <c r="C929" s="3289">
        <v>1</v>
      </c>
      <c r="D929" s="3413">
        <v>822</v>
      </c>
      <c r="E929" s="3290">
        <v>801</v>
      </c>
      <c r="F929" s="3291">
        <v>4</v>
      </c>
      <c r="G929" s="3291">
        <v>1</v>
      </c>
      <c r="H929" s="3291">
        <v>1</v>
      </c>
      <c r="I929" s="3290" t="s">
        <v>3318</v>
      </c>
      <c r="J929" s="3290" t="s">
        <v>3339</v>
      </c>
      <c r="K929" s="3409">
        <v>103.21</v>
      </c>
      <c r="L929" s="3412">
        <v>76.66</v>
      </c>
      <c r="M929" s="3291"/>
      <c r="N929" s="3291"/>
      <c r="O929" s="3289"/>
      <c r="P929" s="3413"/>
      <c r="Q929" s="3413"/>
      <c r="R929" s="3291"/>
      <c r="S929" s="3291"/>
      <c r="T929" s="3239" t="str">
        <f t="shared" si="15"/>
        <v>有</v>
      </c>
    </row>
    <row r="930" spans="1:20" hidden="1">
      <c r="A930" s="3289">
        <v>928</v>
      </c>
      <c r="B930" s="3289">
        <v>3</v>
      </c>
      <c r="C930" s="3289">
        <v>1</v>
      </c>
      <c r="D930" s="3413">
        <v>901</v>
      </c>
      <c r="E930" s="3290">
        <v>913</v>
      </c>
      <c r="F930" s="3291">
        <v>1</v>
      </c>
      <c r="G930" s="3291">
        <v>0</v>
      </c>
      <c r="H930" s="3291">
        <v>1</v>
      </c>
      <c r="I930" s="3290" t="s">
        <v>3310</v>
      </c>
      <c r="J930" s="3290" t="s">
        <v>3503</v>
      </c>
      <c r="K930" s="3409">
        <v>42.58</v>
      </c>
      <c r="L930" s="3412">
        <v>31.63</v>
      </c>
      <c r="M930" s="3291"/>
      <c r="N930" s="3291"/>
      <c r="O930" s="3289"/>
      <c r="P930" s="3289"/>
      <c r="Q930" s="3289"/>
      <c r="R930" s="3291"/>
      <c r="S930" s="3291"/>
      <c r="T930" s="3239" t="str">
        <f t="shared" si="15"/>
        <v>无</v>
      </c>
    </row>
    <row r="931" spans="1:20" hidden="1">
      <c r="A931" s="3289">
        <v>929</v>
      </c>
      <c r="B931" s="3289">
        <v>3</v>
      </c>
      <c r="C931" s="3289">
        <v>1</v>
      </c>
      <c r="D931" s="3413">
        <v>902</v>
      </c>
      <c r="E931" s="3290">
        <v>912</v>
      </c>
      <c r="F931" s="3291">
        <v>1</v>
      </c>
      <c r="G931" s="3291">
        <v>0</v>
      </c>
      <c r="H931" s="3291">
        <v>1</v>
      </c>
      <c r="I931" s="3290" t="s">
        <v>3302</v>
      </c>
      <c r="J931" s="3290" t="s">
        <v>3503</v>
      </c>
      <c r="K931" s="3409">
        <v>42.58</v>
      </c>
      <c r="L931" s="3412">
        <v>31.63</v>
      </c>
      <c r="M931" s="3291"/>
      <c r="N931" s="3291"/>
      <c r="O931" s="3289"/>
      <c r="P931" s="3289"/>
      <c r="Q931" s="3289"/>
      <c r="R931" s="3291"/>
      <c r="S931" s="3291"/>
      <c r="T931" s="3239" t="str">
        <f t="shared" si="15"/>
        <v>无</v>
      </c>
    </row>
    <row r="932" spans="1:20" hidden="1">
      <c r="A932" s="3289">
        <v>930</v>
      </c>
      <c r="B932" s="3289">
        <v>3</v>
      </c>
      <c r="C932" s="3289">
        <v>1</v>
      </c>
      <c r="D932" s="3413">
        <v>903</v>
      </c>
      <c r="E932" s="3290">
        <v>911</v>
      </c>
      <c r="F932" s="3291">
        <v>1</v>
      </c>
      <c r="G932" s="3291">
        <v>0</v>
      </c>
      <c r="H932" s="3291">
        <v>1</v>
      </c>
      <c r="I932" s="3290" t="s">
        <v>3300</v>
      </c>
      <c r="J932" s="3290" t="s">
        <v>3305</v>
      </c>
      <c r="K932" s="3409">
        <v>42.46</v>
      </c>
      <c r="L932" s="3412">
        <v>31.54</v>
      </c>
      <c r="M932" s="3291"/>
      <c r="N932" s="3291"/>
      <c r="O932" s="3289"/>
      <c r="P932" s="3289"/>
      <c r="Q932" s="3289"/>
      <c r="R932" s="3291"/>
      <c r="S932" s="3291"/>
      <c r="T932" s="3239" t="str">
        <f t="shared" si="15"/>
        <v>无</v>
      </c>
    </row>
    <row r="933" spans="1:20" hidden="1">
      <c r="A933" s="3289">
        <v>931</v>
      </c>
      <c r="B933" s="3289">
        <v>3</v>
      </c>
      <c r="C933" s="3289">
        <v>1</v>
      </c>
      <c r="D933" s="3413">
        <v>904</v>
      </c>
      <c r="E933" s="3290">
        <v>914</v>
      </c>
      <c r="F933" s="3291">
        <v>1</v>
      </c>
      <c r="G933" s="3291">
        <v>0</v>
      </c>
      <c r="H933" s="3291">
        <v>1</v>
      </c>
      <c r="I933" s="3290" t="s">
        <v>3312</v>
      </c>
      <c r="J933" s="3290" t="s">
        <v>3305</v>
      </c>
      <c r="K933" s="3409">
        <v>42.46</v>
      </c>
      <c r="L933" s="3412">
        <v>31.54</v>
      </c>
      <c r="M933" s="3291"/>
      <c r="N933" s="3291"/>
      <c r="O933" s="3289"/>
      <c r="P933" s="3289"/>
      <c r="Q933" s="3289"/>
      <c r="R933" s="3291"/>
      <c r="S933" s="3291"/>
      <c r="T933" s="3239" t="str">
        <f t="shared" si="15"/>
        <v>无</v>
      </c>
    </row>
    <row r="934" spans="1:20" hidden="1">
      <c r="A934" s="3289">
        <v>932</v>
      </c>
      <c r="B934" s="3289">
        <v>3</v>
      </c>
      <c r="C934" s="3289">
        <v>1</v>
      </c>
      <c r="D934" s="3413">
        <v>905</v>
      </c>
      <c r="E934" s="3290">
        <v>915</v>
      </c>
      <c r="F934" s="3291">
        <v>1</v>
      </c>
      <c r="G934" s="3291">
        <v>0</v>
      </c>
      <c r="H934" s="3291">
        <v>1</v>
      </c>
      <c r="I934" s="3290" t="s">
        <v>3312</v>
      </c>
      <c r="J934" s="3290" t="s">
        <v>3504</v>
      </c>
      <c r="K934" s="3409">
        <v>42.83</v>
      </c>
      <c r="L934" s="3412">
        <v>31.81</v>
      </c>
      <c r="M934" s="3291"/>
      <c r="N934" s="3291"/>
      <c r="O934" s="3289"/>
      <c r="P934" s="3289"/>
      <c r="Q934" s="3289"/>
      <c r="R934" s="3291"/>
      <c r="S934" s="3291"/>
      <c r="T934" s="3239" t="str">
        <f t="shared" si="15"/>
        <v>无</v>
      </c>
    </row>
    <row r="935" spans="1:20">
      <c r="A935" s="3289">
        <v>933</v>
      </c>
      <c r="B935" s="3289">
        <v>3</v>
      </c>
      <c r="C935" s="3289">
        <v>1</v>
      </c>
      <c r="D935" s="3413">
        <v>906</v>
      </c>
      <c r="E935" s="3290">
        <v>910</v>
      </c>
      <c r="F935" s="3291">
        <v>1</v>
      </c>
      <c r="G935" s="3291">
        <v>1</v>
      </c>
      <c r="H935" s="3291">
        <v>1</v>
      </c>
      <c r="I935" s="3290" t="s">
        <v>3300</v>
      </c>
      <c r="J935" s="3290" t="s">
        <v>3341</v>
      </c>
      <c r="K935" s="3409">
        <v>54.28</v>
      </c>
      <c r="L935" s="3412">
        <v>40.32</v>
      </c>
      <c r="M935" s="3291"/>
      <c r="N935" s="3291"/>
      <c r="O935" s="3289"/>
      <c r="P935" s="3289"/>
      <c r="Q935" s="3289"/>
      <c r="R935" s="3291"/>
      <c r="S935" s="3291"/>
      <c r="T935" s="3239" t="str">
        <f t="shared" si="15"/>
        <v>有</v>
      </c>
    </row>
    <row r="936" spans="1:20">
      <c r="A936" s="3289">
        <v>934</v>
      </c>
      <c r="B936" s="3289">
        <v>3</v>
      </c>
      <c r="C936" s="3289">
        <v>1</v>
      </c>
      <c r="D936" s="3413">
        <v>907</v>
      </c>
      <c r="E936" s="3290">
        <v>909</v>
      </c>
      <c r="F936" s="3291">
        <v>1</v>
      </c>
      <c r="G936" s="3291">
        <v>1</v>
      </c>
      <c r="H936" s="3291">
        <v>1</v>
      </c>
      <c r="I936" s="3290" t="s">
        <v>3300</v>
      </c>
      <c r="J936" s="3290" t="s">
        <v>3326</v>
      </c>
      <c r="K936" s="3409">
        <v>54.28</v>
      </c>
      <c r="L936" s="3412">
        <v>40.32</v>
      </c>
      <c r="M936" s="3291"/>
      <c r="N936" s="3291"/>
      <c r="O936" s="3289"/>
      <c r="P936" s="3289"/>
      <c r="Q936" s="3289"/>
      <c r="R936" s="3291"/>
      <c r="S936" s="3291"/>
      <c r="T936" s="3239" t="str">
        <f t="shared" si="15"/>
        <v>有</v>
      </c>
    </row>
    <row r="937" spans="1:20">
      <c r="A937" s="3289">
        <v>935</v>
      </c>
      <c r="B937" s="3289">
        <v>3</v>
      </c>
      <c r="C937" s="3289">
        <v>1</v>
      </c>
      <c r="D937" s="3413">
        <v>909</v>
      </c>
      <c r="E937" s="3290">
        <v>908</v>
      </c>
      <c r="F937" s="3291">
        <v>1</v>
      </c>
      <c r="G937" s="3291">
        <v>1</v>
      </c>
      <c r="H937" s="3291">
        <v>1</v>
      </c>
      <c r="I937" s="3290" t="s">
        <v>3300</v>
      </c>
      <c r="J937" s="3290" t="s">
        <v>3326</v>
      </c>
      <c r="K937" s="3409">
        <v>54.28</v>
      </c>
      <c r="L937" s="3412">
        <v>40.32</v>
      </c>
      <c r="M937" s="3291"/>
      <c r="N937" s="3291"/>
      <c r="O937" s="3289"/>
      <c r="P937" s="3289"/>
      <c r="Q937" s="3289"/>
      <c r="R937" s="3291"/>
      <c r="S937" s="3291"/>
      <c r="T937" s="3239" t="str">
        <f t="shared" si="15"/>
        <v>有</v>
      </c>
    </row>
    <row r="938" spans="1:20" hidden="1">
      <c r="A938" s="3289">
        <v>936</v>
      </c>
      <c r="B938" s="3289">
        <v>3</v>
      </c>
      <c r="C938" s="3289">
        <v>1</v>
      </c>
      <c r="D938" s="3413">
        <v>910</v>
      </c>
      <c r="E938" s="3290">
        <v>916</v>
      </c>
      <c r="F938" s="3291">
        <v>1</v>
      </c>
      <c r="G938" s="3291">
        <v>0</v>
      </c>
      <c r="H938" s="3291">
        <v>1</v>
      </c>
      <c r="I938" s="3290" t="s">
        <v>3312</v>
      </c>
      <c r="J938" s="3290" t="s">
        <v>3306</v>
      </c>
      <c r="K938" s="3409">
        <v>43.43</v>
      </c>
      <c r="L938" s="3412">
        <v>32.26</v>
      </c>
      <c r="M938" s="3291"/>
      <c r="N938" s="3291"/>
      <c r="O938" s="3289"/>
      <c r="P938" s="3289"/>
      <c r="Q938" s="3289"/>
      <c r="R938" s="3291"/>
      <c r="S938" s="3291"/>
      <c r="T938" s="3239" t="str">
        <f t="shared" si="15"/>
        <v>无</v>
      </c>
    </row>
    <row r="939" spans="1:20">
      <c r="A939" s="3289">
        <v>937</v>
      </c>
      <c r="B939" s="3289">
        <v>3</v>
      </c>
      <c r="C939" s="3289">
        <v>1</v>
      </c>
      <c r="D939" s="3413">
        <v>911</v>
      </c>
      <c r="E939" s="3290">
        <v>907</v>
      </c>
      <c r="F939" s="3291">
        <v>1</v>
      </c>
      <c r="G939" s="3291">
        <v>1</v>
      </c>
      <c r="H939" s="3291">
        <v>1</v>
      </c>
      <c r="I939" s="3290" t="s">
        <v>3300</v>
      </c>
      <c r="J939" s="3290" t="s">
        <v>3326</v>
      </c>
      <c r="K939" s="3409">
        <v>54.28</v>
      </c>
      <c r="L939" s="3412">
        <v>40.32</v>
      </c>
      <c r="M939" s="3291"/>
      <c r="N939" s="3291"/>
      <c r="O939" s="3289">
        <v>2.9</v>
      </c>
      <c r="P939" s="3289" t="s">
        <v>3363</v>
      </c>
      <c r="Q939" s="3289" t="s">
        <v>3482</v>
      </c>
      <c r="R939" s="3291"/>
      <c r="S939" s="3291"/>
      <c r="T939" s="3239" t="str">
        <f t="shared" si="15"/>
        <v>有</v>
      </c>
    </row>
    <row r="940" spans="1:20">
      <c r="A940" s="3289">
        <v>938</v>
      </c>
      <c r="B940" s="3289">
        <v>3</v>
      </c>
      <c r="C940" s="3289">
        <v>1</v>
      </c>
      <c r="D940" s="3413">
        <v>912</v>
      </c>
      <c r="E940" s="3290">
        <v>917</v>
      </c>
      <c r="F940" s="3291">
        <v>1</v>
      </c>
      <c r="G940" s="3291">
        <v>1</v>
      </c>
      <c r="H940" s="3291">
        <v>1</v>
      </c>
      <c r="I940" s="3290" t="s">
        <v>3312</v>
      </c>
      <c r="J940" s="3290" t="s">
        <v>3326</v>
      </c>
      <c r="K940" s="3409">
        <v>54.28</v>
      </c>
      <c r="L940" s="3412">
        <v>40.32</v>
      </c>
      <c r="M940" s="3291"/>
      <c r="N940" s="3291"/>
      <c r="O940" s="3289"/>
      <c r="P940" s="3289"/>
      <c r="Q940" s="3289"/>
      <c r="R940" s="3291"/>
      <c r="S940" s="3291"/>
      <c r="T940" s="3239" t="str">
        <f t="shared" si="15"/>
        <v>有</v>
      </c>
    </row>
    <row r="941" spans="1:20">
      <c r="A941" s="3289">
        <v>939</v>
      </c>
      <c r="B941" s="3289">
        <v>3</v>
      </c>
      <c r="C941" s="3289">
        <v>1</v>
      </c>
      <c r="D941" s="3413">
        <v>913</v>
      </c>
      <c r="E941" s="3290">
        <v>918</v>
      </c>
      <c r="F941" s="3291">
        <v>1</v>
      </c>
      <c r="G941" s="3291">
        <v>1</v>
      </c>
      <c r="H941" s="3291">
        <v>1</v>
      </c>
      <c r="I941" s="3290" t="s">
        <v>3312</v>
      </c>
      <c r="J941" s="3290" t="s">
        <v>3326</v>
      </c>
      <c r="K941" s="3409">
        <v>54.28</v>
      </c>
      <c r="L941" s="3412">
        <v>40.32</v>
      </c>
      <c r="M941" s="3291"/>
      <c r="N941" s="3291"/>
      <c r="O941" s="3289"/>
      <c r="P941" s="3289"/>
      <c r="Q941" s="3289"/>
      <c r="R941" s="3291"/>
      <c r="S941" s="3291"/>
      <c r="T941" s="3239" t="str">
        <f t="shared" si="15"/>
        <v>有</v>
      </c>
    </row>
    <row r="942" spans="1:20">
      <c r="A942" s="3289">
        <v>940</v>
      </c>
      <c r="B942" s="3289">
        <v>3</v>
      </c>
      <c r="C942" s="3289">
        <v>1</v>
      </c>
      <c r="D942" s="3413">
        <v>914</v>
      </c>
      <c r="E942" s="3290">
        <v>906</v>
      </c>
      <c r="F942" s="3291">
        <v>1</v>
      </c>
      <c r="G942" s="3291">
        <v>1</v>
      </c>
      <c r="H942" s="3291">
        <v>1</v>
      </c>
      <c r="I942" s="3290" t="s">
        <v>3300</v>
      </c>
      <c r="J942" s="3290" t="s">
        <v>3326</v>
      </c>
      <c r="K942" s="3409">
        <v>54.28</v>
      </c>
      <c r="L942" s="3412">
        <v>40.32</v>
      </c>
      <c r="M942" s="3291"/>
      <c r="N942" s="3291"/>
      <c r="O942" s="3289"/>
      <c r="P942" s="3289"/>
      <c r="Q942" s="3289"/>
      <c r="R942" s="3291"/>
      <c r="S942" s="3291"/>
      <c r="T942" s="3239" t="str">
        <f t="shared" si="15"/>
        <v>有</v>
      </c>
    </row>
    <row r="943" spans="1:20">
      <c r="A943" s="3289">
        <v>941</v>
      </c>
      <c r="B943" s="3289">
        <v>3</v>
      </c>
      <c r="C943" s="3289">
        <v>1</v>
      </c>
      <c r="D943" s="3413">
        <v>915</v>
      </c>
      <c r="E943" s="3290">
        <v>919</v>
      </c>
      <c r="F943" s="3291">
        <v>1</v>
      </c>
      <c r="G943" s="3291">
        <v>1</v>
      </c>
      <c r="H943" s="3291">
        <v>1</v>
      </c>
      <c r="I943" s="3290" t="s">
        <v>3312</v>
      </c>
      <c r="J943" s="3290" t="s">
        <v>3326</v>
      </c>
      <c r="K943" s="3409">
        <v>54.28</v>
      </c>
      <c r="L943" s="3412">
        <v>40.32</v>
      </c>
      <c r="M943" s="3291"/>
      <c r="N943" s="3291"/>
      <c r="O943" s="3289"/>
      <c r="P943" s="3289"/>
      <c r="Q943" s="3289"/>
      <c r="R943" s="3291"/>
      <c r="S943" s="3291"/>
      <c r="T943" s="3239" t="str">
        <f t="shared" si="15"/>
        <v>有</v>
      </c>
    </row>
    <row r="944" spans="1:20">
      <c r="A944" s="3289">
        <v>942</v>
      </c>
      <c r="B944" s="3289">
        <v>3</v>
      </c>
      <c r="C944" s="3289">
        <v>1</v>
      </c>
      <c r="D944" s="3413">
        <v>916</v>
      </c>
      <c r="E944" s="3290">
        <v>905</v>
      </c>
      <c r="F944" s="3291">
        <v>1</v>
      </c>
      <c r="G944" s="3291">
        <v>1</v>
      </c>
      <c r="H944" s="3291">
        <v>1</v>
      </c>
      <c r="I944" s="3290" t="s">
        <v>3300</v>
      </c>
      <c r="J944" s="3290" t="s">
        <v>3326</v>
      </c>
      <c r="K944" s="3409">
        <v>54.28</v>
      </c>
      <c r="L944" s="3412">
        <v>40.32</v>
      </c>
      <c r="M944" s="3291"/>
      <c r="N944" s="3291"/>
      <c r="O944" s="3289"/>
      <c r="P944" s="3289"/>
      <c r="Q944" s="3289"/>
      <c r="R944" s="3291"/>
      <c r="S944" s="3291"/>
      <c r="T944" s="3239" t="str">
        <f t="shared" si="15"/>
        <v>有</v>
      </c>
    </row>
    <row r="945" spans="1:20">
      <c r="A945" s="3289">
        <v>943</v>
      </c>
      <c r="B945" s="3289">
        <v>3</v>
      </c>
      <c r="C945" s="3289">
        <v>1</v>
      </c>
      <c r="D945" s="3413">
        <v>917</v>
      </c>
      <c r="E945" s="3290">
        <v>904</v>
      </c>
      <c r="F945" s="3291">
        <v>1</v>
      </c>
      <c r="G945" s="3291">
        <v>1</v>
      </c>
      <c r="H945" s="3291">
        <v>1</v>
      </c>
      <c r="I945" s="3290" t="s">
        <v>3300</v>
      </c>
      <c r="J945" s="3290" t="s">
        <v>3326</v>
      </c>
      <c r="K945" s="3409">
        <v>54.28</v>
      </c>
      <c r="L945" s="3412">
        <v>40.32</v>
      </c>
      <c r="M945" s="3291"/>
      <c r="N945" s="3291"/>
      <c r="O945" s="3289"/>
      <c r="P945" s="3289"/>
      <c r="Q945" s="3289"/>
      <c r="R945" s="3291"/>
      <c r="S945" s="3291"/>
      <c r="T945" s="3239" t="str">
        <f>IF(OR(J945="无障碍宿舍",J945="无障碍宿舍-01",J945="无障碍宿舍-02",J945="40平",J945="40平-01",J945="40平-02",J945="40平-03",J945="40平-04",J945="40平-06",J945="40平-07",J945="D2"),"无","有")</f>
        <v>有</v>
      </c>
    </row>
    <row r="946" spans="1:20">
      <c r="A946" s="3289">
        <v>944</v>
      </c>
      <c r="B946" s="3289">
        <v>3</v>
      </c>
      <c r="C946" s="3289">
        <v>1</v>
      </c>
      <c r="D946" s="3413">
        <v>918</v>
      </c>
      <c r="E946" s="3290">
        <v>903</v>
      </c>
      <c r="F946" s="3291">
        <v>1</v>
      </c>
      <c r="G946" s="3291">
        <v>1</v>
      </c>
      <c r="H946" s="3291">
        <v>1</v>
      </c>
      <c r="I946" s="3290" t="s">
        <v>3300</v>
      </c>
      <c r="J946" s="3290" t="s">
        <v>3326</v>
      </c>
      <c r="K946" s="3409">
        <v>54.28</v>
      </c>
      <c r="L946" s="3412">
        <v>40.32</v>
      </c>
      <c r="M946" s="3291"/>
      <c r="N946" s="3291"/>
      <c r="O946" s="3289"/>
      <c r="P946" s="3289"/>
      <c r="Q946" s="3289"/>
      <c r="R946" s="3291"/>
      <c r="S946" s="3291"/>
      <c r="T946" s="3239" t="str">
        <f t="shared" ref="T946:T952" si="16">IF(OR(J946="无障碍宿舍",J946="无障碍宿舍-01",J946="无障碍宿舍-02",J946="40平",J946="40平-01",J946="40平-02",J946="40平-03",J946="40平-04",J946="40平-06",J946="40平-07",J946="D2"),"无","有")</f>
        <v>有</v>
      </c>
    </row>
    <row r="947" spans="1:20">
      <c r="A947" s="3289">
        <v>945</v>
      </c>
      <c r="B947" s="3289">
        <v>3</v>
      </c>
      <c r="C947" s="3289">
        <v>1</v>
      </c>
      <c r="D947" s="3413">
        <v>919</v>
      </c>
      <c r="E947" s="3290">
        <v>920</v>
      </c>
      <c r="F947" s="3291">
        <v>1</v>
      </c>
      <c r="G947" s="3291">
        <v>1</v>
      </c>
      <c r="H947" s="3291">
        <v>1</v>
      </c>
      <c r="I947" s="3290" t="s">
        <v>3312</v>
      </c>
      <c r="J947" s="3290" t="s">
        <v>3340</v>
      </c>
      <c r="K947" s="3409">
        <v>54.73</v>
      </c>
      <c r="L947" s="3412">
        <v>40.65</v>
      </c>
      <c r="M947" s="3291"/>
      <c r="N947" s="3291"/>
      <c r="O947" s="3289"/>
      <c r="P947" s="3289"/>
      <c r="Q947" s="3289"/>
      <c r="R947" s="3291"/>
      <c r="S947" s="3291"/>
      <c r="T947" s="3239" t="str">
        <f t="shared" si="16"/>
        <v>有</v>
      </c>
    </row>
    <row r="948" spans="1:20">
      <c r="A948" s="3289">
        <v>946</v>
      </c>
      <c r="B948" s="3289">
        <v>3</v>
      </c>
      <c r="C948" s="3289">
        <v>1</v>
      </c>
      <c r="D948" s="3413">
        <v>920</v>
      </c>
      <c r="E948" s="3290">
        <v>902</v>
      </c>
      <c r="F948" s="3291">
        <v>1</v>
      </c>
      <c r="G948" s="3291">
        <v>1</v>
      </c>
      <c r="H948" s="3291">
        <v>1</v>
      </c>
      <c r="I948" s="3290" t="s">
        <v>3300</v>
      </c>
      <c r="J948" s="3290" t="s">
        <v>3340</v>
      </c>
      <c r="K948" s="3409">
        <v>54.73</v>
      </c>
      <c r="L948" s="3412">
        <v>40.65</v>
      </c>
      <c r="M948" s="3291"/>
      <c r="N948" s="3291"/>
      <c r="O948" s="3289"/>
      <c r="P948" s="3289"/>
      <c r="Q948" s="3289"/>
      <c r="R948" s="3291"/>
      <c r="S948" s="3291"/>
      <c r="T948" s="3239" t="str">
        <f t="shared" si="16"/>
        <v>有</v>
      </c>
    </row>
    <row r="949" spans="1:20">
      <c r="A949" s="3289">
        <v>947</v>
      </c>
      <c r="B949" s="3289">
        <v>3</v>
      </c>
      <c r="C949" s="3289">
        <v>1</v>
      </c>
      <c r="D949" s="3413">
        <v>921</v>
      </c>
      <c r="E949" s="3290">
        <v>921</v>
      </c>
      <c r="F949" s="3291">
        <v>4</v>
      </c>
      <c r="G949" s="3291">
        <v>1</v>
      </c>
      <c r="H949" s="3291">
        <v>1</v>
      </c>
      <c r="I949" s="3290" t="s">
        <v>3316</v>
      </c>
      <c r="J949" s="3290" t="s">
        <v>3339</v>
      </c>
      <c r="K949" s="3409">
        <v>103.21</v>
      </c>
      <c r="L949" s="3412">
        <v>76.66</v>
      </c>
      <c r="M949" s="3291"/>
      <c r="N949" s="3291"/>
      <c r="O949" s="3289"/>
      <c r="P949" s="3289"/>
      <c r="Q949" s="3289"/>
      <c r="R949" s="3291"/>
      <c r="S949" s="3291"/>
      <c r="T949" s="3239" t="str">
        <f t="shared" si="16"/>
        <v>有</v>
      </c>
    </row>
    <row r="950" spans="1:20">
      <c r="A950" s="3289">
        <v>948</v>
      </c>
      <c r="B950" s="3289">
        <v>3</v>
      </c>
      <c r="C950" s="3289">
        <v>1</v>
      </c>
      <c r="D950" s="3413">
        <v>922</v>
      </c>
      <c r="E950" s="3290">
        <v>901</v>
      </c>
      <c r="F950" s="3291">
        <v>4</v>
      </c>
      <c r="G950" s="3291">
        <v>1</v>
      </c>
      <c r="H950" s="3291">
        <v>1</v>
      </c>
      <c r="I950" s="3290" t="s">
        <v>3318</v>
      </c>
      <c r="J950" s="3290" t="s">
        <v>3339</v>
      </c>
      <c r="K950" s="3409">
        <v>103.21</v>
      </c>
      <c r="L950" s="3412">
        <v>76.66</v>
      </c>
      <c r="M950" s="3291"/>
      <c r="N950" s="3291"/>
      <c r="O950" s="3289"/>
      <c r="P950" s="3413"/>
      <c r="Q950" s="3413"/>
      <c r="R950" s="3291"/>
      <c r="S950" s="3291"/>
      <c r="T950" s="3239" t="str">
        <f t="shared" si="16"/>
        <v>有</v>
      </c>
    </row>
    <row r="951" spans="1:20" hidden="1">
      <c r="A951" s="3289">
        <v>949</v>
      </c>
      <c r="B951" s="3289">
        <v>3</v>
      </c>
      <c r="C951" s="3289">
        <v>1</v>
      </c>
      <c r="D951" s="3413">
        <v>1001</v>
      </c>
      <c r="E951" s="3290">
        <v>1013</v>
      </c>
      <c r="F951" s="3291">
        <v>1</v>
      </c>
      <c r="G951" s="3291">
        <v>0</v>
      </c>
      <c r="H951" s="3291">
        <v>1</v>
      </c>
      <c r="I951" s="3290" t="s">
        <v>3310</v>
      </c>
      <c r="J951" s="3290" t="s">
        <v>3503</v>
      </c>
      <c r="K951" s="3409">
        <v>42.58</v>
      </c>
      <c r="L951" s="3412">
        <v>31.63</v>
      </c>
      <c r="M951" s="3291"/>
      <c r="N951" s="3291"/>
      <c r="O951" s="3289"/>
      <c r="P951" s="3289"/>
      <c r="Q951" s="3289"/>
      <c r="R951" s="3291"/>
      <c r="S951" s="3291"/>
      <c r="T951" s="3239" t="str">
        <f t="shared" si="16"/>
        <v>无</v>
      </c>
    </row>
    <row r="952" spans="1:20" hidden="1">
      <c r="A952" s="3289">
        <v>950</v>
      </c>
      <c r="B952" s="3289">
        <v>3</v>
      </c>
      <c r="C952" s="3289">
        <v>1</v>
      </c>
      <c r="D952" s="3413">
        <v>1002</v>
      </c>
      <c r="E952" s="3290">
        <v>1012</v>
      </c>
      <c r="F952" s="3291">
        <v>1</v>
      </c>
      <c r="G952" s="3291">
        <v>0</v>
      </c>
      <c r="H952" s="3291">
        <v>1</v>
      </c>
      <c r="I952" s="3290" t="s">
        <v>3302</v>
      </c>
      <c r="J952" s="3290" t="s">
        <v>3503</v>
      </c>
      <c r="K952" s="3409">
        <v>42.58</v>
      </c>
      <c r="L952" s="3412">
        <v>31.63</v>
      </c>
      <c r="M952" s="3291"/>
      <c r="N952" s="3291"/>
      <c r="O952" s="3289"/>
      <c r="P952" s="3289"/>
      <c r="Q952" s="3289"/>
      <c r="R952" s="3291"/>
      <c r="S952" s="3291"/>
      <c r="T952" s="3239" t="str">
        <f t="shared" si="16"/>
        <v>无</v>
      </c>
    </row>
    <row r="953" spans="1:20" hidden="1">
      <c r="A953" s="3289">
        <v>951</v>
      </c>
      <c r="B953" s="3289">
        <v>3</v>
      </c>
      <c r="C953" s="3289">
        <v>1</v>
      </c>
      <c r="D953" s="3413">
        <v>1003</v>
      </c>
      <c r="E953" s="3290">
        <v>1011</v>
      </c>
      <c r="F953" s="3291">
        <v>1</v>
      </c>
      <c r="G953" s="3291">
        <v>0</v>
      </c>
      <c r="H953" s="3291">
        <v>1</v>
      </c>
      <c r="I953" s="3290" t="s">
        <v>3300</v>
      </c>
      <c r="J953" s="3290" t="s">
        <v>3305</v>
      </c>
      <c r="K953" s="3409">
        <v>42.46</v>
      </c>
      <c r="L953" s="3412">
        <v>31.54</v>
      </c>
      <c r="M953" s="3291"/>
      <c r="N953" s="3291"/>
      <c r="O953" s="3289"/>
      <c r="P953" s="3289"/>
      <c r="Q953" s="3289"/>
      <c r="R953" s="3291"/>
      <c r="S953" s="3291"/>
      <c r="T953" s="3239" t="str">
        <f>IF(OR(J953="无障碍宿舍",J953="无障碍宿舍-01",J953="无障碍宿舍-02",J953="40平",J953="40平-01",J953="40平-02",J953="40平-03",J953="40平-04",J953="40平-06",J953="40平-07",J953="D2"),"无","有")</f>
        <v>无</v>
      </c>
    </row>
    <row r="954" spans="1:20" hidden="1">
      <c r="A954" s="3289">
        <v>952</v>
      </c>
      <c r="B954" s="3289">
        <v>3</v>
      </c>
      <c r="C954" s="3289">
        <v>1</v>
      </c>
      <c r="D954" s="3413">
        <v>1004</v>
      </c>
      <c r="E954" s="3290">
        <v>1014</v>
      </c>
      <c r="F954" s="3291">
        <v>1</v>
      </c>
      <c r="G954" s="3291">
        <v>0</v>
      </c>
      <c r="H954" s="3291">
        <v>1</v>
      </c>
      <c r="I954" s="3290" t="s">
        <v>3312</v>
      </c>
      <c r="J954" s="3290" t="s">
        <v>3305</v>
      </c>
      <c r="K954" s="3409">
        <v>42.46</v>
      </c>
      <c r="L954" s="3412">
        <v>31.54</v>
      </c>
      <c r="M954" s="3291"/>
      <c r="N954" s="3291"/>
      <c r="O954" s="3289"/>
      <c r="P954" s="3289"/>
      <c r="Q954" s="3289"/>
      <c r="R954" s="3291"/>
      <c r="S954" s="3291"/>
      <c r="T954" s="3239" t="str">
        <f t="shared" ref="T954" si="17">IF(OR(J954="无障碍宿舍",J954="无障碍宿舍-01",J954="无障碍宿舍-02",J954="40平",J954="40平-01",J954="40平-02",J954="40平-03",J954="40平-04",J954="40平-06",J954="40平-07",J954="D2"),"无","有")</f>
        <v>无</v>
      </c>
    </row>
    <row r="955" spans="1:20" hidden="1">
      <c r="A955" s="3289">
        <v>953</v>
      </c>
      <c r="B955" s="3289">
        <v>3</v>
      </c>
      <c r="C955" s="3289">
        <v>1</v>
      </c>
      <c r="D955" s="3413">
        <v>1005</v>
      </c>
      <c r="E955" s="3290">
        <v>1015</v>
      </c>
      <c r="F955" s="3291">
        <v>1</v>
      </c>
      <c r="G955" s="3291">
        <v>0</v>
      </c>
      <c r="H955" s="3291">
        <v>1</v>
      </c>
      <c r="I955" s="3290" t="s">
        <v>3312</v>
      </c>
      <c r="J955" s="3290" t="s">
        <v>3504</v>
      </c>
      <c r="K955" s="3409">
        <v>42.83</v>
      </c>
      <c r="L955" s="3412">
        <v>31.81</v>
      </c>
      <c r="M955" s="3291"/>
      <c r="N955" s="3291"/>
      <c r="O955" s="3289"/>
      <c r="P955" s="3289"/>
      <c r="Q955" s="3289"/>
      <c r="R955" s="3291"/>
      <c r="S955" s="3291"/>
      <c r="T955" s="3239" t="str">
        <f>IF(OR(J955="无障碍宿舍",J955="无障碍宿舍-01",J955="无障碍宿舍-02",J955="40平",J955="40平-01",J955="40平-02",J955="40平-03",J955="40平-04",J955="40平-06",J955="40平-07",J955="D2"),"无","有")</f>
        <v>无</v>
      </c>
    </row>
    <row r="956" spans="1:20">
      <c r="A956" s="3289">
        <v>954</v>
      </c>
      <c r="B956" s="3289">
        <v>3</v>
      </c>
      <c r="C956" s="3289">
        <v>1</v>
      </c>
      <c r="D956" s="3413">
        <v>1006</v>
      </c>
      <c r="E956" s="3290">
        <v>1010</v>
      </c>
      <c r="F956" s="3291">
        <v>1</v>
      </c>
      <c r="G956" s="3291">
        <v>1</v>
      </c>
      <c r="H956" s="3291">
        <v>1</v>
      </c>
      <c r="I956" s="3290" t="s">
        <v>3300</v>
      </c>
      <c r="J956" s="3290" t="s">
        <v>3341</v>
      </c>
      <c r="K956" s="3409">
        <v>54.28</v>
      </c>
      <c r="L956" s="3412">
        <v>40.32</v>
      </c>
      <c r="M956" s="3291"/>
      <c r="N956" s="3291"/>
      <c r="O956" s="3289"/>
      <c r="P956" s="3289"/>
      <c r="Q956" s="3289"/>
      <c r="R956" s="3291"/>
      <c r="S956" s="3291"/>
      <c r="T956" s="3239" t="str">
        <f t="shared" ref="T956:T958" si="18">IF(OR(J956="无障碍宿舍",J956="无障碍宿舍-01",J956="无障碍宿舍-02",J956="40平",J956="40平-01",J956="40平-02",J956="40平-03",J956="40平-04",J956="40平-06",J956="40平-07",J956="D2"),"无","有")</f>
        <v>有</v>
      </c>
    </row>
    <row r="957" spans="1:20">
      <c r="A957" s="3289">
        <v>955</v>
      </c>
      <c r="B957" s="3289">
        <v>3</v>
      </c>
      <c r="C957" s="3289">
        <v>1</v>
      </c>
      <c r="D957" s="3413">
        <v>1007</v>
      </c>
      <c r="E957" s="3290">
        <v>1009</v>
      </c>
      <c r="F957" s="3291">
        <v>1</v>
      </c>
      <c r="G957" s="3291">
        <v>1</v>
      </c>
      <c r="H957" s="3291">
        <v>1</v>
      </c>
      <c r="I957" s="3290" t="s">
        <v>3300</v>
      </c>
      <c r="J957" s="3290" t="s">
        <v>3326</v>
      </c>
      <c r="K957" s="3409">
        <v>54.28</v>
      </c>
      <c r="L957" s="3412">
        <v>40.32</v>
      </c>
      <c r="M957" s="3291"/>
      <c r="N957" s="3291"/>
      <c r="O957" s="3289"/>
      <c r="P957" s="3289"/>
      <c r="Q957" s="3289"/>
      <c r="R957" s="3291"/>
      <c r="S957" s="3291"/>
      <c r="T957" s="3239" t="str">
        <f t="shared" si="18"/>
        <v>有</v>
      </c>
    </row>
    <row r="958" spans="1:20">
      <c r="A958" s="3289">
        <v>956</v>
      </c>
      <c r="B958" s="3289">
        <v>3</v>
      </c>
      <c r="C958" s="3289">
        <v>1</v>
      </c>
      <c r="D958" s="3413">
        <v>1009</v>
      </c>
      <c r="E958" s="3290">
        <v>1008</v>
      </c>
      <c r="F958" s="3291">
        <v>1</v>
      </c>
      <c r="G958" s="3291">
        <v>1</v>
      </c>
      <c r="H958" s="3291">
        <v>1</v>
      </c>
      <c r="I958" s="3290" t="s">
        <v>3300</v>
      </c>
      <c r="J958" s="3290" t="s">
        <v>3326</v>
      </c>
      <c r="K958" s="3409">
        <v>54.28</v>
      </c>
      <c r="L958" s="3412">
        <v>40.32</v>
      </c>
      <c r="M958" s="3291"/>
      <c r="N958" s="3291"/>
      <c r="O958" s="3289"/>
      <c r="P958" s="3289"/>
      <c r="Q958" s="3289"/>
      <c r="R958" s="3291"/>
      <c r="S958" s="3291"/>
      <c r="T958" s="3239" t="str">
        <f t="shared" si="18"/>
        <v>有</v>
      </c>
    </row>
    <row r="959" spans="1:20" hidden="1">
      <c r="A959" s="3289">
        <v>957</v>
      </c>
      <c r="B959" s="3289">
        <v>3</v>
      </c>
      <c r="C959" s="3289">
        <v>1</v>
      </c>
      <c r="D959" s="3413">
        <v>1010</v>
      </c>
      <c r="E959" s="3290">
        <v>1016</v>
      </c>
      <c r="F959" s="3291">
        <v>1</v>
      </c>
      <c r="G959" s="3291">
        <v>0</v>
      </c>
      <c r="H959" s="3291">
        <v>1</v>
      </c>
      <c r="I959" s="3290" t="s">
        <v>3312</v>
      </c>
      <c r="J959" s="3290" t="s">
        <v>3306</v>
      </c>
      <c r="K959" s="3409">
        <v>43.43</v>
      </c>
      <c r="L959" s="3412">
        <v>32.26</v>
      </c>
      <c r="M959" s="3291"/>
      <c r="N959" s="3291"/>
      <c r="O959" s="3289"/>
      <c r="P959" s="3289"/>
      <c r="Q959" s="3289"/>
      <c r="R959" s="3291"/>
      <c r="S959" s="3291"/>
      <c r="T959" s="3239" t="str">
        <f>IF(OR(J959="无障碍宿舍",J959="无障碍宿舍-01",J959="无障碍宿舍-02",J959="40平",J959="40平-01",J959="40平-02",J959="40平-03",J959="40平-04",J959="40平-06",J959="40平-07",J959="D2"),"无","有")</f>
        <v>无</v>
      </c>
    </row>
    <row r="960" spans="1:20">
      <c r="A960" s="3289">
        <v>958</v>
      </c>
      <c r="B960" s="3289">
        <v>3</v>
      </c>
      <c r="C960" s="3289">
        <v>1</v>
      </c>
      <c r="D960" s="3413">
        <v>1011</v>
      </c>
      <c r="E960" s="3290">
        <v>1007</v>
      </c>
      <c r="F960" s="3291">
        <v>1</v>
      </c>
      <c r="G960" s="3291">
        <v>1</v>
      </c>
      <c r="H960" s="3291">
        <v>1</v>
      </c>
      <c r="I960" s="3290" t="s">
        <v>3300</v>
      </c>
      <c r="J960" s="3290" t="s">
        <v>3326</v>
      </c>
      <c r="K960" s="3409">
        <v>54.28</v>
      </c>
      <c r="L960" s="3412">
        <v>40.32</v>
      </c>
      <c r="M960" s="3291"/>
      <c r="N960" s="3291"/>
      <c r="O960" s="3289"/>
      <c r="P960" s="3289"/>
      <c r="Q960" s="3289"/>
      <c r="R960" s="3291"/>
      <c r="S960" s="3291"/>
      <c r="T960" s="3239" t="str">
        <f>IF(OR(J960="无障碍宿舍",J960="无障碍宿舍-01",J960="无障碍宿舍-02",J960="40平",J960="40平-01",J960="40平-02",J960="40平-03",J960="40平-04",J960="40平-06",J960="40平-07",J960="D2"),"无","有")</f>
        <v>有</v>
      </c>
    </row>
    <row r="961" spans="1:20">
      <c r="A961" s="3289">
        <v>959</v>
      </c>
      <c r="B961" s="3289">
        <v>3</v>
      </c>
      <c r="C961" s="3289">
        <v>1</v>
      </c>
      <c r="D961" s="3413">
        <v>1012</v>
      </c>
      <c r="E961" s="3290">
        <v>1017</v>
      </c>
      <c r="F961" s="3291">
        <v>1</v>
      </c>
      <c r="G961" s="3291">
        <v>1</v>
      </c>
      <c r="H961" s="3291">
        <v>1</v>
      </c>
      <c r="I961" s="3290" t="s">
        <v>3312</v>
      </c>
      <c r="J961" s="3290" t="s">
        <v>3326</v>
      </c>
      <c r="K961" s="3409">
        <v>54.28</v>
      </c>
      <c r="L961" s="3412">
        <v>40.32</v>
      </c>
      <c r="M961" s="3291"/>
      <c r="N961" s="3291"/>
      <c r="O961" s="3289">
        <v>2.9</v>
      </c>
      <c r="P961" s="3289" t="s">
        <v>3363</v>
      </c>
      <c r="Q961" s="3289" t="s">
        <v>3482</v>
      </c>
      <c r="R961" s="3291"/>
      <c r="S961" s="3291"/>
      <c r="T961" s="3239" t="str">
        <f t="shared" ref="T961:T973" si="19">IF(OR(J961="无障碍宿舍",J961="无障碍宿舍-01",J961="无障碍宿舍-02",J961="40平",J961="40平-01",J961="40平-02",J961="40平-03",J961="40平-04",J961="40平-06",J961="40平-07",J961="D2"),"无","有")</f>
        <v>有</v>
      </c>
    </row>
    <row r="962" spans="1:20">
      <c r="A962" s="3289">
        <v>960</v>
      </c>
      <c r="B962" s="3289">
        <v>3</v>
      </c>
      <c r="C962" s="3289">
        <v>1</v>
      </c>
      <c r="D962" s="3413">
        <v>1013</v>
      </c>
      <c r="E962" s="3290">
        <v>1018</v>
      </c>
      <c r="F962" s="3291">
        <v>1</v>
      </c>
      <c r="G962" s="3291">
        <v>1</v>
      </c>
      <c r="H962" s="3291">
        <v>1</v>
      </c>
      <c r="I962" s="3290" t="s">
        <v>3312</v>
      </c>
      <c r="J962" s="3290" t="s">
        <v>3326</v>
      </c>
      <c r="K962" s="3409">
        <v>54.28</v>
      </c>
      <c r="L962" s="3412">
        <v>40.32</v>
      </c>
      <c r="M962" s="3291"/>
      <c r="N962" s="3291"/>
      <c r="O962" s="3289"/>
      <c r="P962" s="3289"/>
      <c r="Q962" s="3289"/>
      <c r="R962" s="3291"/>
      <c r="S962" s="3291"/>
      <c r="T962" s="3239" t="str">
        <f t="shared" si="19"/>
        <v>有</v>
      </c>
    </row>
    <row r="963" spans="1:20">
      <c r="A963" s="3289">
        <v>961</v>
      </c>
      <c r="B963" s="3289">
        <v>3</v>
      </c>
      <c r="C963" s="3289">
        <v>1</v>
      </c>
      <c r="D963" s="3413">
        <v>1014</v>
      </c>
      <c r="E963" s="3290">
        <v>1006</v>
      </c>
      <c r="F963" s="3291">
        <v>1</v>
      </c>
      <c r="G963" s="3291">
        <v>1</v>
      </c>
      <c r="H963" s="3291">
        <v>1</v>
      </c>
      <c r="I963" s="3290" t="s">
        <v>3300</v>
      </c>
      <c r="J963" s="3290" t="s">
        <v>3326</v>
      </c>
      <c r="K963" s="3409">
        <v>54.28</v>
      </c>
      <c r="L963" s="3412">
        <v>40.32</v>
      </c>
      <c r="M963" s="3291"/>
      <c r="N963" s="3291"/>
      <c r="O963" s="3289"/>
      <c r="P963" s="3289"/>
      <c r="Q963" s="3289"/>
      <c r="R963" s="3291"/>
      <c r="S963" s="3291"/>
      <c r="T963" s="3239" t="str">
        <f t="shared" si="19"/>
        <v>有</v>
      </c>
    </row>
    <row r="964" spans="1:20">
      <c r="A964" s="3289">
        <v>962</v>
      </c>
      <c r="B964" s="3289">
        <v>3</v>
      </c>
      <c r="C964" s="3289">
        <v>1</v>
      </c>
      <c r="D964" s="3413">
        <v>1015</v>
      </c>
      <c r="E964" s="3290">
        <v>1019</v>
      </c>
      <c r="F964" s="3291">
        <v>1</v>
      </c>
      <c r="G964" s="3291">
        <v>1</v>
      </c>
      <c r="H964" s="3291">
        <v>1</v>
      </c>
      <c r="I964" s="3290" t="s">
        <v>3312</v>
      </c>
      <c r="J964" s="3290" t="s">
        <v>3326</v>
      </c>
      <c r="K964" s="3409">
        <v>54.28</v>
      </c>
      <c r="L964" s="3412">
        <v>40.32</v>
      </c>
      <c r="M964" s="3291"/>
      <c r="N964" s="3291"/>
      <c r="O964" s="3289"/>
      <c r="P964" s="3289"/>
      <c r="Q964" s="3289"/>
      <c r="R964" s="3291"/>
      <c r="S964" s="3291"/>
      <c r="T964" s="3239" t="str">
        <f t="shared" si="19"/>
        <v>有</v>
      </c>
    </row>
    <row r="965" spans="1:20">
      <c r="A965" s="3289">
        <v>963</v>
      </c>
      <c r="B965" s="3289">
        <v>3</v>
      </c>
      <c r="C965" s="3289">
        <v>1</v>
      </c>
      <c r="D965" s="3413">
        <v>1016</v>
      </c>
      <c r="E965" s="3290">
        <v>1005</v>
      </c>
      <c r="F965" s="3291">
        <v>1</v>
      </c>
      <c r="G965" s="3291">
        <v>1</v>
      </c>
      <c r="H965" s="3291">
        <v>1</v>
      </c>
      <c r="I965" s="3290" t="s">
        <v>3300</v>
      </c>
      <c r="J965" s="3290" t="s">
        <v>3326</v>
      </c>
      <c r="K965" s="3409">
        <v>54.28</v>
      </c>
      <c r="L965" s="3412">
        <v>40.32</v>
      </c>
      <c r="M965" s="3291"/>
      <c r="N965" s="3291"/>
      <c r="O965" s="3289"/>
      <c r="P965" s="3289"/>
      <c r="Q965" s="3289"/>
      <c r="R965" s="3291"/>
      <c r="S965" s="3291"/>
      <c r="T965" s="3239" t="str">
        <f t="shared" si="19"/>
        <v>有</v>
      </c>
    </row>
    <row r="966" spans="1:20">
      <c r="A966" s="3289">
        <v>964</v>
      </c>
      <c r="B966" s="3289">
        <v>3</v>
      </c>
      <c r="C966" s="3289">
        <v>1</v>
      </c>
      <c r="D966" s="3413">
        <v>1017</v>
      </c>
      <c r="E966" s="3290">
        <v>1004</v>
      </c>
      <c r="F966" s="3291">
        <v>1</v>
      </c>
      <c r="G966" s="3291">
        <v>1</v>
      </c>
      <c r="H966" s="3291">
        <v>1</v>
      </c>
      <c r="I966" s="3290" t="s">
        <v>3300</v>
      </c>
      <c r="J966" s="3290" t="s">
        <v>3326</v>
      </c>
      <c r="K966" s="3409">
        <v>54.28</v>
      </c>
      <c r="L966" s="3412">
        <v>40.32</v>
      </c>
      <c r="M966" s="3291"/>
      <c r="N966" s="3291"/>
      <c r="O966" s="3289"/>
      <c r="P966" s="3289"/>
      <c r="Q966" s="3289"/>
      <c r="R966" s="3291"/>
      <c r="S966" s="3291"/>
      <c r="T966" s="3239" t="str">
        <f t="shared" si="19"/>
        <v>有</v>
      </c>
    </row>
    <row r="967" spans="1:20">
      <c r="A967" s="3289">
        <v>965</v>
      </c>
      <c r="B967" s="3289">
        <v>3</v>
      </c>
      <c r="C967" s="3289">
        <v>1</v>
      </c>
      <c r="D967" s="3413">
        <v>1018</v>
      </c>
      <c r="E967" s="3290">
        <v>1003</v>
      </c>
      <c r="F967" s="3291">
        <v>1</v>
      </c>
      <c r="G967" s="3291">
        <v>1</v>
      </c>
      <c r="H967" s="3291">
        <v>1</v>
      </c>
      <c r="I967" s="3290" t="s">
        <v>3300</v>
      </c>
      <c r="J967" s="3290" t="s">
        <v>3326</v>
      </c>
      <c r="K967" s="3409">
        <v>54.28</v>
      </c>
      <c r="L967" s="3412">
        <v>40.32</v>
      </c>
      <c r="M967" s="3291"/>
      <c r="N967" s="3291"/>
      <c r="O967" s="3289"/>
      <c r="P967" s="3289"/>
      <c r="Q967" s="3289"/>
      <c r="R967" s="3291"/>
      <c r="S967" s="3291"/>
      <c r="T967" s="3239" t="str">
        <f t="shared" si="19"/>
        <v>有</v>
      </c>
    </row>
    <row r="968" spans="1:20">
      <c r="A968" s="3289">
        <v>966</v>
      </c>
      <c r="B968" s="3289">
        <v>3</v>
      </c>
      <c r="C968" s="3289">
        <v>1</v>
      </c>
      <c r="D968" s="3413">
        <v>1019</v>
      </c>
      <c r="E968" s="3290">
        <v>1020</v>
      </c>
      <c r="F968" s="3291">
        <v>1</v>
      </c>
      <c r="G968" s="3291">
        <v>1</v>
      </c>
      <c r="H968" s="3291">
        <v>1</v>
      </c>
      <c r="I968" s="3290" t="s">
        <v>3312</v>
      </c>
      <c r="J968" s="3290" t="s">
        <v>3340</v>
      </c>
      <c r="K968" s="3409">
        <v>54.73</v>
      </c>
      <c r="L968" s="3412">
        <v>40.65</v>
      </c>
      <c r="M968" s="3291"/>
      <c r="N968" s="3291"/>
      <c r="O968" s="3289"/>
      <c r="P968" s="3289"/>
      <c r="Q968" s="3289"/>
      <c r="R968" s="3291"/>
      <c r="S968" s="3291"/>
      <c r="T968" s="3239" t="str">
        <f t="shared" si="19"/>
        <v>有</v>
      </c>
    </row>
    <row r="969" spans="1:20">
      <c r="A969" s="3289">
        <v>967</v>
      </c>
      <c r="B969" s="3289">
        <v>3</v>
      </c>
      <c r="C969" s="3289">
        <v>1</v>
      </c>
      <c r="D969" s="3413">
        <v>1020</v>
      </c>
      <c r="E969" s="3290">
        <v>1002</v>
      </c>
      <c r="F969" s="3291">
        <v>1</v>
      </c>
      <c r="G969" s="3291">
        <v>1</v>
      </c>
      <c r="H969" s="3291">
        <v>1</v>
      </c>
      <c r="I969" s="3290" t="s">
        <v>3300</v>
      </c>
      <c r="J969" s="3290" t="s">
        <v>3340</v>
      </c>
      <c r="K969" s="3409">
        <v>54.73</v>
      </c>
      <c r="L969" s="3412">
        <v>40.65</v>
      </c>
      <c r="M969" s="3291"/>
      <c r="N969" s="3291"/>
      <c r="O969" s="3289"/>
      <c r="P969" s="3289"/>
      <c r="Q969" s="3289"/>
      <c r="R969" s="3291"/>
      <c r="S969" s="3291"/>
      <c r="T969" s="3239" t="str">
        <f t="shared" si="19"/>
        <v>有</v>
      </c>
    </row>
    <row r="970" spans="1:20">
      <c r="A970" s="3289">
        <v>968</v>
      </c>
      <c r="B970" s="3289">
        <v>3</v>
      </c>
      <c r="C970" s="3289">
        <v>1</v>
      </c>
      <c r="D970" s="3413">
        <v>1021</v>
      </c>
      <c r="E970" s="3290">
        <v>1021</v>
      </c>
      <c r="F970" s="3291">
        <v>4</v>
      </c>
      <c r="G970" s="3291">
        <v>1</v>
      </c>
      <c r="H970" s="3291">
        <v>1</v>
      </c>
      <c r="I970" s="3290" t="s">
        <v>3316</v>
      </c>
      <c r="J970" s="3290" t="s">
        <v>3339</v>
      </c>
      <c r="K970" s="3409">
        <v>103.21</v>
      </c>
      <c r="L970" s="3412">
        <v>76.66</v>
      </c>
      <c r="M970" s="3291"/>
      <c r="N970" s="3291"/>
      <c r="O970" s="3289"/>
      <c r="P970" s="3289"/>
      <c r="Q970" s="3289"/>
      <c r="R970" s="3291"/>
      <c r="S970" s="3291"/>
      <c r="T970" s="3239" t="str">
        <f t="shared" si="19"/>
        <v>有</v>
      </c>
    </row>
    <row r="971" spans="1:20">
      <c r="A971" s="3289">
        <v>969</v>
      </c>
      <c r="B971" s="3289">
        <v>3</v>
      </c>
      <c r="C971" s="3289">
        <v>1</v>
      </c>
      <c r="D971" s="3413">
        <v>1022</v>
      </c>
      <c r="E971" s="3290">
        <v>1001</v>
      </c>
      <c r="F971" s="3291">
        <v>4</v>
      </c>
      <c r="G971" s="3291">
        <v>1</v>
      </c>
      <c r="H971" s="3291">
        <v>1</v>
      </c>
      <c r="I971" s="3290" t="s">
        <v>3318</v>
      </c>
      <c r="J971" s="3290" t="s">
        <v>3339</v>
      </c>
      <c r="K971" s="3409">
        <v>103.21</v>
      </c>
      <c r="L971" s="3412">
        <v>76.66</v>
      </c>
      <c r="M971" s="3291"/>
      <c r="N971" s="3291"/>
      <c r="O971" s="3289"/>
      <c r="P971" s="3413"/>
      <c r="Q971" s="3413"/>
      <c r="R971" s="3291"/>
      <c r="S971" s="3291"/>
      <c r="T971" s="3239" t="str">
        <f t="shared" si="19"/>
        <v>有</v>
      </c>
    </row>
    <row r="972" spans="1:20" hidden="1">
      <c r="A972" s="3289">
        <v>970</v>
      </c>
      <c r="B972" s="3289">
        <v>3</v>
      </c>
      <c r="C972" s="3289">
        <v>1</v>
      </c>
      <c r="D972" s="3413">
        <v>1101</v>
      </c>
      <c r="E972" s="3290">
        <v>1113</v>
      </c>
      <c r="F972" s="3291">
        <v>1</v>
      </c>
      <c r="G972" s="3291">
        <v>0</v>
      </c>
      <c r="H972" s="3291">
        <v>1</v>
      </c>
      <c r="I972" s="3290" t="s">
        <v>3310</v>
      </c>
      <c r="J972" s="3290" t="s">
        <v>3503</v>
      </c>
      <c r="K972" s="3409">
        <v>42.58</v>
      </c>
      <c r="L972" s="3412">
        <v>31.63</v>
      </c>
      <c r="M972" s="3291"/>
      <c r="N972" s="3291"/>
      <c r="O972" s="3289"/>
      <c r="P972" s="3289"/>
      <c r="Q972" s="3289"/>
      <c r="R972" s="3291"/>
      <c r="S972" s="3291"/>
      <c r="T972" s="3239" t="str">
        <f t="shared" si="19"/>
        <v>无</v>
      </c>
    </row>
    <row r="973" spans="1:20" hidden="1">
      <c r="A973" s="3289">
        <v>971</v>
      </c>
      <c r="B973" s="3289">
        <v>3</v>
      </c>
      <c r="C973" s="3289">
        <v>1</v>
      </c>
      <c r="D973" s="3413">
        <v>1102</v>
      </c>
      <c r="E973" s="3290">
        <v>1112</v>
      </c>
      <c r="F973" s="3291">
        <v>1</v>
      </c>
      <c r="G973" s="3291">
        <v>0</v>
      </c>
      <c r="H973" s="3291">
        <v>1</v>
      </c>
      <c r="I973" s="3290" t="s">
        <v>3302</v>
      </c>
      <c r="J973" s="3290" t="s">
        <v>3503</v>
      </c>
      <c r="K973" s="3409">
        <v>42.58</v>
      </c>
      <c r="L973" s="3412">
        <v>31.63</v>
      </c>
      <c r="M973" s="3291"/>
      <c r="N973" s="3291"/>
      <c r="O973" s="3289"/>
      <c r="P973" s="3289"/>
      <c r="Q973" s="3289"/>
      <c r="R973" s="3291"/>
      <c r="S973" s="3291"/>
      <c r="T973" s="3239" t="str">
        <f t="shared" si="19"/>
        <v>无</v>
      </c>
    </row>
    <row r="974" spans="1:20" hidden="1">
      <c r="A974" s="3289">
        <v>972</v>
      </c>
      <c r="B974" s="3289">
        <v>3</v>
      </c>
      <c r="C974" s="3289">
        <v>1</v>
      </c>
      <c r="D974" s="3413">
        <v>1103</v>
      </c>
      <c r="E974" s="3290">
        <v>1111</v>
      </c>
      <c r="F974" s="3291">
        <v>1</v>
      </c>
      <c r="G974" s="3291">
        <v>0</v>
      </c>
      <c r="H974" s="3291">
        <v>1</v>
      </c>
      <c r="I974" s="3290" t="s">
        <v>3300</v>
      </c>
      <c r="J974" s="3290" t="s">
        <v>3305</v>
      </c>
      <c r="K974" s="3409">
        <v>42.46</v>
      </c>
      <c r="L974" s="3412">
        <v>31.54</v>
      </c>
      <c r="M974" s="3291"/>
      <c r="N974" s="3291"/>
      <c r="O974" s="3289"/>
      <c r="P974" s="3289"/>
      <c r="Q974" s="3289"/>
      <c r="R974" s="3291"/>
      <c r="S974" s="3291"/>
      <c r="T974" s="3239" t="str">
        <f>IF(OR(J974="无障碍宿舍",J974="无障碍宿舍-01",J974="无障碍宿舍-02",J974="40平",J974="40平-01",J974="40平-02",J974="40平-03",J974="40平-04",J974="40平-06",J974="40平-07",J974="D2"),"无","有")</f>
        <v>无</v>
      </c>
    </row>
    <row r="975" spans="1:20" hidden="1">
      <c r="A975" s="3289">
        <v>973</v>
      </c>
      <c r="B975" s="3289">
        <v>3</v>
      </c>
      <c r="C975" s="3289">
        <v>1</v>
      </c>
      <c r="D975" s="3413">
        <v>1104</v>
      </c>
      <c r="E975" s="3290">
        <v>1114</v>
      </c>
      <c r="F975" s="3291">
        <v>1</v>
      </c>
      <c r="G975" s="3291">
        <v>0</v>
      </c>
      <c r="H975" s="3291">
        <v>1</v>
      </c>
      <c r="I975" s="3290" t="s">
        <v>3312</v>
      </c>
      <c r="J975" s="3290" t="s">
        <v>3305</v>
      </c>
      <c r="K975" s="3409">
        <v>42.46</v>
      </c>
      <c r="L975" s="3412">
        <v>31.54</v>
      </c>
      <c r="M975" s="3291"/>
      <c r="N975" s="3291"/>
      <c r="O975" s="3289"/>
      <c r="P975" s="3289"/>
      <c r="Q975" s="3289"/>
      <c r="R975" s="3291"/>
      <c r="S975" s="3291"/>
      <c r="T975" s="3239" t="str">
        <f t="shared" ref="T975" si="20">IF(OR(J975="无障碍宿舍",J975="无障碍宿舍-01",J975="无障碍宿舍-02",J975="40平",J975="40平-01",J975="40平-02",J975="40平-03",J975="40平-04",J975="40平-06",J975="40平-07",J975="D2"),"无","有")</f>
        <v>无</v>
      </c>
    </row>
    <row r="976" spans="1:20" hidden="1">
      <c r="A976" s="3289">
        <v>974</v>
      </c>
      <c r="B976" s="3289">
        <v>3</v>
      </c>
      <c r="C976" s="3289">
        <v>1</v>
      </c>
      <c r="D976" s="3413">
        <v>1105</v>
      </c>
      <c r="E976" s="3290">
        <v>1115</v>
      </c>
      <c r="F976" s="3291">
        <v>1</v>
      </c>
      <c r="G976" s="3291">
        <v>0</v>
      </c>
      <c r="H976" s="3291">
        <v>1</v>
      </c>
      <c r="I976" s="3290" t="s">
        <v>3312</v>
      </c>
      <c r="J976" s="3290" t="s">
        <v>3504</v>
      </c>
      <c r="K976" s="3409">
        <v>42.83</v>
      </c>
      <c r="L976" s="3412">
        <v>31.81</v>
      </c>
      <c r="M976" s="3291"/>
      <c r="N976" s="3291"/>
      <c r="O976" s="3289"/>
      <c r="P976" s="3289"/>
      <c r="Q976" s="3289"/>
      <c r="R976" s="3291"/>
      <c r="S976" s="3291"/>
      <c r="T976" s="3239" t="str">
        <f>IF(OR(J976="无障碍宿舍",J976="无障碍宿舍-01",J976="无障碍宿舍-02",J976="40平",J976="40平-01",J976="40平-02",J976="40平-03",J976="40平-04",J976="40平-06",J976="40平-07",J976="D2"),"无","有")</f>
        <v>无</v>
      </c>
    </row>
    <row r="977" spans="1:20">
      <c r="A977" s="3289">
        <v>975</v>
      </c>
      <c r="B977" s="3289">
        <v>3</v>
      </c>
      <c r="C977" s="3289">
        <v>1</v>
      </c>
      <c r="D977" s="3413">
        <v>1106</v>
      </c>
      <c r="E977" s="3290">
        <v>1110</v>
      </c>
      <c r="F977" s="3291">
        <v>1</v>
      </c>
      <c r="G977" s="3291">
        <v>1</v>
      </c>
      <c r="H977" s="3291">
        <v>1</v>
      </c>
      <c r="I977" s="3290" t="s">
        <v>3300</v>
      </c>
      <c r="J977" s="3290" t="s">
        <v>3341</v>
      </c>
      <c r="K977" s="3409">
        <v>54.28</v>
      </c>
      <c r="L977" s="3412">
        <v>40.32</v>
      </c>
      <c r="M977" s="3291"/>
      <c r="N977" s="3291"/>
      <c r="O977" s="3289"/>
      <c r="P977" s="3289"/>
      <c r="Q977" s="3289"/>
      <c r="R977" s="3291"/>
      <c r="S977" s="3291"/>
      <c r="T977" s="3239" t="str">
        <f t="shared" ref="T977:T979" si="21">IF(OR(J977="无障碍宿舍",J977="无障碍宿舍-01",J977="无障碍宿舍-02",J977="40平",J977="40平-01",J977="40平-02",J977="40平-03",J977="40平-04",J977="40平-06",J977="40平-07",J977="D2"),"无","有")</f>
        <v>有</v>
      </c>
    </row>
    <row r="978" spans="1:20">
      <c r="A978" s="3289">
        <v>976</v>
      </c>
      <c r="B978" s="3289">
        <v>3</v>
      </c>
      <c r="C978" s="3289">
        <v>1</v>
      </c>
      <c r="D978" s="3413">
        <v>1107</v>
      </c>
      <c r="E978" s="3290">
        <v>1109</v>
      </c>
      <c r="F978" s="3291">
        <v>1</v>
      </c>
      <c r="G978" s="3291">
        <v>1</v>
      </c>
      <c r="H978" s="3291">
        <v>1</v>
      </c>
      <c r="I978" s="3290" t="s">
        <v>3300</v>
      </c>
      <c r="J978" s="3290" t="s">
        <v>3326</v>
      </c>
      <c r="K978" s="3409">
        <v>54.28</v>
      </c>
      <c r="L978" s="3412">
        <v>40.32</v>
      </c>
      <c r="M978" s="3291"/>
      <c r="N978" s="3291"/>
      <c r="O978" s="3289"/>
      <c r="P978" s="3289"/>
      <c r="Q978" s="3289"/>
      <c r="R978" s="3291"/>
      <c r="S978" s="3291"/>
      <c r="T978" s="3239" t="str">
        <f t="shared" si="21"/>
        <v>有</v>
      </c>
    </row>
    <row r="979" spans="1:20">
      <c r="A979" s="3289">
        <v>977</v>
      </c>
      <c r="B979" s="3289">
        <v>3</v>
      </c>
      <c r="C979" s="3289">
        <v>1</v>
      </c>
      <c r="D979" s="3413">
        <v>1109</v>
      </c>
      <c r="E979" s="3290">
        <v>1108</v>
      </c>
      <c r="F979" s="3291">
        <v>1</v>
      </c>
      <c r="G979" s="3291">
        <v>1</v>
      </c>
      <c r="H979" s="3291">
        <v>1</v>
      </c>
      <c r="I979" s="3290" t="s">
        <v>3300</v>
      </c>
      <c r="J979" s="3290" t="s">
        <v>3326</v>
      </c>
      <c r="K979" s="3409">
        <v>54.28</v>
      </c>
      <c r="L979" s="3412">
        <v>40.32</v>
      </c>
      <c r="M979" s="3291"/>
      <c r="N979" s="3291"/>
      <c r="O979" s="3289"/>
      <c r="P979" s="3289"/>
      <c r="Q979" s="3289"/>
      <c r="R979" s="3291"/>
      <c r="S979" s="3291"/>
      <c r="T979" s="3239" t="str">
        <f t="shared" si="21"/>
        <v>有</v>
      </c>
    </row>
    <row r="980" spans="1:20" hidden="1">
      <c r="A980" s="3289">
        <v>978</v>
      </c>
      <c r="B980" s="3289">
        <v>3</v>
      </c>
      <c r="C980" s="3289">
        <v>1</v>
      </c>
      <c r="D980" s="3413">
        <v>1110</v>
      </c>
      <c r="E980" s="3290">
        <v>1116</v>
      </c>
      <c r="F980" s="3291">
        <v>1</v>
      </c>
      <c r="G980" s="3291">
        <v>0</v>
      </c>
      <c r="H980" s="3291">
        <v>1</v>
      </c>
      <c r="I980" s="3290" t="s">
        <v>3312</v>
      </c>
      <c r="J980" s="3290" t="s">
        <v>3306</v>
      </c>
      <c r="K980" s="3409">
        <v>43.43</v>
      </c>
      <c r="L980" s="3412">
        <v>32.26</v>
      </c>
      <c r="M980" s="3291"/>
      <c r="N980" s="3291"/>
      <c r="O980" s="3289"/>
      <c r="P980" s="3289"/>
      <c r="Q980" s="3289"/>
      <c r="R980" s="3291"/>
      <c r="S980" s="3291"/>
      <c r="T980" s="3239" t="str">
        <f>IF(OR(J980="无障碍宿舍",J980="无障碍宿舍-01",J980="无障碍宿舍-02",J980="40平",J980="40平-01",J980="40平-02",J980="40平-03",J980="40平-04",J980="40平-06",J980="40平-07",J980="D2"),"无","有")</f>
        <v>无</v>
      </c>
    </row>
    <row r="981" spans="1:20">
      <c r="A981" s="3289">
        <v>979</v>
      </c>
      <c r="B981" s="3289">
        <v>3</v>
      </c>
      <c r="C981" s="3289">
        <v>1</v>
      </c>
      <c r="D981" s="3413">
        <v>1111</v>
      </c>
      <c r="E981" s="3290">
        <v>1107</v>
      </c>
      <c r="F981" s="3291">
        <v>1</v>
      </c>
      <c r="G981" s="3291">
        <v>1</v>
      </c>
      <c r="H981" s="3291">
        <v>1</v>
      </c>
      <c r="I981" s="3290" t="s">
        <v>3300</v>
      </c>
      <c r="J981" s="3290" t="s">
        <v>3326</v>
      </c>
      <c r="K981" s="3409">
        <v>54.28</v>
      </c>
      <c r="L981" s="3412">
        <v>40.32</v>
      </c>
      <c r="M981" s="3291"/>
      <c r="N981" s="3291"/>
      <c r="O981" s="3289"/>
      <c r="P981" s="3289"/>
      <c r="Q981" s="3289"/>
      <c r="R981" s="3291"/>
      <c r="S981" s="3291"/>
      <c r="T981" s="3239" t="str">
        <f>IF(OR(J981="无障碍宿舍",J981="无障碍宿舍-01",J981="无障碍宿舍-02",J981="40平",J981="40平-01",J981="40平-02",J981="40平-03",J981="40平-04",J981="40平-06",J981="40平-07",J981="D2"),"无","有")</f>
        <v>有</v>
      </c>
    </row>
    <row r="982" spans="1:20">
      <c r="A982" s="3289">
        <v>980</v>
      </c>
      <c r="B982" s="3289">
        <v>3</v>
      </c>
      <c r="C982" s="3289">
        <v>1</v>
      </c>
      <c r="D982" s="3413">
        <v>1112</v>
      </c>
      <c r="E982" s="3290">
        <v>1117</v>
      </c>
      <c r="F982" s="3291">
        <v>1</v>
      </c>
      <c r="G982" s="3291">
        <v>1</v>
      </c>
      <c r="H982" s="3291">
        <v>1</v>
      </c>
      <c r="I982" s="3290" t="s">
        <v>3312</v>
      </c>
      <c r="J982" s="3290" t="s">
        <v>3326</v>
      </c>
      <c r="K982" s="3409">
        <v>54.28</v>
      </c>
      <c r="L982" s="3412">
        <v>40.32</v>
      </c>
      <c r="M982" s="3291"/>
      <c r="N982" s="3291"/>
      <c r="O982" s="3289">
        <v>2.9</v>
      </c>
      <c r="P982" s="3289" t="s">
        <v>3363</v>
      </c>
      <c r="Q982" s="3289" t="s">
        <v>3482</v>
      </c>
      <c r="R982" s="3291"/>
      <c r="S982" s="3291"/>
      <c r="T982" s="3239" t="str">
        <f t="shared" ref="T982:T992" si="22">IF(OR(J982="无障碍宿舍",J982="无障碍宿舍-01",J982="无障碍宿舍-02",J982="40平",J982="40平-01",J982="40平-02",J982="40平-03",J982="40平-04",J982="40平-06",J982="40平-07",J982="D2"),"无","有")</f>
        <v>有</v>
      </c>
    </row>
    <row r="983" spans="1:20">
      <c r="A983" s="3289">
        <v>981</v>
      </c>
      <c r="B983" s="3289">
        <v>3</v>
      </c>
      <c r="C983" s="3289">
        <v>1</v>
      </c>
      <c r="D983" s="3413">
        <v>1113</v>
      </c>
      <c r="E983" s="3290">
        <v>1118</v>
      </c>
      <c r="F983" s="3291">
        <v>1</v>
      </c>
      <c r="G983" s="3291">
        <v>1</v>
      </c>
      <c r="H983" s="3291">
        <v>1</v>
      </c>
      <c r="I983" s="3290" t="s">
        <v>3312</v>
      </c>
      <c r="J983" s="3290" t="s">
        <v>3326</v>
      </c>
      <c r="K983" s="3409">
        <v>54.28</v>
      </c>
      <c r="L983" s="3412">
        <v>40.32</v>
      </c>
      <c r="M983" s="3291"/>
      <c r="N983" s="3291"/>
      <c r="O983" s="3289"/>
      <c r="P983" s="3289"/>
      <c r="Q983" s="3289"/>
      <c r="R983" s="3291"/>
      <c r="S983" s="3291"/>
      <c r="T983" s="3239" t="str">
        <f t="shared" si="22"/>
        <v>有</v>
      </c>
    </row>
    <row r="984" spans="1:20">
      <c r="A984" s="3289">
        <v>982</v>
      </c>
      <c r="B984" s="3289">
        <v>3</v>
      </c>
      <c r="C984" s="3289">
        <v>1</v>
      </c>
      <c r="D984" s="3413">
        <v>1114</v>
      </c>
      <c r="E984" s="3290">
        <v>1106</v>
      </c>
      <c r="F984" s="3291">
        <v>1</v>
      </c>
      <c r="G984" s="3291">
        <v>1</v>
      </c>
      <c r="H984" s="3291">
        <v>1</v>
      </c>
      <c r="I984" s="3290" t="s">
        <v>3300</v>
      </c>
      <c r="J984" s="3290" t="s">
        <v>3326</v>
      </c>
      <c r="K984" s="3409">
        <v>54.28</v>
      </c>
      <c r="L984" s="3412">
        <v>40.32</v>
      </c>
      <c r="M984" s="3291"/>
      <c r="N984" s="3291"/>
      <c r="O984" s="3289"/>
      <c r="P984" s="3289"/>
      <c r="Q984" s="3289"/>
      <c r="R984" s="3291"/>
      <c r="S984" s="3291"/>
      <c r="T984" s="3239" t="str">
        <f t="shared" si="22"/>
        <v>有</v>
      </c>
    </row>
    <row r="985" spans="1:20">
      <c r="A985" s="3289">
        <v>983</v>
      </c>
      <c r="B985" s="3289">
        <v>3</v>
      </c>
      <c r="C985" s="3289">
        <v>1</v>
      </c>
      <c r="D985" s="3413">
        <v>1115</v>
      </c>
      <c r="E985" s="3290">
        <v>1119</v>
      </c>
      <c r="F985" s="3291">
        <v>1</v>
      </c>
      <c r="G985" s="3291">
        <v>1</v>
      </c>
      <c r="H985" s="3291">
        <v>1</v>
      </c>
      <c r="I985" s="3290" t="s">
        <v>3312</v>
      </c>
      <c r="J985" s="3290" t="s">
        <v>3326</v>
      </c>
      <c r="K985" s="3409">
        <v>54.28</v>
      </c>
      <c r="L985" s="3412">
        <v>40.32</v>
      </c>
      <c r="M985" s="3291"/>
      <c r="N985" s="3291"/>
      <c r="O985" s="3289"/>
      <c r="P985" s="3289"/>
      <c r="Q985" s="3289"/>
      <c r="R985" s="3291"/>
      <c r="S985" s="3291"/>
      <c r="T985" s="3239" t="str">
        <f t="shared" si="22"/>
        <v>有</v>
      </c>
    </row>
    <row r="986" spans="1:20">
      <c r="A986" s="3289">
        <v>984</v>
      </c>
      <c r="B986" s="3289">
        <v>3</v>
      </c>
      <c r="C986" s="3289">
        <v>1</v>
      </c>
      <c r="D986" s="3413">
        <v>1116</v>
      </c>
      <c r="E986" s="3290">
        <v>1106</v>
      </c>
      <c r="F986" s="3291">
        <v>1</v>
      </c>
      <c r="G986" s="3291">
        <v>1</v>
      </c>
      <c r="H986" s="3291">
        <v>1</v>
      </c>
      <c r="I986" s="3290" t="s">
        <v>3300</v>
      </c>
      <c r="J986" s="3290" t="s">
        <v>3326</v>
      </c>
      <c r="K986" s="3409">
        <v>54.28</v>
      </c>
      <c r="L986" s="3412">
        <v>40.32</v>
      </c>
      <c r="M986" s="3291"/>
      <c r="N986" s="3291"/>
      <c r="O986" s="3289"/>
      <c r="P986" s="3289"/>
      <c r="Q986" s="3289"/>
      <c r="R986" s="3291"/>
      <c r="S986" s="3291"/>
      <c r="T986" s="3239" t="str">
        <f t="shared" si="22"/>
        <v>有</v>
      </c>
    </row>
    <row r="987" spans="1:20">
      <c r="A987" s="3289">
        <v>985</v>
      </c>
      <c r="B987" s="3289">
        <v>3</v>
      </c>
      <c r="C987" s="3289">
        <v>1</v>
      </c>
      <c r="D987" s="3413">
        <v>1117</v>
      </c>
      <c r="E987" s="3290">
        <v>1104</v>
      </c>
      <c r="F987" s="3291">
        <v>1</v>
      </c>
      <c r="G987" s="3291">
        <v>1</v>
      </c>
      <c r="H987" s="3291">
        <v>1</v>
      </c>
      <c r="I987" s="3290" t="s">
        <v>3300</v>
      </c>
      <c r="J987" s="3290" t="s">
        <v>3326</v>
      </c>
      <c r="K987" s="3409">
        <v>54.28</v>
      </c>
      <c r="L987" s="3412">
        <v>40.32</v>
      </c>
      <c r="M987" s="3291"/>
      <c r="N987" s="3291"/>
      <c r="O987" s="3289"/>
      <c r="P987" s="3289"/>
      <c r="Q987" s="3289"/>
      <c r="R987" s="3291"/>
      <c r="S987" s="3291"/>
      <c r="T987" s="3239" t="str">
        <f t="shared" si="22"/>
        <v>有</v>
      </c>
    </row>
    <row r="988" spans="1:20">
      <c r="A988" s="3289">
        <v>986</v>
      </c>
      <c r="B988" s="3289">
        <v>3</v>
      </c>
      <c r="C988" s="3289">
        <v>1</v>
      </c>
      <c r="D988" s="3413">
        <v>1118</v>
      </c>
      <c r="E988" s="3290">
        <v>1103</v>
      </c>
      <c r="F988" s="3291">
        <v>1</v>
      </c>
      <c r="G988" s="3291">
        <v>1</v>
      </c>
      <c r="H988" s="3291">
        <v>1</v>
      </c>
      <c r="I988" s="3290" t="s">
        <v>3300</v>
      </c>
      <c r="J988" s="3290" t="s">
        <v>3326</v>
      </c>
      <c r="K988" s="3409">
        <v>54.28</v>
      </c>
      <c r="L988" s="3412">
        <v>40.32</v>
      </c>
      <c r="M988" s="3291"/>
      <c r="N988" s="3291"/>
      <c r="O988" s="3289"/>
      <c r="P988" s="3289"/>
      <c r="Q988" s="3289"/>
      <c r="R988" s="3291"/>
      <c r="S988" s="3291"/>
      <c r="T988" s="3239" t="str">
        <f t="shared" si="22"/>
        <v>有</v>
      </c>
    </row>
    <row r="989" spans="1:20">
      <c r="A989" s="3289">
        <v>987</v>
      </c>
      <c r="B989" s="3289">
        <v>3</v>
      </c>
      <c r="C989" s="3289">
        <v>1</v>
      </c>
      <c r="D989" s="3413">
        <v>1119</v>
      </c>
      <c r="E989" s="3290">
        <v>1120</v>
      </c>
      <c r="F989" s="3291">
        <v>1</v>
      </c>
      <c r="G989" s="3291">
        <v>1</v>
      </c>
      <c r="H989" s="3291">
        <v>1</v>
      </c>
      <c r="I989" s="3290" t="s">
        <v>3312</v>
      </c>
      <c r="J989" s="3290" t="s">
        <v>3340</v>
      </c>
      <c r="K989" s="3409">
        <v>54.73</v>
      </c>
      <c r="L989" s="3412">
        <v>40.65</v>
      </c>
      <c r="M989" s="3291"/>
      <c r="N989" s="3291"/>
      <c r="O989" s="3289"/>
      <c r="P989" s="3289"/>
      <c r="Q989" s="3289"/>
      <c r="R989" s="3291"/>
      <c r="S989" s="3291"/>
      <c r="T989" s="3239" t="str">
        <f t="shared" si="22"/>
        <v>有</v>
      </c>
    </row>
    <row r="990" spans="1:20">
      <c r="A990" s="3289">
        <v>988</v>
      </c>
      <c r="B990" s="3289">
        <v>3</v>
      </c>
      <c r="C990" s="3289">
        <v>1</v>
      </c>
      <c r="D990" s="3413">
        <v>1120</v>
      </c>
      <c r="E990" s="3290">
        <v>1102</v>
      </c>
      <c r="F990" s="3291">
        <v>1</v>
      </c>
      <c r="G990" s="3291">
        <v>1</v>
      </c>
      <c r="H990" s="3291">
        <v>1</v>
      </c>
      <c r="I990" s="3290" t="s">
        <v>3300</v>
      </c>
      <c r="J990" s="3290" t="s">
        <v>3340</v>
      </c>
      <c r="K990" s="3409">
        <v>54.73</v>
      </c>
      <c r="L990" s="3412">
        <v>40.65</v>
      </c>
      <c r="M990" s="3291"/>
      <c r="N990" s="3291"/>
      <c r="O990" s="3289"/>
      <c r="P990" s="3289"/>
      <c r="Q990" s="3289"/>
      <c r="R990" s="3291"/>
      <c r="S990" s="3291"/>
      <c r="T990" s="3239" t="str">
        <f t="shared" si="22"/>
        <v>有</v>
      </c>
    </row>
    <row r="991" spans="1:20">
      <c r="A991" s="3289">
        <v>989</v>
      </c>
      <c r="B991" s="3289">
        <v>3</v>
      </c>
      <c r="C991" s="3289">
        <v>1</v>
      </c>
      <c r="D991" s="3413">
        <v>1121</v>
      </c>
      <c r="E991" s="3290">
        <v>1121</v>
      </c>
      <c r="F991" s="3291">
        <v>4</v>
      </c>
      <c r="G991" s="3291">
        <v>1</v>
      </c>
      <c r="H991" s="3291">
        <v>1</v>
      </c>
      <c r="I991" s="3290" t="s">
        <v>3316</v>
      </c>
      <c r="J991" s="3290" t="s">
        <v>3339</v>
      </c>
      <c r="K991" s="3409">
        <v>103.21</v>
      </c>
      <c r="L991" s="3412">
        <v>76.66</v>
      </c>
      <c r="M991" s="3291"/>
      <c r="N991" s="3291"/>
      <c r="O991" s="3289"/>
      <c r="P991" s="3289"/>
      <c r="Q991" s="3289"/>
      <c r="R991" s="3291"/>
      <c r="S991" s="3291"/>
      <c r="T991" s="3239" t="str">
        <f t="shared" si="22"/>
        <v>有</v>
      </c>
    </row>
    <row r="992" spans="1:20">
      <c r="A992" s="3289">
        <v>990</v>
      </c>
      <c r="B992" s="3289">
        <v>3</v>
      </c>
      <c r="C992" s="3289">
        <v>1</v>
      </c>
      <c r="D992" s="3413">
        <v>1122</v>
      </c>
      <c r="E992" s="3290">
        <v>1101</v>
      </c>
      <c r="F992" s="3291">
        <v>4</v>
      </c>
      <c r="G992" s="3291">
        <v>1</v>
      </c>
      <c r="H992" s="3291">
        <v>1</v>
      </c>
      <c r="I992" s="3290" t="s">
        <v>3318</v>
      </c>
      <c r="J992" s="3290" t="s">
        <v>3339</v>
      </c>
      <c r="K992" s="3409">
        <v>103.21</v>
      </c>
      <c r="L992" s="3412">
        <v>76.66</v>
      </c>
      <c r="M992" s="3291"/>
      <c r="N992" s="3291"/>
      <c r="O992" s="3289"/>
      <c r="P992" s="3413"/>
      <c r="Q992" s="3413"/>
      <c r="R992" s="3291"/>
      <c r="S992" s="3291"/>
      <c r="T992" s="3239" t="str">
        <f t="shared" si="22"/>
        <v>有</v>
      </c>
    </row>
    <row r="993" spans="1:22">
      <c r="A993" s="3391">
        <v>991</v>
      </c>
      <c r="B993" s="3391">
        <v>6</v>
      </c>
      <c r="C993" s="3391">
        <v>1</v>
      </c>
      <c r="D993" s="3408">
        <v>201</v>
      </c>
      <c r="E993" s="3307">
        <v>201</v>
      </c>
      <c r="F993" s="3308">
        <v>4</v>
      </c>
      <c r="G993" s="3308">
        <v>1</v>
      </c>
      <c r="H993" s="3308">
        <v>1</v>
      </c>
      <c r="I993" s="3309" t="s">
        <v>3344</v>
      </c>
      <c r="J993" s="3307" t="s">
        <v>3345</v>
      </c>
      <c r="K993" s="3401">
        <v>122.37</v>
      </c>
      <c r="L993" s="3402">
        <v>92.96</v>
      </c>
      <c r="M993" s="3402">
        <v>3.53</v>
      </c>
      <c r="N993" s="3308"/>
      <c r="O993" s="3490">
        <v>2.9</v>
      </c>
      <c r="P993" s="3544" t="s">
        <v>3297</v>
      </c>
      <c r="Q993" s="3544" t="s">
        <v>3298</v>
      </c>
      <c r="R993" s="3308"/>
      <c r="S993" s="3308"/>
      <c r="T993" s="3239" t="str">
        <f t="shared" ref="T993:T1016" si="23">IF(OR(J993="无障碍宿舍",J993="无障碍宿舍-01",J993="无障碍宿舍-02",J993=40,J993="40平-01",J993="40平-02",J993="40平-03",J993="40平-04",J993="D2"),"无","有")</f>
        <v>有</v>
      </c>
      <c r="U993">
        <f>SUM(K993:K1072)</f>
        <v>8327.0000000000018</v>
      </c>
      <c r="V993" s="3407"/>
    </row>
    <row r="994" spans="1:22">
      <c r="A994" s="3391">
        <v>992</v>
      </c>
      <c r="B994" s="3391">
        <v>6</v>
      </c>
      <c r="C994" s="3391">
        <v>1</v>
      </c>
      <c r="D994" s="3408">
        <v>202</v>
      </c>
      <c r="E994" s="3307">
        <v>202</v>
      </c>
      <c r="F994" s="3308">
        <v>3</v>
      </c>
      <c r="G994" s="3308">
        <v>1</v>
      </c>
      <c r="H994" s="3308">
        <v>1</v>
      </c>
      <c r="I994" s="3309" t="s">
        <v>3346</v>
      </c>
      <c r="J994" s="3307" t="s">
        <v>3347</v>
      </c>
      <c r="K994" s="3401">
        <v>99.68</v>
      </c>
      <c r="L994" s="3402">
        <v>75.72</v>
      </c>
      <c r="M994" s="3409">
        <v>3.96</v>
      </c>
      <c r="N994" s="3308"/>
      <c r="O994" s="3490"/>
      <c r="P994" s="3490"/>
      <c r="Q994" s="3490"/>
      <c r="R994" s="3308"/>
      <c r="S994" s="3308"/>
      <c r="T994" s="3239" t="str">
        <f t="shared" si="23"/>
        <v>有</v>
      </c>
      <c r="V994" s="3410"/>
    </row>
    <row r="995" spans="1:22">
      <c r="A995" s="3391">
        <v>993</v>
      </c>
      <c r="B995" s="3391">
        <v>6</v>
      </c>
      <c r="C995" s="3391">
        <v>1</v>
      </c>
      <c r="D995" s="3408">
        <v>203</v>
      </c>
      <c r="E995" s="3307">
        <v>203</v>
      </c>
      <c r="F995" s="3308">
        <v>3</v>
      </c>
      <c r="G995" s="3308">
        <v>1</v>
      </c>
      <c r="H995" s="3308">
        <v>1</v>
      </c>
      <c r="I995" s="3309" t="s">
        <v>3346</v>
      </c>
      <c r="J995" s="3307" t="s">
        <v>3347</v>
      </c>
      <c r="K995" s="3401">
        <v>99.68</v>
      </c>
      <c r="L995" s="3402">
        <v>75.72</v>
      </c>
      <c r="M995" s="3409">
        <v>3.96</v>
      </c>
      <c r="N995" s="3308"/>
      <c r="O995" s="3490"/>
      <c r="P995" s="3490"/>
      <c r="Q995" s="3490"/>
      <c r="R995" s="3308"/>
      <c r="S995" s="3308"/>
      <c r="T995" s="3239" t="str">
        <f t="shared" si="23"/>
        <v>有</v>
      </c>
      <c r="V995" s="3407"/>
    </row>
    <row r="996" spans="1:22">
      <c r="A996" s="3391">
        <v>994</v>
      </c>
      <c r="B996" s="3391">
        <v>6</v>
      </c>
      <c r="C996" s="3391">
        <v>1</v>
      </c>
      <c r="D996" s="3408">
        <v>204</v>
      </c>
      <c r="E996" s="3307">
        <v>204</v>
      </c>
      <c r="F996" s="3308">
        <v>3</v>
      </c>
      <c r="G996" s="3308">
        <v>1</v>
      </c>
      <c r="H996" s="3308">
        <v>1</v>
      </c>
      <c r="I996" s="3309" t="s">
        <v>3348</v>
      </c>
      <c r="J996" s="3307" t="s">
        <v>3349</v>
      </c>
      <c r="K996" s="3401">
        <v>94.62</v>
      </c>
      <c r="L996" s="3402">
        <v>71.88</v>
      </c>
      <c r="M996" s="3402">
        <v>6.47</v>
      </c>
      <c r="N996" s="3308"/>
      <c r="O996" s="3490"/>
      <c r="P996" s="3490"/>
      <c r="Q996" s="3490"/>
      <c r="R996" s="3308"/>
      <c r="S996" s="3308"/>
      <c r="T996" s="3239" t="str">
        <f t="shared" si="23"/>
        <v>有</v>
      </c>
      <c r="V996" s="3407"/>
    </row>
    <row r="997" spans="1:22">
      <c r="A997" s="3391">
        <v>995</v>
      </c>
      <c r="B997" s="3391">
        <v>6</v>
      </c>
      <c r="C997" s="3391">
        <v>2</v>
      </c>
      <c r="D997" s="3408">
        <v>205</v>
      </c>
      <c r="E997" s="3307">
        <v>201</v>
      </c>
      <c r="F997" s="3308">
        <v>3</v>
      </c>
      <c r="G997" s="3308">
        <v>1</v>
      </c>
      <c r="H997" s="3308">
        <v>1</v>
      </c>
      <c r="I997" s="3309" t="s">
        <v>3344</v>
      </c>
      <c r="J997" s="3307" t="s">
        <v>3349</v>
      </c>
      <c r="K997" s="3401">
        <v>94.62</v>
      </c>
      <c r="L997" s="3402">
        <v>71.88</v>
      </c>
      <c r="M997" s="3402">
        <v>6.47</v>
      </c>
      <c r="N997" s="3308"/>
      <c r="O997" s="3490"/>
      <c r="P997" s="3490"/>
      <c r="Q997" s="3490"/>
      <c r="R997" s="3308"/>
      <c r="S997" s="3308"/>
      <c r="T997" s="3239" t="str">
        <f t="shared" si="23"/>
        <v>有</v>
      </c>
      <c r="V997" s="3407"/>
    </row>
    <row r="998" spans="1:22">
      <c r="A998" s="3391">
        <v>996</v>
      </c>
      <c r="B998" s="3391">
        <v>6</v>
      </c>
      <c r="C998" s="3391">
        <v>2</v>
      </c>
      <c r="D998" s="3408">
        <v>206</v>
      </c>
      <c r="E998" s="3307">
        <v>202</v>
      </c>
      <c r="F998" s="3308">
        <v>3</v>
      </c>
      <c r="G998" s="3308">
        <v>1</v>
      </c>
      <c r="H998" s="3308">
        <v>1</v>
      </c>
      <c r="I998" s="3309" t="s">
        <v>3346</v>
      </c>
      <c r="J998" s="3307" t="s">
        <v>3347</v>
      </c>
      <c r="K998" s="3401">
        <v>99.68</v>
      </c>
      <c r="L998" s="3402">
        <v>75.72</v>
      </c>
      <c r="M998" s="3402">
        <v>3.96</v>
      </c>
      <c r="N998" s="3308"/>
      <c r="O998" s="3490"/>
      <c r="P998" s="3490"/>
      <c r="Q998" s="3490"/>
      <c r="R998" s="3308"/>
      <c r="S998" s="3308"/>
      <c r="T998" s="3239" t="str">
        <f t="shared" si="23"/>
        <v>有</v>
      </c>
      <c r="V998" s="3407"/>
    </row>
    <row r="999" spans="1:22">
      <c r="A999" s="3391">
        <v>997</v>
      </c>
      <c r="B999" s="3391">
        <v>6</v>
      </c>
      <c r="C999" s="3391">
        <v>2</v>
      </c>
      <c r="D999" s="3408">
        <v>207</v>
      </c>
      <c r="E999" s="3307">
        <v>203</v>
      </c>
      <c r="F999" s="3308">
        <v>3</v>
      </c>
      <c r="G999" s="3308">
        <v>1</v>
      </c>
      <c r="H999" s="3308">
        <v>1</v>
      </c>
      <c r="I999" s="3309" t="s">
        <v>3346</v>
      </c>
      <c r="J999" s="3307" t="s">
        <v>3347</v>
      </c>
      <c r="K999" s="3401">
        <v>99.68</v>
      </c>
      <c r="L999" s="3402">
        <v>75.72</v>
      </c>
      <c r="M999" s="3402">
        <v>3.96</v>
      </c>
      <c r="N999" s="3308"/>
      <c r="O999" s="3490"/>
      <c r="P999" s="3490"/>
      <c r="Q999" s="3490"/>
      <c r="R999" s="3308"/>
      <c r="S999" s="3308"/>
      <c r="T999" s="3239" t="str">
        <f t="shared" si="23"/>
        <v>有</v>
      </c>
      <c r="V999" s="3407"/>
    </row>
    <row r="1000" spans="1:22">
      <c r="A1000" s="3391">
        <v>998</v>
      </c>
      <c r="B1000" s="3391">
        <v>6</v>
      </c>
      <c r="C1000" s="3391">
        <v>2</v>
      </c>
      <c r="D1000" s="3408">
        <v>208</v>
      </c>
      <c r="E1000" s="3307">
        <v>204</v>
      </c>
      <c r="F1000" s="3308">
        <v>4</v>
      </c>
      <c r="G1000" s="3308">
        <v>1</v>
      </c>
      <c r="H1000" s="3308">
        <v>1</v>
      </c>
      <c r="I1000" s="3309" t="s">
        <v>3348</v>
      </c>
      <c r="J1000" s="3307" t="s">
        <v>3345</v>
      </c>
      <c r="K1000" s="3401">
        <v>122.37</v>
      </c>
      <c r="L1000" s="3402">
        <v>92.96</v>
      </c>
      <c r="M1000" s="3402">
        <v>3.53</v>
      </c>
      <c r="N1000" s="3308"/>
      <c r="O1000" s="3490"/>
      <c r="P1000" s="3490"/>
      <c r="Q1000" s="3490"/>
      <c r="R1000" s="3308"/>
      <c r="S1000" s="3308"/>
      <c r="T1000" s="3239" t="str">
        <f t="shared" si="23"/>
        <v>有</v>
      </c>
      <c r="V1000" s="3407"/>
    </row>
    <row r="1001" spans="1:22">
      <c r="A1001" s="3391">
        <v>999</v>
      </c>
      <c r="B1001" s="3391">
        <v>6</v>
      </c>
      <c r="C1001" s="3391">
        <v>1</v>
      </c>
      <c r="D1001" s="3408">
        <v>301</v>
      </c>
      <c r="E1001" s="3307">
        <v>301</v>
      </c>
      <c r="F1001" s="3308">
        <v>4</v>
      </c>
      <c r="G1001" s="3308">
        <v>1</v>
      </c>
      <c r="H1001" s="3308">
        <v>1</v>
      </c>
      <c r="I1001" s="3309" t="s">
        <v>3344</v>
      </c>
      <c r="J1001" s="3307" t="s">
        <v>3345</v>
      </c>
      <c r="K1001" s="3401">
        <v>122.37</v>
      </c>
      <c r="L1001" s="3402">
        <v>92.96</v>
      </c>
      <c r="M1001" s="3402">
        <v>3.53</v>
      </c>
      <c r="N1001" s="3308"/>
      <c r="O1001" s="3490">
        <v>2.9</v>
      </c>
      <c r="P1001" s="3544" t="s">
        <v>3297</v>
      </c>
      <c r="Q1001" s="3544" t="s">
        <v>3298</v>
      </c>
      <c r="R1001" s="3308"/>
      <c r="S1001" s="3308"/>
      <c r="T1001" s="3239" t="str">
        <f t="shared" si="23"/>
        <v>有</v>
      </c>
    </row>
    <row r="1002" spans="1:22">
      <c r="A1002" s="3391">
        <v>1000</v>
      </c>
      <c r="B1002" s="3391">
        <v>6</v>
      </c>
      <c r="C1002" s="3391">
        <v>1</v>
      </c>
      <c r="D1002" s="3408">
        <v>302</v>
      </c>
      <c r="E1002" s="3307">
        <v>302</v>
      </c>
      <c r="F1002" s="3308">
        <v>3</v>
      </c>
      <c r="G1002" s="3308">
        <v>1</v>
      </c>
      <c r="H1002" s="3308">
        <v>1</v>
      </c>
      <c r="I1002" s="3309" t="s">
        <v>3346</v>
      </c>
      <c r="J1002" s="3307" t="s">
        <v>3347</v>
      </c>
      <c r="K1002" s="3401">
        <v>99.68</v>
      </c>
      <c r="L1002" s="3402">
        <v>75.72</v>
      </c>
      <c r="M1002" s="3402">
        <v>3.96</v>
      </c>
      <c r="N1002" s="3308"/>
      <c r="O1002" s="3490"/>
      <c r="P1002" s="3490"/>
      <c r="Q1002" s="3490"/>
      <c r="R1002" s="3308"/>
      <c r="S1002" s="3308"/>
      <c r="T1002" s="3239" t="str">
        <f t="shared" si="23"/>
        <v>有</v>
      </c>
    </row>
    <row r="1003" spans="1:22">
      <c r="A1003" s="3391">
        <v>1001</v>
      </c>
      <c r="B1003" s="3391">
        <v>6</v>
      </c>
      <c r="C1003" s="3391">
        <v>1</v>
      </c>
      <c r="D1003" s="3408">
        <v>303</v>
      </c>
      <c r="E1003" s="3307">
        <v>303</v>
      </c>
      <c r="F1003" s="3308">
        <v>3</v>
      </c>
      <c r="G1003" s="3308">
        <v>1</v>
      </c>
      <c r="H1003" s="3308">
        <v>1</v>
      </c>
      <c r="I1003" s="3309" t="s">
        <v>3346</v>
      </c>
      <c r="J1003" s="3307" t="s">
        <v>3347</v>
      </c>
      <c r="K1003" s="3401">
        <v>99.68</v>
      </c>
      <c r="L1003" s="3402">
        <v>75.72</v>
      </c>
      <c r="M1003" s="3402">
        <v>3.96</v>
      </c>
      <c r="N1003" s="3308"/>
      <c r="O1003" s="3490"/>
      <c r="P1003" s="3490"/>
      <c r="Q1003" s="3490"/>
      <c r="R1003" s="3308"/>
      <c r="S1003" s="3308"/>
      <c r="T1003" s="3239" t="str">
        <f t="shared" si="23"/>
        <v>有</v>
      </c>
    </row>
    <row r="1004" spans="1:22">
      <c r="A1004" s="3391">
        <v>1002</v>
      </c>
      <c r="B1004" s="3391">
        <v>6</v>
      </c>
      <c r="C1004" s="3391">
        <v>1</v>
      </c>
      <c r="D1004" s="3408">
        <v>304</v>
      </c>
      <c r="E1004" s="3307">
        <v>304</v>
      </c>
      <c r="F1004" s="3308">
        <v>3</v>
      </c>
      <c r="G1004" s="3308">
        <v>1</v>
      </c>
      <c r="H1004" s="3308">
        <v>1</v>
      </c>
      <c r="I1004" s="3309" t="s">
        <v>3348</v>
      </c>
      <c r="J1004" s="3307" t="s">
        <v>3349</v>
      </c>
      <c r="K1004" s="3401">
        <v>94.62</v>
      </c>
      <c r="L1004" s="3402">
        <v>71.88</v>
      </c>
      <c r="M1004" s="3402">
        <v>6.47</v>
      </c>
      <c r="N1004" s="3308"/>
      <c r="O1004" s="3490"/>
      <c r="P1004" s="3490"/>
      <c r="Q1004" s="3490"/>
      <c r="R1004" s="3308"/>
      <c r="S1004" s="3308"/>
      <c r="T1004" s="3239" t="str">
        <f t="shared" si="23"/>
        <v>有</v>
      </c>
    </row>
    <row r="1005" spans="1:22">
      <c r="A1005" s="3391">
        <v>1003</v>
      </c>
      <c r="B1005" s="3391">
        <v>6</v>
      </c>
      <c r="C1005" s="3391">
        <v>2</v>
      </c>
      <c r="D1005" s="3408">
        <v>305</v>
      </c>
      <c r="E1005" s="3307">
        <v>301</v>
      </c>
      <c r="F1005" s="3308">
        <v>3</v>
      </c>
      <c r="G1005" s="3308">
        <v>1</v>
      </c>
      <c r="H1005" s="3308">
        <v>1</v>
      </c>
      <c r="I1005" s="3309" t="s">
        <v>3344</v>
      </c>
      <c r="J1005" s="3307" t="s">
        <v>3349</v>
      </c>
      <c r="K1005" s="3401">
        <v>94.62</v>
      </c>
      <c r="L1005" s="3402">
        <v>71.88</v>
      </c>
      <c r="M1005" s="3402">
        <v>6.47</v>
      </c>
      <c r="N1005" s="3308"/>
      <c r="O1005" s="3490"/>
      <c r="P1005" s="3490"/>
      <c r="Q1005" s="3490"/>
      <c r="R1005" s="3308"/>
      <c r="S1005" s="3308"/>
      <c r="T1005" s="3239" t="str">
        <f t="shared" si="23"/>
        <v>有</v>
      </c>
    </row>
    <row r="1006" spans="1:22">
      <c r="A1006" s="3391">
        <v>1004</v>
      </c>
      <c r="B1006" s="3391">
        <v>6</v>
      </c>
      <c r="C1006" s="3391">
        <v>2</v>
      </c>
      <c r="D1006" s="3408">
        <v>306</v>
      </c>
      <c r="E1006" s="3307">
        <v>302</v>
      </c>
      <c r="F1006" s="3308">
        <v>3</v>
      </c>
      <c r="G1006" s="3308">
        <v>1</v>
      </c>
      <c r="H1006" s="3308">
        <v>1</v>
      </c>
      <c r="I1006" s="3309" t="s">
        <v>3346</v>
      </c>
      <c r="J1006" s="3307" t="s">
        <v>3347</v>
      </c>
      <c r="K1006" s="3401">
        <v>99.68</v>
      </c>
      <c r="L1006" s="3402">
        <v>75.72</v>
      </c>
      <c r="M1006" s="3402">
        <v>3.96</v>
      </c>
      <c r="N1006" s="3308"/>
      <c r="O1006" s="3490"/>
      <c r="P1006" s="3490"/>
      <c r="Q1006" s="3490"/>
      <c r="R1006" s="3308"/>
      <c r="S1006" s="3308"/>
      <c r="T1006" s="3239" t="str">
        <f t="shared" si="23"/>
        <v>有</v>
      </c>
    </row>
    <row r="1007" spans="1:22">
      <c r="A1007" s="3391">
        <v>1005</v>
      </c>
      <c r="B1007" s="3391">
        <v>6</v>
      </c>
      <c r="C1007" s="3391">
        <v>2</v>
      </c>
      <c r="D1007" s="3408">
        <v>307</v>
      </c>
      <c r="E1007" s="3307">
        <v>303</v>
      </c>
      <c r="F1007" s="3308">
        <v>3</v>
      </c>
      <c r="G1007" s="3308">
        <v>1</v>
      </c>
      <c r="H1007" s="3308">
        <v>1</v>
      </c>
      <c r="I1007" s="3309" t="s">
        <v>3346</v>
      </c>
      <c r="J1007" s="3307" t="s">
        <v>3347</v>
      </c>
      <c r="K1007" s="3401">
        <v>99.68</v>
      </c>
      <c r="L1007" s="3402">
        <v>75.72</v>
      </c>
      <c r="M1007" s="3402">
        <v>3.96</v>
      </c>
      <c r="N1007" s="3308"/>
      <c r="O1007" s="3490"/>
      <c r="P1007" s="3490"/>
      <c r="Q1007" s="3490"/>
      <c r="R1007" s="3308"/>
      <c r="S1007" s="3308"/>
      <c r="T1007" s="3239" t="str">
        <f t="shared" si="23"/>
        <v>有</v>
      </c>
    </row>
    <row r="1008" spans="1:22">
      <c r="A1008" s="3391">
        <v>1006</v>
      </c>
      <c r="B1008" s="3391">
        <v>6</v>
      </c>
      <c r="C1008" s="3391">
        <v>2</v>
      </c>
      <c r="D1008" s="3408">
        <v>308</v>
      </c>
      <c r="E1008" s="3307">
        <v>304</v>
      </c>
      <c r="F1008" s="3308">
        <v>4</v>
      </c>
      <c r="G1008" s="3308">
        <v>1</v>
      </c>
      <c r="H1008" s="3308">
        <v>1</v>
      </c>
      <c r="I1008" s="3309" t="s">
        <v>3348</v>
      </c>
      <c r="J1008" s="3307" t="s">
        <v>3345</v>
      </c>
      <c r="K1008" s="3401">
        <v>122.37</v>
      </c>
      <c r="L1008" s="3402">
        <v>92.96</v>
      </c>
      <c r="M1008" s="3402">
        <v>3.53</v>
      </c>
      <c r="N1008" s="3308"/>
      <c r="O1008" s="3490"/>
      <c r="P1008" s="3490"/>
      <c r="Q1008" s="3490"/>
      <c r="R1008" s="3308"/>
      <c r="S1008" s="3308"/>
      <c r="T1008" s="3239" t="str">
        <f t="shared" si="23"/>
        <v>有</v>
      </c>
    </row>
    <row r="1009" spans="1:20">
      <c r="A1009" s="3391">
        <v>1007</v>
      </c>
      <c r="B1009" s="3391">
        <v>6</v>
      </c>
      <c r="C1009" s="3391">
        <v>1</v>
      </c>
      <c r="D1009" s="3408">
        <v>401</v>
      </c>
      <c r="E1009" s="3307">
        <v>401</v>
      </c>
      <c r="F1009" s="3308">
        <v>4</v>
      </c>
      <c r="G1009" s="3308">
        <v>1</v>
      </c>
      <c r="H1009" s="3308">
        <v>1</v>
      </c>
      <c r="I1009" s="3309" t="s">
        <v>3344</v>
      </c>
      <c r="J1009" s="3307" t="s">
        <v>3345</v>
      </c>
      <c r="K1009" s="3401">
        <v>122.37</v>
      </c>
      <c r="L1009" s="3402">
        <v>92.96</v>
      </c>
      <c r="M1009" s="3402">
        <v>3.53</v>
      </c>
      <c r="N1009" s="3308"/>
      <c r="O1009" s="3490">
        <v>2.9</v>
      </c>
      <c r="P1009" s="3544" t="s">
        <v>3297</v>
      </c>
      <c r="Q1009" s="3544" t="s">
        <v>3298</v>
      </c>
      <c r="R1009" s="3308"/>
      <c r="S1009" s="3308"/>
      <c r="T1009" s="3239" t="str">
        <f t="shared" si="23"/>
        <v>有</v>
      </c>
    </row>
    <row r="1010" spans="1:20">
      <c r="A1010" s="3391">
        <v>1008</v>
      </c>
      <c r="B1010" s="3391">
        <v>6</v>
      </c>
      <c r="C1010" s="3391">
        <v>1</v>
      </c>
      <c r="D1010" s="3408">
        <v>402</v>
      </c>
      <c r="E1010" s="3307">
        <v>402</v>
      </c>
      <c r="F1010" s="3308">
        <v>3</v>
      </c>
      <c r="G1010" s="3308">
        <v>1</v>
      </c>
      <c r="H1010" s="3308">
        <v>1</v>
      </c>
      <c r="I1010" s="3309" t="s">
        <v>3346</v>
      </c>
      <c r="J1010" s="3307" t="s">
        <v>3347</v>
      </c>
      <c r="K1010" s="3401">
        <v>99.68</v>
      </c>
      <c r="L1010" s="3402">
        <v>75.72</v>
      </c>
      <c r="M1010" s="3402">
        <v>3.96</v>
      </c>
      <c r="N1010" s="3308"/>
      <c r="O1010" s="3490"/>
      <c r="P1010" s="3490"/>
      <c r="Q1010" s="3490"/>
      <c r="R1010" s="3308"/>
      <c r="S1010" s="3308"/>
      <c r="T1010" s="3239" t="str">
        <f t="shared" si="23"/>
        <v>有</v>
      </c>
    </row>
    <row r="1011" spans="1:20">
      <c r="A1011" s="3391">
        <v>1009</v>
      </c>
      <c r="B1011" s="3391">
        <v>6</v>
      </c>
      <c r="C1011" s="3391">
        <v>1</v>
      </c>
      <c r="D1011" s="3408">
        <v>403</v>
      </c>
      <c r="E1011" s="3307">
        <v>403</v>
      </c>
      <c r="F1011" s="3308">
        <v>3</v>
      </c>
      <c r="G1011" s="3308">
        <v>1</v>
      </c>
      <c r="H1011" s="3308">
        <v>1</v>
      </c>
      <c r="I1011" s="3309" t="s">
        <v>3346</v>
      </c>
      <c r="J1011" s="3307" t="s">
        <v>3347</v>
      </c>
      <c r="K1011" s="3401">
        <v>99.68</v>
      </c>
      <c r="L1011" s="3402">
        <v>75.72</v>
      </c>
      <c r="M1011" s="3402">
        <v>3.96</v>
      </c>
      <c r="N1011" s="3308"/>
      <c r="O1011" s="3490"/>
      <c r="P1011" s="3490"/>
      <c r="Q1011" s="3490"/>
      <c r="R1011" s="3308"/>
      <c r="S1011" s="3308"/>
      <c r="T1011" s="3239" t="str">
        <f t="shared" si="23"/>
        <v>有</v>
      </c>
    </row>
    <row r="1012" spans="1:20">
      <c r="A1012" s="3391">
        <v>1010</v>
      </c>
      <c r="B1012" s="3391">
        <v>6</v>
      </c>
      <c r="C1012" s="3391">
        <v>1</v>
      </c>
      <c r="D1012" s="3408">
        <v>404</v>
      </c>
      <c r="E1012" s="3307">
        <v>404</v>
      </c>
      <c r="F1012" s="3308">
        <v>3</v>
      </c>
      <c r="G1012" s="3308">
        <v>1</v>
      </c>
      <c r="H1012" s="3308">
        <v>1</v>
      </c>
      <c r="I1012" s="3309" t="s">
        <v>3348</v>
      </c>
      <c r="J1012" s="3307" t="s">
        <v>3349</v>
      </c>
      <c r="K1012" s="3401">
        <v>94.62</v>
      </c>
      <c r="L1012" s="3402">
        <v>71.88</v>
      </c>
      <c r="M1012" s="3402">
        <v>6.47</v>
      </c>
      <c r="N1012" s="3308"/>
      <c r="O1012" s="3490"/>
      <c r="P1012" s="3490"/>
      <c r="Q1012" s="3490"/>
      <c r="R1012" s="3308"/>
      <c r="S1012" s="3308"/>
      <c r="T1012" s="3239" t="str">
        <f t="shared" si="23"/>
        <v>有</v>
      </c>
    </row>
    <row r="1013" spans="1:20">
      <c r="A1013" s="3391">
        <v>1011</v>
      </c>
      <c r="B1013" s="3391">
        <v>6</v>
      </c>
      <c r="C1013" s="3391">
        <v>2</v>
      </c>
      <c r="D1013" s="3408">
        <v>405</v>
      </c>
      <c r="E1013" s="3307">
        <v>401</v>
      </c>
      <c r="F1013" s="3308">
        <v>3</v>
      </c>
      <c r="G1013" s="3308">
        <v>1</v>
      </c>
      <c r="H1013" s="3308">
        <v>1</v>
      </c>
      <c r="I1013" s="3309" t="s">
        <v>3344</v>
      </c>
      <c r="J1013" s="3307" t="s">
        <v>3349</v>
      </c>
      <c r="K1013" s="3401">
        <v>94.62</v>
      </c>
      <c r="L1013" s="3402">
        <v>71.88</v>
      </c>
      <c r="M1013" s="3402">
        <v>6.47</v>
      </c>
      <c r="N1013" s="3308"/>
      <c r="O1013" s="3490"/>
      <c r="P1013" s="3490"/>
      <c r="Q1013" s="3490"/>
      <c r="R1013" s="3308"/>
      <c r="S1013" s="3308"/>
      <c r="T1013" s="3239" t="str">
        <f t="shared" si="23"/>
        <v>有</v>
      </c>
    </row>
    <row r="1014" spans="1:20">
      <c r="A1014" s="3391">
        <v>1012</v>
      </c>
      <c r="B1014" s="3391">
        <v>6</v>
      </c>
      <c r="C1014" s="3391">
        <v>2</v>
      </c>
      <c r="D1014" s="3408">
        <v>406</v>
      </c>
      <c r="E1014" s="3307">
        <v>402</v>
      </c>
      <c r="F1014" s="3308">
        <v>3</v>
      </c>
      <c r="G1014" s="3308">
        <v>1</v>
      </c>
      <c r="H1014" s="3308">
        <v>1</v>
      </c>
      <c r="I1014" s="3309" t="s">
        <v>3346</v>
      </c>
      <c r="J1014" s="3307" t="s">
        <v>3347</v>
      </c>
      <c r="K1014" s="3401">
        <v>99.68</v>
      </c>
      <c r="L1014" s="3402">
        <v>75.72</v>
      </c>
      <c r="M1014" s="3402">
        <v>3.96</v>
      </c>
      <c r="N1014" s="3308"/>
      <c r="O1014" s="3490"/>
      <c r="P1014" s="3490"/>
      <c r="Q1014" s="3490"/>
      <c r="R1014" s="3308"/>
      <c r="S1014" s="3308"/>
      <c r="T1014" s="3239" t="str">
        <f t="shared" si="23"/>
        <v>有</v>
      </c>
    </row>
    <row r="1015" spans="1:20">
      <c r="A1015" s="3391">
        <v>1013</v>
      </c>
      <c r="B1015" s="3391">
        <v>6</v>
      </c>
      <c r="C1015" s="3391">
        <v>2</v>
      </c>
      <c r="D1015" s="3408">
        <v>407</v>
      </c>
      <c r="E1015" s="3307">
        <v>403</v>
      </c>
      <c r="F1015" s="3308">
        <v>3</v>
      </c>
      <c r="G1015" s="3308">
        <v>1</v>
      </c>
      <c r="H1015" s="3308">
        <v>1</v>
      </c>
      <c r="I1015" s="3309" t="s">
        <v>3346</v>
      </c>
      <c r="J1015" s="3307" t="s">
        <v>3347</v>
      </c>
      <c r="K1015" s="3401">
        <v>99.68</v>
      </c>
      <c r="L1015" s="3402">
        <v>75.72</v>
      </c>
      <c r="M1015" s="3402">
        <v>3.96</v>
      </c>
      <c r="N1015" s="3308"/>
      <c r="O1015" s="3490"/>
      <c r="P1015" s="3490"/>
      <c r="Q1015" s="3490"/>
      <c r="R1015" s="3308"/>
      <c r="S1015" s="3308"/>
      <c r="T1015" s="3239" t="str">
        <f t="shared" si="23"/>
        <v>有</v>
      </c>
    </row>
    <row r="1016" spans="1:20">
      <c r="A1016" s="3391">
        <v>1014</v>
      </c>
      <c r="B1016" s="3391">
        <v>6</v>
      </c>
      <c r="C1016" s="3391">
        <v>2</v>
      </c>
      <c r="D1016" s="3408">
        <v>408</v>
      </c>
      <c r="E1016" s="3307">
        <v>404</v>
      </c>
      <c r="F1016" s="3308">
        <v>4</v>
      </c>
      <c r="G1016" s="3308">
        <v>1</v>
      </c>
      <c r="H1016" s="3308">
        <v>1</v>
      </c>
      <c r="I1016" s="3309" t="s">
        <v>3348</v>
      </c>
      <c r="J1016" s="3307" t="s">
        <v>3345</v>
      </c>
      <c r="K1016" s="3401">
        <v>122.37</v>
      </c>
      <c r="L1016" s="3402">
        <v>92.96</v>
      </c>
      <c r="M1016" s="3402">
        <v>3.53</v>
      </c>
      <c r="N1016" s="3308"/>
      <c r="O1016" s="3490"/>
      <c r="P1016" s="3490"/>
      <c r="Q1016" s="3490"/>
      <c r="R1016" s="3308"/>
      <c r="S1016" s="3308"/>
      <c r="T1016" s="3239" t="str">
        <f t="shared" si="23"/>
        <v>有</v>
      </c>
    </row>
    <row r="1017" spans="1:20">
      <c r="A1017" s="3391">
        <v>1015</v>
      </c>
      <c r="B1017" s="3391">
        <v>6</v>
      </c>
      <c r="C1017" s="3391">
        <v>1</v>
      </c>
      <c r="D1017" s="3408">
        <v>501</v>
      </c>
      <c r="E1017" s="3307">
        <v>501</v>
      </c>
      <c r="F1017" s="3308">
        <v>4</v>
      </c>
      <c r="G1017" s="3308">
        <v>1</v>
      </c>
      <c r="H1017" s="3308">
        <v>1</v>
      </c>
      <c r="I1017" s="3309" t="s">
        <v>3344</v>
      </c>
      <c r="J1017" s="3307" t="s">
        <v>3345</v>
      </c>
      <c r="K1017" s="3401">
        <v>122.37</v>
      </c>
      <c r="L1017" s="3402">
        <v>92.96</v>
      </c>
      <c r="M1017" s="3402">
        <v>3.53</v>
      </c>
      <c r="N1017" s="3308"/>
      <c r="O1017" s="3490">
        <v>2.9</v>
      </c>
      <c r="P1017" s="3544" t="s">
        <v>3297</v>
      </c>
      <c r="Q1017" s="3544" t="s">
        <v>3298</v>
      </c>
      <c r="R1017" s="3308"/>
      <c r="S1017" s="3308"/>
      <c r="T1017" s="3239" t="str">
        <f t="shared" ref="T1017:T1072" si="24">IF(OR(J1017="无障碍宿舍",J1017="无障碍宿舍-01",J1017="无障碍宿舍-02",J1017=40,J1017="40平-01",J1017="40平-02",J1017="40平-03",J1017="40平-04",J1017="D2"),"无","有")</f>
        <v>有</v>
      </c>
    </row>
    <row r="1018" spans="1:20">
      <c r="A1018" s="3391">
        <v>1016</v>
      </c>
      <c r="B1018" s="3391">
        <v>6</v>
      </c>
      <c r="C1018" s="3391">
        <v>1</v>
      </c>
      <c r="D1018" s="3408">
        <v>502</v>
      </c>
      <c r="E1018" s="3307">
        <v>502</v>
      </c>
      <c r="F1018" s="3308">
        <v>3</v>
      </c>
      <c r="G1018" s="3308">
        <v>1</v>
      </c>
      <c r="H1018" s="3308">
        <v>1</v>
      </c>
      <c r="I1018" s="3309" t="s">
        <v>3346</v>
      </c>
      <c r="J1018" s="3307" t="s">
        <v>3347</v>
      </c>
      <c r="K1018" s="3401">
        <v>99.68</v>
      </c>
      <c r="L1018" s="3402">
        <v>75.72</v>
      </c>
      <c r="M1018" s="3402">
        <v>3.96</v>
      </c>
      <c r="N1018" s="3308"/>
      <c r="O1018" s="3490"/>
      <c r="P1018" s="3490"/>
      <c r="Q1018" s="3490"/>
      <c r="R1018" s="3308"/>
      <c r="S1018" s="3308"/>
      <c r="T1018" s="3239" t="str">
        <f t="shared" si="24"/>
        <v>有</v>
      </c>
    </row>
    <row r="1019" spans="1:20">
      <c r="A1019" s="3391">
        <v>1017</v>
      </c>
      <c r="B1019" s="3391">
        <v>6</v>
      </c>
      <c r="C1019" s="3391">
        <v>1</v>
      </c>
      <c r="D1019" s="3408">
        <v>503</v>
      </c>
      <c r="E1019" s="3307">
        <v>503</v>
      </c>
      <c r="F1019" s="3308">
        <v>3</v>
      </c>
      <c r="G1019" s="3308">
        <v>1</v>
      </c>
      <c r="H1019" s="3308">
        <v>1</v>
      </c>
      <c r="I1019" s="3309" t="s">
        <v>3346</v>
      </c>
      <c r="J1019" s="3307" t="s">
        <v>3347</v>
      </c>
      <c r="K1019" s="3401">
        <v>99.68</v>
      </c>
      <c r="L1019" s="3402">
        <v>75.72</v>
      </c>
      <c r="M1019" s="3402">
        <v>3.96</v>
      </c>
      <c r="N1019" s="3308"/>
      <c r="O1019" s="3490"/>
      <c r="P1019" s="3490"/>
      <c r="Q1019" s="3490"/>
      <c r="R1019" s="3308"/>
      <c r="S1019" s="3308"/>
      <c r="T1019" s="3239" t="str">
        <f t="shared" si="24"/>
        <v>有</v>
      </c>
    </row>
    <row r="1020" spans="1:20">
      <c r="A1020" s="3391">
        <v>1018</v>
      </c>
      <c r="B1020" s="3391">
        <v>6</v>
      </c>
      <c r="C1020" s="3391">
        <v>1</v>
      </c>
      <c r="D1020" s="3408">
        <v>504</v>
      </c>
      <c r="E1020" s="3307">
        <v>504</v>
      </c>
      <c r="F1020" s="3308">
        <v>3</v>
      </c>
      <c r="G1020" s="3308">
        <v>1</v>
      </c>
      <c r="H1020" s="3308">
        <v>1</v>
      </c>
      <c r="I1020" s="3309" t="s">
        <v>3348</v>
      </c>
      <c r="J1020" s="3307" t="s">
        <v>3349</v>
      </c>
      <c r="K1020" s="3401">
        <v>94.62</v>
      </c>
      <c r="L1020" s="3402">
        <v>71.88</v>
      </c>
      <c r="M1020" s="3402">
        <v>6.47</v>
      </c>
      <c r="N1020" s="3308"/>
      <c r="O1020" s="3490"/>
      <c r="P1020" s="3490"/>
      <c r="Q1020" s="3490"/>
      <c r="R1020" s="3308"/>
      <c r="S1020" s="3308"/>
      <c r="T1020" s="3239" t="str">
        <f t="shared" si="24"/>
        <v>有</v>
      </c>
    </row>
    <row r="1021" spans="1:20">
      <c r="A1021" s="3391">
        <v>1019</v>
      </c>
      <c r="B1021" s="3391">
        <v>6</v>
      </c>
      <c r="C1021" s="3391">
        <v>2</v>
      </c>
      <c r="D1021" s="3408">
        <v>505</v>
      </c>
      <c r="E1021" s="3307">
        <v>501</v>
      </c>
      <c r="F1021" s="3308">
        <v>3</v>
      </c>
      <c r="G1021" s="3308">
        <v>1</v>
      </c>
      <c r="H1021" s="3308">
        <v>1</v>
      </c>
      <c r="I1021" s="3309" t="s">
        <v>3344</v>
      </c>
      <c r="J1021" s="3307" t="s">
        <v>3349</v>
      </c>
      <c r="K1021" s="3401">
        <v>94.62</v>
      </c>
      <c r="L1021" s="3402">
        <v>71.88</v>
      </c>
      <c r="M1021" s="3409">
        <v>6.47</v>
      </c>
      <c r="N1021" s="3308"/>
      <c r="O1021" s="3490"/>
      <c r="P1021" s="3490"/>
      <c r="Q1021" s="3490"/>
      <c r="R1021" s="3308"/>
      <c r="S1021" s="3308"/>
      <c r="T1021" s="3239" t="str">
        <f t="shared" si="24"/>
        <v>有</v>
      </c>
    </row>
    <row r="1022" spans="1:20">
      <c r="A1022" s="3391">
        <v>1020</v>
      </c>
      <c r="B1022" s="3391">
        <v>6</v>
      </c>
      <c r="C1022" s="3391">
        <v>2</v>
      </c>
      <c r="D1022" s="3408">
        <v>506</v>
      </c>
      <c r="E1022" s="3307">
        <v>502</v>
      </c>
      <c r="F1022" s="3308">
        <v>3</v>
      </c>
      <c r="G1022" s="3308">
        <v>1</v>
      </c>
      <c r="H1022" s="3308">
        <v>1</v>
      </c>
      <c r="I1022" s="3309" t="s">
        <v>3346</v>
      </c>
      <c r="J1022" s="3307" t="s">
        <v>3347</v>
      </c>
      <c r="K1022" s="3401">
        <v>99.68</v>
      </c>
      <c r="L1022" s="3402">
        <v>75.72</v>
      </c>
      <c r="M1022" s="3409">
        <v>3.96</v>
      </c>
      <c r="N1022" s="3308"/>
      <c r="O1022" s="3490"/>
      <c r="P1022" s="3490"/>
      <c r="Q1022" s="3490"/>
      <c r="R1022" s="3308"/>
      <c r="S1022" s="3308"/>
      <c r="T1022" s="3239" t="str">
        <f t="shared" si="24"/>
        <v>有</v>
      </c>
    </row>
    <row r="1023" spans="1:20">
      <c r="A1023" s="3391">
        <v>1021</v>
      </c>
      <c r="B1023" s="3391">
        <v>6</v>
      </c>
      <c r="C1023" s="3391">
        <v>2</v>
      </c>
      <c r="D1023" s="3408">
        <v>507</v>
      </c>
      <c r="E1023" s="3307">
        <v>503</v>
      </c>
      <c r="F1023" s="3308">
        <v>3</v>
      </c>
      <c r="G1023" s="3308">
        <v>1</v>
      </c>
      <c r="H1023" s="3308">
        <v>1</v>
      </c>
      <c r="I1023" s="3309" t="s">
        <v>3346</v>
      </c>
      <c r="J1023" s="3307" t="s">
        <v>3347</v>
      </c>
      <c r="K1023" s="3401">
        <v>99.68</v>
      </c>
      <c r="L1023" s="3402">
        <v>75.72</v>
      </c>
      <c r="M1023" s="3402">
        <v>3.96</v>
      </c>
      <c r="N1023" s="3308"/>
      <c r="O1023" s="3490"/>
      <c r="P1023" s="3490"/>
      <c r="Q1023" s="3490"/>
      <c r="R1023" s="3308"/>
      <c r="S1023" s="3308"/>
      <c r="T1023" s="3239" t="str">
        <f t="shared" si="24"/>
        <v>有</v>
      </c>
    </row>
    <row r="1024" spans="1:20">
      <c r="A1024" s="3391">
        <v>1022</v>
      </c>
      <c r="B1024" s="3391">
        <v>6</v>
      </c>
      <c r="C1024" s="3391">
        <v>2</v>
      </c>
      <c r="D1024" s="3408">
        <v>508</v>
      </c>
      <c r="E1024" s="3307">
        <v>504</v>
      </c>
      <c r="F1024" s="3308">
        <v>4</v>
      </c>
      <c r="G1024" s="3308">
        <v>1</v>
      </c>
      <c r="H1024" s="3308">
        <v>1</v>
      </c>
      <c r="I1024" s="3309" t="s">
        <v>3348</v>
      </c>
      <c r="J1024" s="3307" t="s">
        <v>3345</v>
      </c>
      <c r="K1024" s="3401">
        <v>122.37</v>
      </c>
      <c r="L1024" s="3402">
        <v>92.96</v>
      </c>
      <c r="M1024" s="3402">
        <v>3.53</v>
      </c>
      <c r="N1024" s="3308"/>
      <c r="O1024" s="3490"/>
      <c r="P1024" s="3490"/>
      <c r="Q1024" s="3490"/>
      <c r="R1024" s="3308"/>
      <c r="S1024" s="3308"/>
      <c r="T1024" s="3239" t="str">
        <f t="shared" si="24"/>
        <v>有</v>
      </c>
    </row>
    <row r="1025" spans="1:20">
      <c r="A1025" s="3391">
        <v>1023</v>
      </c>
      <c r="B1025" s="3391">
        <v>6</v>
      </c>
      <c r="C1025" s="3391">
        <v>1</v>
      </c>
      <c r="D1025" s="3408">
        <v>601</v>
      </c>
      <c r="E1025" s="3307">
        <v>601</v>
      </c>
      <c r="F1025" s="3308">
        <v>4</v>
      </c>
      <c r="G1025" s="3308">
        <v>1</v>
      </c>
      <c r="H1025" s="3308">
        <v>1</v>
      </c>
      <c r="I1025" s="3309" t="s">
        <v>3344</v>
      </c>
      <c r="J1025" s="3307" t="s">
        <v>3345</v>
      </c>
      <c r="K1025" s="3401">
        <v>122.37</v>
      </c>
      <c r="L1025" s="3402">
        <v>92.96</v>
      </c>
      <c r="M1025" s="3402">
        <v>3.53</v>
      </c>
      <c r="N1025" s="3308"/>
      <c r="O1025" s="3490">
        <v>2.9</v>
      </c>
      <c r="P1025" s="3544" t="s">
        <v>3297</v>
      </c>
      <c r="Q1025" s="3544" t="s">
        <v>3298</v>
      </c>
      <c r="R1025" s="3308"/>
      <c r="S1025" s="3308"/>
      <c r="T1025" s="3239" t="str">
        <f t="shared" si="24"/>
        <v>有</v>
      </c>
    </row>
    <row r="1026" spans="1:20">
      <c r="A1026" s="3391">
        <v>1024</v>
      </c>
      <c r="B1026" s="3391">
        <v>6</v>
      </c>
      <c r="C1026" s="3391">
        <v>1</v>
      </c>
      <c r="D1026" s="3408">
        <v>602</v>
      </c>
      <c r="E1026" s="3307">
        <v>602</v>
      </c>
      <c r="F1026" s="3308">
        <v>3</v>
      </c>
      <c r="G1026" s="3308">
        <v>1</v>
      </c>
      <c r="H1026" s="3308">
        <v>1</v>
      </c>
      <c r="I1026" s="3309" t="s">
        <v>3346</v>
      </c>
      <c r="J1026" s="3307" t="s">
        <v>3347</v>
      </c>
      <c r="K1026" s="3401">
        <v>99.68</v>
      </c>
      <c r="L1026" s="3402">
        <v>75.72</v>
      </c>
      <c r="M1026" s="3402">
        <v>3.96</v>
      </c>
      <c r="N1026" s="3308"/>
      <c r="O1026" s="3490"/>
      <c r="P1026" s="3490"/>
      <c r="Q1026" s="3490"/>
      <c r="R1026" s="3308"/>
      <c r="S1026" s="3308"/>
      <c r="T1026" s="3239" t="str">
        <f t="shared" si="24"/>
        <v>有</v>
      </c>
    </row>
    <row r="1027" spans="1:20">
      <c r="A1027" s="3391">
        <v>1025</v>
      </c>
      <c r="B1027" s="3391">
        <v>6</v>
      </c>
      <c r="C1027" s="3391">
        <v>1</v>
      </c>
      <c r="D1027" s="3408">
        <v>603</v>
      </c>
      <c r="E1027" s="3307">
        <v>603</v>
      </c>
      <c r="F1027" s="3308">
        <v>3</v>
      </c>
      <c r="G1027" s="3308">
        <v>1</v>
      </c>
      <c r="H1027" s="3308">
        <v>1</v>
      </c>
      <c r="I1027" s="3309" t="s">
        <v>3346</v>
      </c>
      <c r="J1027" s="3307" t="s">
        <v>3347</v>
      </c>
      <c r="K1027" s="3401">
        <v>99.68</v>
      </c>
      <c r="L1027" s="3402">
        <v>75.72</v>
      </c>
      <c r="M1027" s="3402">
        <v>3.96</v>
      </c>
      <c r="N1027" s="3308"/>
      <c r="O1027" s="3490"/>
      <c r="P1027" s="3490"/>
      <c r="Q1027" s="3490"/>
      <c r="R1027" s="3308"/>
      <c r="S1027" s="3308"/>
      <c r="T1027" s="3239" t="str">
        <f t="shared" si="24"/>
        <v>有</v>
      </c>
    </row>
    <row r="1028" spans="1:20">
      <c r="A1028" s="3391">
        <v>1026</v>
      </c>
      <c r="B1028" s="3391">
        <v>6</v>
      </c>
      <c r="C1028" s="3391">
        <v>1</v>
      </c>
      <c r="D1028" s="3408">
        <v>604</v>
      </c>
      <c r="E1028" s="3307">
        <v>604</v>
      </c>
      <c r="F1028" s="3308">
        <v>3</v>
      </c>
      <c r="G1028" s="3308">
        <v>1</v>
      </c>
      <c r="H1028" s="3308">
        <v>1</v>
      </c>
      <c r="I1028" s="3309" t="s">
        <v>3348</v>
      </c>
      <c r="J1028" s="3307" t="s">
        <v>3349</v>
      </c>
      <c r="K1028" s="3401">
        <v>94.62</v>
      </c>
      <c r="L1028" s="3402">
        <v>71.88</v>
      </c>
      <c r="M1028" s="3402">
        <v>6.47</v>
      </c>
      <c r="N1028" s="3308"/>
      <c r="O1028" s="3490"/>
      <c r="P1028" s="3490"/>
      <c r="Q1028" s="3490"/>
      <c r="R1028" s="3308"/>
      <c r="S1028" s="3308"/>
      <c r="T1028" s="3239" t="str">
        <f t="shared" si="24"/>
        <v>有</v>
      </c>
    </row>
    <row r="1029" spans="1:20">
      <c r="A1029" s="3391">
        <v>1027</v>
      </c>
      <c r="B1029" s="3391">
        <v>6</v>
      </c>
      <c r="C1029" s="3391">
        <v>2</v>
      </c>
      <c r="D1029" s="3408">
        <v>605</v>
      </c>
      <c r="E1029" s="3307">
        <v>601</v>
      </c>
      <c r="F1029" s="3308">
        <v>3</v>
      </c>
      <c r="G1029" s="3308">
        <v>1</v>
      </c>
      <c r="H1029" s="3308">
        <v>1</v>
      </c>
      <c r="I1029" s="3309" t="s">
        <v>3344</v>
      </c>
      <c r="J1029" s="3307" t="s">
        <v>3349</v>
      </c>
      <c r="K1029" s="3401">
        <v>94.62</v>
      </c>
      <c r="L1029" s="3402">
        <v>71.88</v>
      </c>
      <c r="M1029" s="3402">
        <v>6.47</v>
      </c>
      <c r="N1029" s="3308"/>
      <c r="O1029" s="3490"/>
      <c r="P1029" s="3490"/>
      <c r="Q1029" s="3490"/>
      <c r="R1029" s="3308"/>
      <c r="S1029" s="3308"/>
      <c r="T1029" s="3239" t="str">
        <f t="shared" si="24"/>
        <v>有</v>
      </c>
    </row>
    <row r="1030" spans="1:20">
      <c r="A1030" s="3391">
        <v>1028</v>
      </c>
      <c r="B1030" s="3391">
        <v>6</v>
      </c>
      <c r="C1030" s="3391">
        <v>2</v>
      </c>
      <c r="D1030" s="3408">
        <v>606</v>
      </c>
      <c r="E1030" s="3307">
        <v>602</v>
      </c>
      <c r="F1030" s="3308">
        <v>3</v>
      </c>
      <c r="G1030" s="3308">
        <v>1</v>
      </c>
      <c r="H1030" s="3308">
        <v>1</v>
      </c>
      <c r="I1030" s="3309" t="s">
        <v>3346</v>
      </c>
      <c r="J1030" s="3307" t="s">
        <v>3347</v>
      </c>
      <c r="K1030" s="3401">
        <v>99.68</v>
      </c>
      <c r="L1030" s="3402">
        <v>75.72</v>
      </c>
      <c r="M1030" s="3402">
        <v>3.96</v>
      </c>
      <c r="N1030" s="3308"/>
      <c r="O1030" s="3490"/>
      <c r="P1030" s="3490"/>
      <c r="Q1030" s="3490"/>
      <c r="R1030" s="3308"/>
      <c r="S1030" s="3308"/>
      <c r="T1030" s="3239" t="str">
        <f t="shared" si="24"/>
        <v>有</v>
      </c>
    </row>
    <row r="1031" spans="1:20">
      <c r="A1031" s="3391">
        <v>1029</v>
      </c>
      <c r="B1031" s="3391">
        <v>6</v>
      </c>
      <c r="C1031" s="3391">
        <v>2</v>
      </c>
      <c r="D1031" s="3408">
        <v>607</v>
      </c>
      <c r="E1031" s="3307">
        <v>603</v>
      </c>
      <c r="F1031" s="3308">
        <v>3</v>
      </c>
      <c r="G1031" s="3308">
        <v>1</v>
      </c>
      <c r="H1031" s="3308">
        <v>1</v>
      </c>
      <c r="I1031" s="3309" t="s">
        <v>3346</v>
      </c>
      <c r="J1031" s="3307" t="s">
        <v>3347</v>
      </c>
      <c r="K1031" s="3401">
        <v>99.68</v>
      </c>
      <c r="L1031" s="3402">
        <v>75.72</v>
      </c>
      <c r="M1031" s="3402">
        <v>3.96</v>
      </c>
      <c r="N1031" s="3308"/>
      <c r="O1031" s="3490"/>
      <c r="P1031" s="3490"/>
      <c r="Q1031" s="3490"/>
      <c r="R1031" s="3308"/>
      <c r="S1031" s="3308"/>
      <c r="T1031" s="3239" t="str">
        <f t="shared" si="24"/>
        <v>有</v>
      </c>
    </row>
    <row r="1032" spans="1:20">
      <c r="A1032" s="3391">
        <v>1030</v>
      </c>
      <c r="B1032" s="3391">
        <v>6</v>
      </c>
      <c r="C1032" s="3391">
        <v>2</v>
      </c>
      <c r="D1032" s="3408">
        <v>608</v>
      </c>
      <c r="E1032" s="3307">
        <v>604</v>
      </c>
      <c r="F1032" s="3308">
        <v>4</v>
      </c>
      <c r="G1032" s="3308">
        <v>1</v>
      </c>
      <c r="H1032" s="3308">
        <v>1</v>
      </c>
      <c r="I1032" s="3309" t="s">
        <v>3348</v>
      </c>
      <c r="J1032" s="3307" t="s">
        <v>3345</v>
      </c>
      <c r="K1032" s="3401">
        <v>122.37</v>
      </c>
      <c r="L1032" s="3402">
        <v>92.96</v>
      </c>
      <c r="M1032" s="3402">
        <v>3.53</v>
      </c>
      <c r="N1032" s="3308"/>
      <c r="O1032" s="3490"/>
      <c r="P1032" s="3490"/>
      <c r="Q1032" s="3490"/>
      <c r="R1032" s="3308"/>
      <c r="S1032" s="3308"/>
      <c r="T1032" s="3239" t="str">
        <f t="shared" si="24"/>
        <v>有</v>
      </c>
    </row>
    <row r="1033" spans="1:20">
      <c r="A1033" s="3391">
        <v>1031</v>
      </c>
      <c r="B1033" s="3391">
        <v>6</v>
      </c>
      <c r="C1033" s="3391">
        <v>1</v>
      </c>
      <c r="D1033" s="3408">
        <v>701</v>
      </c>
      <c r="E1033" s="3307">
        <v>701</v>
      </c>
      <c r="F1033" s="3308">
        <v>4</v>
      </c>
      <c r="G1033" s="3308">
        <v>1</v>
      </c>
      <c r="H1033" s="3308">
        <v>1</v>
      </c>
      <c r="I1033" s="3309" t="s">
        <v>3344</v>
      </c>
      <c r="J1033" s="3307" t="s">
        <v>3345</v>
      </c>
      <c r="K1033" s="3401">
        <v>122.37</v>
      </c>
      <c r="L1033" s="3402">
        <v>92.96</v>
      </c>
      <c r="M1033" s="3402">
        <v>3.53</v>
      </c>
      <c r="N1033" s="3308"/>
      <c r="O1033" s="3490">
        <v>2.9</v>
      </c>
      <c r="P1033" s="3544" t="s">
        <v>3297</v>
      </c>
      <c r="Q1033" s="3544" t="s">
        <v>3298</v>
      </c>
      <c r="R1033" s="3308"/>
      <c r="S1033" s="3308"/>
      <c r="T1033" s="3239" t="str">
        <f t="shared" si="24"/>
        <v>有</v>
      </c>
    </row>
    <row r="1034" spans="1:20">
      <c r="A1034" s="3391">
        <v>1032</v>
      </c>
      <c r="B1034" s="3391">
        <v>6</v>
      </c>
      <c r="C1034" s="3391">
        <v>1</v>
      </c>
      <c r="D1034" s="3408">
        <v>702</v>
      </c>
      <c r="E1034" s="3307">
        <v>702</v>
      </c>
      <c r="F1034" s="3308">
        <v>3</v>
      </c>
      <c r="G1034" s="3308">
        <v>1</v>
      </c>
      <c r="H1034" s="3308">
        <v>1</v>
      </c>
      <c r="I1034" s="3309" t="s">
        <v>3346</v>
      </c>
      <c r="J1034" s="3307" t="s">
        <v>3347</v>
      </c>
      <c r="K1034" s="3401">
        <v>99.68</v>
      </c>
      <c r="L1034" s="3402">
        <v>75.72</v>
      </c>
      <c r="M1034" s="3402">
        <v>3.96</v>
      </c>
      <c r="N1034" s="3308"/>
      <c r="O1034" s="3490"/>
      <c r="P1034" s="3490"/>
      <c r="Q1034" s="3490"/>
      <c r="R1034" s="3308"/>
      <c r="S1034" s="3308"/>
      <c r="T1034" s="3239" t="str">
        <f t="shared" si="24"/>
        <v>有</v>
      </c>
    </row>
    <row r="1035" spans="1:20">
      <c r="A1035" s="3391">
        <v>1033</v>
      </c>
      <c r="B1035" s="3391">
        <v>6</v>
      </c>
      <c r="C1035" s="3391">
        <v>1</v>
      </c>
      <c r="D1035" s="3408">
        <v>703</v>
      </c>
      <c r="E1035" s="3307">
        <v>703</v>
      </c>
      <c r="F1035" s="3308">
        <v>3</v>
      </c>
      <c r="G1035" s="3308">
        <v>1</v>
      </c>
      <c r="H1035" s="3308">
        <v>1</v>
      </c>
      <c r="I1035" s="3309" t="s">
        <v>3346</v>
      </c>
      <c r="J1035" s="3307" t="s">
        <v>3347</v>
      </c>
      <c r="K1035" s="3401">
        <v>99.68</v>
      </c>
      <c r="L1035" s="3402">
        <v>75.72</v>
      </c>
      <c r="M1035" s="3402">
        <v>3.96</v>
      </c>
      <c r="N1035" s="3308"/>
      <c r="O1035" s="3490"/>
      <c r="P1035" s="3490"/>
      <c r="Q1035" s="3490"/>
      <c r="R1035" s="3308"/>
      <c r="S1035" s="3308"/>
      <c r="T1035" s="3239" t="str">
        <f t="shared" si="24"/>
        <v>有</v>
      </c>
    </row>
    <row r="1036" spans="1:20">
      <c r="A1036" s="3391">
        <v>1034</v>
      </c>
      <c r="B1036" s="3391">
        <v>6</v>
      </c>
      <c r="C1036" s="3391">
        <v>1</v>
      </c>
      <c r="D1036" s="3408">
        <v>704</v>
      </c>
      <c r="E1036" s="3307">
        <v>704</v>
      </c>
      <c r="F1036" s="3308">
        <v>3</v>
      </c>
      <c r="G1036" s="3308">
        <v>1</v>
      </c>
      <c r="H1036" s="3308">
        <v>1</v>
      </c>
      <c r="I1036" s="3309" t="s">
        <v>3348</v>
      </c>
      <c r="J1036" s="3307" t="s">
        <v>3349</v>
      </c>
      <c r="K1036" s="3401">
        <v>94.62</v>
      </c>
      <c r="L1036" s="3402">
        <v>71.88</v>
      </c>
      <c r="M1036" s="3402">
        <v>6.47</v>
      </c>
      <c r="N1036" s="3308"/>
      <c r="O1036" s="3490"/>
      <c r="P1036" s="3490"/>
      <c r="Q1036" s="3490"/>
      <c r="R1036" s="3308"/>
      <c r="S1036" s="3308"/>
      <c r="T1036" s="3239" t="str">
        <f t="shared" si="24"/>
        <v>有</v>
      </c>
    </row>
    <row r="1037" spans="1:20">
      <c r="A1037" s="3391">
        <v>1035</v>
      </c>
      <c r="B1037" s="3391">
        <v>6</v>
      </c>
      <c r="C1037" s="3391">
        <v>2</v>
      </c>
      <c r="D1037" s="3408">
        <v>705</v>
      </c>
      <c r="E1037" s="3307">
        <v>701</v>
      </c>
      <c r="F1037" s="3308">
        <v>3</v>
      </c>
      <c r="G1037" s="3308">
        <v>1</v>
      </c>
      <c r="H1037" s="3308">
        <v>1</v>
      </c>
      <c r="I1037" s="3309" t="s">
        <v>3344</v>
      </c>
      <c r="J1037" s="3307" t="s">
        <v>3349</v>
      </c>
      <c r="K1037" s="3401">
        <v>94.62</v>
      </c>
      <c r="L1037" s="3402">
        <v>71.88</v>
      </c>
      <c r="M1037" s="3402">
        <v>6.47</v>
      </c>
      <c r="N1037" s="3308"/>
      <c r="O1037" s="3490"/>
      <c r="P1037" s="3490"/>
      <c r="Q1037" s="3490"/>
      <c r="R1037" s="3308"/>
      <c r="S1037" s="3308"/>
      <c r="T1037" s="3239" t="str">
        <f t="shared" si="24"/>
        <v>有</v>
      </c>
    </row>
    <row r="1038" spans="1:20">
      <c r="A1038" s="3391">
        <v>1036</v>
      </c>
      <c r="B1038" s="3391">
        <v>6</v>
      </c>
      <c r="C1038" s="3391">
        <v>2</v>
      </c>
      <c r="D1038" s="3408">
        <v>706</v>
      </c>
      <c r="E1038" s="3307">
        <v>702</v>
      </c>
      <c r="F1038" s="3308">
        <v>3</v>
      </c>
      <c r="G1038" s="3308">
        <v>1</v>
      </c>
      <c r="H1038" s="3308">
        <v>1</v>
      </c>
      <c r="I1038" s="3309" t="s">
        <v>3346</v>
      </c>
      <c r="J1038" s="3307" t="s">
        <v>3347</v>
      </c>
      <c r="K1038" s="3401">
        <v>99.68</v>
      </c>
      <c r="L1038" s="3402">
        <v>75.72</v>
      </c>
      <c r="M1038" s="3402">
        <v>3.96</v>
      </c>
      <c r="N1038" s="3308"/>
      <c r="O1038" s="3490"/>
      <c r="P1038" s="3490"/>
      <c r="Q1038" s="3490"/>
      <c r="R1038" s="3308"/>
      <c r="S1038" s="3308"/>
      <c r="T1038" s="3239" t="str">
        <f t="shared" si="24"/>
        <v>有</v>
      </c>
    </row>
    <row r="1039" spans="1:20">
      <c r="A1039" s="3391">
        <v>1037</v>
      </c>
      <c r="B1039" s="3391">
        <v>6</v>
      </c>
      <c r="C1039" s="3391">
        <v>2</v>
      </c>
      <c r="D1039" s="3408">
        <v>707</v>
      </c>
      <c r="E1039" s="3307">
        <v>703</v>
      </c>
      <c r="F1039" s="3308">
        <v>3</v>
      </c>
      <c r="G1039" s="3308">
        <v>1</v>
      </c>
      <c r="H1039" s="3308">
        <v>1</v>
      </c>
      <c r="I1039" s="3309" t="s">
        <v>3346</v>
      </c>
      <c r="J1039" s="3307" t="s">
        <v>3347</v>
      </c>
      <c r="K1039" s="3401">
        <v>99.68</v>
      </c>
      <c r="L1039" s="3402">
        <v>75.72</v>
      </c>
      <c r="M1039" s="3402">
        <v>3.96</v>
      </c>
      <c r="N1039" s="3308"/>
      <c r="O1039" s="3490"/>
      <c r="P1039" s="3490"/>
      <c r="Q1039" s="3490"/>
      <c r="R1039" s="3308"/>
      <c r="S1039" s="3308"/>
      <c r="T1039" s="3239" t="str">
        <f t="shared" si="24"/>
        <v>有</v>
      </c>
    </row>
    <row r="1040" spans="1:20">
      <c r="A1040" s="3391">
        <v>1038</v>
      </c>
      <c r="B1040" s="3391">
        <v>6</v>
      </c>
      <c r="C1040" s="3391">
        <v>2</v>
      </c>
      <c r="D1040" s="3408">
        <v>708</v>
      </c>
      <c r="E1040" s="3307">
        <v>704</v>
      </c>
      <c r="F1040" s="3308">
        <v>4</v>
      </c>
      <c r="G1040" s="3308">
        <v>1</v>
      </c>
      <c r="H1040" s="3308">
        <v>1</v>
      </c>
      <c r="I1040" s="3309" t="s">
        <v>3348</v>
      </c>
      <c r="J1040" s="3307" t="s">
        <v>3345</v>
      </c>
      <c r="K1040" s="3401">
        <v>122.37</v>
      </c>
      <c r="L1040" s="3402">
        <v>92.96</v>
      </c>
      <c r="M1040" s="3402">
        <v>3.53</v>
      </c>
      <c r="N1040" s="3308"/>
      <c r="O1040" s="3490"/>
      <c r="P1040" s="3490"/>
      <c r="Q1040" s="3490"/>
      <c r="R1040" s="3308"/>
      <c r="S1040" s="3308"/>
      <c r="T1040" s="3239" t="str">
        <f t="shared" si="24"/>
        <v>有</v>
      </c>
    </row>
    <row r="1041" spans="1:20">
      <c r="A1041" s="3391">
        <v>1039</v>
      </c>
      <c r="B1041" s="3391">
        <v>6</v>
      </c>
      <c r="C1041" s="3391">
        <v>1</v>
      </c>
      <c r="D1041" s="3408">
        <v>801</v>
      </c>
      <c r="E1041" s="3307">
        <v>801</v>
      </c>
      <c r="F1041" s="3308">
        <v>4</v>
      </c>
      <c r="G1041" s="3308">
        <v>1</v>
      </c>
      <c r="H1041" s="3308">
        <v>1</v>
      </c>
      <c r="I1041" s="3309" t="s">
        <v>3344</v>
      </c>
      <c r="J1041" s="3307" t="s">
        <v>3345</v>
      </c>
      <c r="K1041" s="3401">
        <v>122.37</v>
      </c>
      <c r="L1041" s="3402">
        <v>92.96</v>
      </c>
      <c r="M1041" s="3402">
        <v>3.53</v>
      </c>
      <c r="N1041" s="3308"/>
      <c r="O1041" s="3490">
        <v>2.9</v>
      </c>
      <c r="P1041" s="3544" t="s">
        <v>3297</v>
      </c>
      <c r="Q1041" s="3544" t="s">
        <v>3298</v>
      </c>
      <c r="R1041" s="3308"/>
      <c r="S1041" s="3308"/>
      <c r="T1041" s="3239" t="str">
        <f t="shared" si="24"/>
        <v>有</v>
      </c>
    </row>
    <row r="1042" spans="1:20">
      <c r="A1042" s="3391">
        <v>1040</v>
      </c>
      <c r="B1042" s="3391">
        <v>6</v>
      </c>
      <c r="C1042" s="3391">
        <v>1</v>
      </c>
      <c r="D1042" s="3408">
        <v>802</v>
      </c>
      <c r="E1042" s="3307">
        <v>802</v>
      </c>
      <c r="F1042" s="3308">
        <v>3</v>
      </c>
      <c r="G1042" s="3308">
        <v>1</v>
      </c>
      <c r="H1042" s="3308">
        <v>1</v>
      </c>
      <c r="I1042" s="3309" t="s">
        <v>3346</v>
      </c>
      <c r="J1042" s="3307" t="s">
        <v>3347</v>
      </c>
      <c r="K1042" s="3401">
        <v>99.68</v>
      </c>
      <c r="L1042" s="3402">
        <v>75.72</v>
      </c>
      <c r="M1042" s="3402">
        <v>3.96</v>
      </c>
      <c r="N1042" s="3308"/>
      <c r="O1042" s="3490"/>
      <c r="P1042" s="3490"/>
      <c r="Q1042" s="3490"/>
      <c r="R1042" s="3308"/>
      <c r="S1042" s="3308"/>
      <c r="T1042" s="3239" t="str">
        <f t="shared" si="24"/>
        <v>有</v>
      </c>
    </row>
    <row r="1043" spans="1:20">
      <c r="A1043" s="3391">
        <v>1041</v>
      </c>
      <c r="B1043" s="3391">
        <v>6</v>
      </c>
      <c r="C1043" s="3391">
        <v>1</v>
      </c>
      <c r="D1043" s="3408">
        <v>803</v>
      </c>
      <c r="E1043" s="3307">
        <v>803</v>
      </c>
      <c r="F1043" s="3308">
        <v>3</v>
      </c>
      <c r="G1043" s="3308">
        <v>1</v>
      </c>
      <c r="H1043" s="3308">
        <v>1</v>
      </c>
      <c r="I1043" s="3309" t="s">
        <v>3346</v>
      </c>
      <c r="J1043" s="3307" t="s">
        <v>3347</v>
      </c>
      <c r="K1043" s="3401">
        <v>99.68</v>
      </c>
      <c r="L1043" s="3402">
        <v>75.72</v>
      </c>
      <c r="M1043" s="3409">
        <v>3.96</v>
      </c>
      <c r="N1043" s="3308"/>
      <c r="O1043" s="3490"/>
      <c r="P1043" s="3490"/>
      <c r="Q1043" s="3490"/>
      <c r="R1043" s="3308"/>
      <c r="S1043" s="3308"/>
      <c r="T1043" s="3239" t="str">
        <f t="shared" si="24"/>
        <v>有</v>
      </c>
    </row>
    <row r="1044" spans="1:20">
      <c r="A1044" s="3391">
        <v>1042</v>
      </c>
      <c r="B1044" s="3391">
        <v>6</v>
      </c>
      <c r="C1044" s="3391">
        <v>1</v>
      </c>
      <c r="D1044" s="3408">
        <v>804</v>
      </c>
      <c r="E1044" s="3307">
        <v>804</v>
      </c>
      <c r="F1044" s="3308">
        <v>3</v>
      </c>
      <c r="G1044" s="3308">
        <v>1</v>
      </c>
      <c r="H1044" s="3308">
        <v>1</v>
      </c>
      <c r="I1044" s="3309" t="s">
        <v>3348</v>
      </c>
      <c r="J1044" s="3307" t="s">
        <v>3349</v>
      </c>
      <c r="K1044" s="3401">
        <v>94.62</v>
      </c>
      <c r="L1044" s="3402">
        <v>71.88</v>
      </c>
      <c r="M1044" s="3402">
        <v>6.47</v>
      </c>
      <c r="N1044" s="3308"/>
      <c r="O1044" s="3490"/>
      <c r="P1044" s="3490"/>
      <c r="Q1044" s="3490"/>
      <c r="R1044" s="3308"/>
      <c r="S1044" s="3308"/>
      <c r="T1044" s="3239" t="str">
        <f t="shared" si="24"/>
        <v>有</v>
      </c>
    </row>
    <row r="1045" spans="1:20">
      <c r="A1045" s="3391">
        <v>1043</v>
      </c>
      <c r="B1045" s="3391">
        <v>6</v>
      </c>
      <c r="C1045" s="3391">
        <v>2</v>
      </c>
      <c r="D1045" s="3408">
        <v>805</v>
      </c>
      <c r="E1045" s="3307">
        <v>801</v>
      </c>
      <c r="F1045" s="3308">
        <v>3</v>
      </c>
      <c r="G1045" s="3308">
        <v>1</v>
      </c>
      <c r="H1045" s="3308">
        <v>1</v>
      </c>
      <c r="I1045" s="3309" t="s">
        <v>3344</v>
      </c>
      <c r="J1045" s="3307" t="s">
        <v>3349</v>
      </c>
      <c r="K1045" s="3401">
        <v>94.62</v>
      </c>
      <c r="L1045" s="3402">
        <v>71.88</v>
      </c>
      <c r="M1045" s="3402">
        <v>6.47</v>
      </c>
      <c r="N1045" s="3308"/>
      <c r="O1045" s="3490"/>
      <c r="P1045" s="3490"/>
      <c r="Q1045" s="3490"/>
      <c r="R1045" s="3308"/>
      <c r="S1045" s="3308"/>
      <c r="T1045" s="3239" t="str">
        <f t="shared" si="24"/>
        <v>有</v>
      </c>
    </row>
    <row r="1046" spans="1:20">
      <c r="A1046" s="3391">
        <v>1044</v>
      </c>
      <c r="B1046" s="3391">
        <v>6</v>
      </c>
      <c r="C1046" s="3391">
        <v>2</v>
      </c>
      <c r="D1046" s="3408">
        <v>806</v>
      </c>
      <c r="E1046" s="3307">
        <v>802</v>
      </c>
      <c r="F1046" s="3308">
        <v>3</v>
      </c>
      <c r="G1046" s="3308">
        <v>1</v>
      </c>
      <c r="H1046" s="3308">
        <v>1</v>
      </c>
      <c r="I1046" s="3309" t="s">
        <v>3346</v>
      </c>
      <c r="J1046" s="3307" t="s">
        <v>3347</v>
      </c>
      <c r="K1046" s="3401">
        <v>99.68</v>
      </c>
      <c r="L1046" s="3402">
        <v>75.72</v>
      </c>
      <c r="M1046" s="3402">
        <v>3.96</v>
      </c>
      <c r="N1046" s="3308"/>
      <c r="O1046" s="3490"/>
      <c r="P1046" s="3490"/>
      <c r="Q1046" s="3490"/>
      <c r="R1046" s="3308"/>
      <c r="S1046" s="3308"/>
      <c r="T1046" s="3239" t="str">
        <f t="shared" si="24"/>
        <v>有</v>
      </c>
    </row>
    <row r="1047" spans="1:20">
      <c r="A1047" s="3391">
        <v>1045</v>
      </c>
      <c r="B1047" s="3391">
        <v>6</v>
      </c>
      <c r="C1047" s="3391">
        <v>2</v>
      </c>
      <c r="D1047" s="3408">
        <v>807</v>
      </c>
      <c r="E1047" s="3307">
        <v>803</v>
      </c>
      <c r="F1047" s="3308">
        <v>3</v>
      </c>
      <c r="G1047" s="3308">
        <v>1</v>
      </c>
      <c r="H1047" s="3308">
        <v>1</v>
      </c>
      <c r="I1047" s="3309" t="s">
        <v>3346</v>
      </c>
      <c r="J1047" s="3307" t="s">
        <v>3347</v>
      </c>
      <c r="K1047" s="3401">
        <v>99.68</v>
      </c>
      <c r="L1047" s="3402">
        <v>75.72</v>
      </c>
      <c r="M1047" s="3402">
        <v>3.96</v>
      </c>
      <c r="N1047" s="3308"/>
      <c r="O1047" s="3490"/>
      <c r="P1047" s="3490"/>
      <c r="Q1047" s="3490"/>
      <c r="R1047" s="3308"/>
      <c r="S1047" s="3308"/>
      <c r="T1047" s="3239" t="str">
        <f t="shared" si="24"/>
        <v>有</v>
      </c>
    </row>
    <row r="1048" spans="1:20">
      <c r="A1048" s="3391">
        <v>1046</v>
      </c>
      <c r="B1048" s="3391">
        <v>6</v>
      </c>
      <c r="C1048" s="3391">
        <v>2</v>
      </c>
      <c r="D1048" s="3408">
        <v>808</v>
      </c>
      <c r="E1048" s="3307">
        <v>804</v>
      </c>
      <c r="F1048" s="3308">
        <v>4</v>
      </c>
      <c r="G1048" s="3308">
        <v>1</v>
      </c>
      <c r="H1048" s="3308">
        <v>1</v>
      </c>
      <c r="I1048" s="3309" t="s">
        <v>3348</v>
      </c>
      <c r="J1048" s="3307" t="s">
        <v>3345</v>
      </c>
      <c r="K1048" s="3401">
        <v>122.37</v>
      </c>
      <c r="L1048" s="3402">
        <v>92.96</v>
      </c>
      <c r="M1048" s="3409">
        <v>3.53</v>
      </c>
      <c r="N1048" s="3308"/>
      <c r="O1048" s="3490"/>
      <c r="P1048" s="3490"/>
      <c r="Q1048" s="3490"/>
      <c r="R1048" s="3308"/>
      <c r="S1048" s="3308"/>
      <c r="T1048" s="3239" t="str">
        <f t="shared" si="24"/>
        <v>有</v>
      </c>
    </row>
    <row r="1049" spans="1:20">
      <c r="A1049" s="3391">
        <v>1047</v>
      </c>
      <c r="B1049" s="3391">
        <v>6</v>
      </c>
      <c r="C1049" s="3391">
        <v>1</v>
      </c>
      <c r="D1049" s="3408">
        <v>901</v>
      </c>
      <c r="E1049" s="3307">
        <v>901</v>
      </c>
      <c r="F1049" s="3308">
        <v>4</v>
      </c>
      <c r="G1049" s="3308">
        <v>1</v>
      </c>
      <c r="H1049" s="3308">
        <v>1</v>
      </c>
      <c r="I1049" s="3309" t="s">
        <v>3344</v>
      </c>
      <c r="J1049" s="3307" t="s">
        <v>3345</v>
      </c>
      <c r="K1049" s="3401">
        <v>122.37</v>
      </c>
      <c r="L1049" s="3402">
        <v>92.96</v>
      </c>
      <c r="M1049" s="3402">
        <v>3.53</v>
      </c>
      <c r="N1049" s="3308"/>
      <c r="O1049" s="3490">
        <v>2.9</v>
      </c>
      <c r="P1049" s="3544" t="s">
        <v>3297</v>
      </c>
      <c r="Q1049" s="3544" t="s">
        <v>3298</v>
      </c>
      <c r="R1049" s="3308"/>
      <c r="S1049" s="3308"/>
      <c r="T1049" s="3239" t="str">
        <f t="shared" si="24"/>
        <v>有</v>
      </c>
    </row>
    <row r="1050" spans="1:20">
      <c r="A1050" s="3391">
        <v>1048</v>
      </c>
      <c r="B1050" s="3391">
        <v>6</v>
      </c>
      <c r="C1050" s="3391">
        <v>1</v>
      </c>
      <c r="D1050" s="3408">
        <v>902</v>
      </c>
      <c r="E1050" s="3307">
        <v>902</v>
      </c>
      <c r="F1050" s="3308">
        <v>3</v>
      </c>
      <c r="G1050" s="3308">
        <v>1</v>
      </c>
      <c r="H1050" s="3308">
        <v>1</v>
      </c>
      <c r="I1050" s="3309" t="s">
        <v>3346</v>
      </c>
      <c r="J1050" s="3307" t="s">
        <v>3347</v>
      </c>
      <c r="K1050" s="3401">
        <v>99.68</v>
      </c>
      <c r="L1050" s="3402">
        <v>75.72</v>
      </c>
      <c r="M1050" s="3402">
        <v>3.96</v>
      </c>
      <c r="N1050" s="3308"/>
      <c r="O1050" s="3490"/>
      <c r="P1050" s="3490"/>
      <c r="Q1050" s="3490"/>
      <c r="R1050" s="3308"/>
      <c r="S1050" s="3308"/>
      <c r="T1050" s="3239" t="str">
        <f t="shared" si="24"/>
        <v>有</v>
      </c>
    </row>
    <row r="1051" spans="1:20">
      <c r="A1051" s="3391">
        <v>1049</v>
      </c>
      <c r="B1051" s="3391">
        <v>6</v>
      </c>
      <c r="C1051" s="3391">
        <v>1</v>
      </c>
      <c r="D1051" s="3408">
        <v>903</v>
      </c>
      <c r="E1051" s="3307">
        <v>903</v>
      </c>
      <c r="F1051" s="3308">
        <v>3</v>
      </c>
      <c r="G1051" s="3308">
        <v>1</v>
      </c>
      <c r="H1051" s="3308">
        <v>1</v>
      </c>
      <c r="I1051" s="3309" t="s">
        <v>3346</v>
      </c>
      <c r="J1051" s="3307" t="s">
        <v>3347</v>
      </c>
      <c r="K1051" s="3401">
        <v>99.68</v>
      </c>
      <c r="L1051" s="3402">
        <v>75.72</v>
      </c>
      <c r="M1051" s="3402">
        <v>3.96</v>
      </c>
      <c r="N1051" s="3308"/>
      <c r="O1051" s="3490"/>
      <c r="P1051" s="3490"/>
      <c r="Q1051" s="3490"/>
      <c r="R1051" s="3308"/>
      <c r="S1051" s="3308"/>
      <c r="T1051" s="3239" t="str">
        <f t="shared" si="24"/>
        <v>有</v>
      </c>
    </row>
    <row r="1052" spans="1:20">
      <c r="A1052" s="3391">
        <v>1050</v>
      </c>
      <c r="B1052" s="3391">
        <v>6</v>
      </c>
      <c r="C1052" s="3391">
        <v>1</v>
      </c>
      <c r="D1052" s="3408">
        <v>904</v>
      </c>
      <c r="E1052" s="3307">
        <v>904</v>
      </c>
      <c r="F1052" s="3308">
        <v>3</v>
      </c>
      <c r="G1052" s="3308">
        <v>1</v>
      </c>
      <c r="H1052" s="3308">
        <v>1</v>
      </c>
      <c r="I1052" s="3309" t="s">
        <v>3348</v>
      </c>
      <c r="J1052" s="3307" t="s">
        <v>3349</v>
      </c>
      <c r="K1052" s="3401">
        <v>94.62</v>
      </c>
      <c r="L1052" s="3402">
        <v>71.88</v>
      </c>
      <c r="M1052" s="3402">
        <v>6.47</v>
      </c>
      <c r="N1052" s="3308"/>
      <c r="O1052" s="3490"/>
      <c r="P1052" s="3490"/>
      <c r="Q1052" s="3490"/>
      <c r="R1052" s="3308"/>
      <c r="S1052" s="3308"/>
      <c r="T1052" s="3239" t="str">
        <f t="shared" si="24"/>
        <v>有</v>
      </c>
    </row>
    <row r="1053" spans="1:20">
      <c r="A1053" s="3391">
        <v>1051</v>
      </c>
      <c r="B1053" s="3391">
        <v>6</v>
      </c>
      <c r="C1053" s="3391">
        <v>2</v>
      </c>
      <c r="D1053" s="3408">
        <v>905</v>
      </c>
      <c r="E1053" s="3307">
        <v>901</v>
      </c>
      <c r="F1053" s="3308">
        <v>3</v>
      </c>
      <c r="G1053" s="3308">
        <v>1</v>
      </c>
      <c r="H1053" s="3308">
        <v>1</v>
      </c>
      <c r="I1053" s="3309" t="s">
        <v>3344</v>
      </c>
      <c r="J1053" s="3307" t="s">
        <v>3349</v>
      </c>
      <c r="K1053" s="3401">
        <v>94.62</v>
      </c>
      <c r="L1053" s="3402">
        <v>71.88</v>
      </c>
      <c r="M1053" s="3402">
        <v>6.47</v>
      </c>
      <c r="N1053" s="3308"/>
      <c r="O1053" s="3490"/>
      <c r="P1053" s="3490"/>
      <c r="Q1053" s="3490"/>
      <c r="R1053" s="3308"/>
      <c r="S1053" s="3308"/>
      <c r="T1053" s="3239" t="str">
        <f t="shared" si="24"/>
        <v>有</v>
      </c>
    </row>
    <row r="1054" spans="1:20">
      <c r="A1054" s="3391">
        <v>1052</v>
      </c>
      <c r="B1054" s="3391">
        <v>6</v>
      </c>
      <c r="C1054" s="3391">
        <v>2</v>
      </c>
      <c r="D1054" s="3408">
        <v>906</v>
      </c>
      <c r="E1054" s="3307">
        <v>902</v>
      </c>
      <c r="F1054" s="3308">
        <v>3</v>
      </c>
      <c r="G1054" s="3308">
        <v>1</v>
      </c>
      <c r="H1054" s="3308">
        <v>1</v>
      </c>
      <c r="I1054" s="3309" t="s">
        <v>3346</v>
      </c>
      <c r="J1054" s="3307" t="s">
        <v>3347</v>
      </c>
      <c r="K1054" s="3401">
        <v>99.68</v>
      </c>
      <c r="L1054" s="3402">
        <v>75.72</v>
      </c>
      <c r="M1054" s="3402">
        <v>3.96</v>
      </c>
      <c r="N1054" s="3308"/>
      <c r="O1054" s="3490"/>
      <c r="P1054" s="3490"/>
      <c r="Q1054" s="3490"/>
      <c r="R1054" s="3308"/>
      <c r="S1054" s="3308"/>
      <c r="T1054" s="3239" t="str">
        <f t="shared" si="24"/>
        <v>有</v>
      </c>
    </row>
    <row r="1055" spans="1:20">
      <c r="A1055" s="3391">
        <v>1053</v>
      </c>
      <c r="B1055" s="3391">
        <v>6</v>
      </c>
      <c r="C1055" s="3391">
        <v>2</v>
      </c>
      <c r="D1055" s="3408">
        <v>907</v>
      </c>
      <c r="E1055" s="3307">
        <v>903</v>
      </c>
      <c r="F1055" s="3308">
        <v>3</v>
      </c>
      <c r="G1055" s="3308">
        <v>1</v>
      </c>
      <c r="H1055" s="3308">
        <v>1</v>
      </c>
      <c r="I1055" s="3309" t="s">
        <v>3346</v>
      </c>
      <c r="J1055" s="3307" t="s">
        <v>3347</v>
      </c>
      <c r="K1055" s="3401">
        <v>99.68</v>
      </c>
      <c r="L1055" s="3402">
        <v>75.72</v>
      </c>
      <c r="M1055" s="3402">
        <v>3.96</v>
      </c>
      <c r="N1055" s="3308"/>
      <c r="O1055" s="3490"/>
      <c r="P1055" s="3490"/>
      <c r="Q1055" s="3490"/>
      <c r="R1055" s="3308"/>
      <c r="S1055" s="3308"/>
      <c r="T1055" s="3239" t="str">
        <f t="shared" si="24"/>
        <v>有</v>
      </c>
    </row>
    <row r="1056" spans="1:20">
      <c r="A1056" s="3391">
        <v>1054</v>
      </c>
      <c r="B1056" s="3391">
        <v>6</v>
      </c>
      <c r="C1056" s="3391">
        <v>2</v>
      </c>
      <c r="D1056" s="3408">
        <v>908</v>
      </c>
      <c r="E1056" s="3307">
        <v>904</v>
      </c>
      <c r="F1056" s="3308">
        <v>4</v>
      </c>
      <c r="G1056" s="3308">
        <v>1</v>
      </c>
      <c r="H1056" s="3308">
        <v>1</v>
      </c>
      <c r="I1056" s="3309" t="s">
        <v>3348</v>
      </c>
      <c r="J1056" s="3307" t="s">
        <v>3345</v>
      </c>
      <c r="K1056" s="3401">
        <v>122.37</v>
      </c>
      <c r="L1056" s="3402">
        <v>92.96</v>
      </c>
      <c r="M1056" s="3402">
        <v>3.53</v>
      </c>
      <c r="N1056" s="3308"/>
      <c r="O1056" s="3490"/>
      <c r="P1056" s="3490"/>
      <c r="Q1056" s="3490"/>
      <c r="R1056" s="3308"/>
      <c r="S1056" s="3308"/>
      <c r="T1056" s="3239" t="str">
        <f t="shared" si="24"/>
        <v>有</v>
      </c>
    </row>
    <row r="1057" spans="1:20">
      <c r="A1057" s="3391">
        <v>1055</v>
      </c>
      <c r="B1057" s="3391">
        <v>6</v>
      </c>
      <c r="C1057" s="3391">
        <v>1</v>
      </c>
      <c r="D1057" s="3408">
        <v>1001</v>
      </c>
      <c r="E1057" s="3307">
        <v>1001</v>
      </c>
      <c r="F1057" s="3308">
        <v>4</v>
      </c>
      <c r="G1057" s="3308">
        <v>1</v>
      </c>
      <c r="H1057" s="3308">
        <v>1</v>
      </c>
      <c r="I1057" s="3309" t="s">
        <v>3344</v>
      </c>
      <c r="J1057" s="3307" t="s">
        <v>3345</v>
      </c>
      <c r="K1057" s="3401">
        <v>122.37</v>
      </c>
      <c r="L1057" s="3402">
        <v>92.96</v>
      </c>
      <c r="M1057" s="3402">
        <v>3.53</v>
      </c>
      <c r="N1057" s="3308"/>
      <c r="O1057" s="3490">
        <v>2.9</v>
      </c>
      <c r="P1057" s="3544" t="s">
        <v>3297</v>
      </c>
      <c r="Q1057" s="3544" t="s">
        <v>3298</v>
      </c>
      <c r="R1057" s="3308"/>
      <c r="S1057" s="3308"/>
      <c r="T1057" s="3239" t="str">
        <f t="shared" si="24"/>
        <v>有</v>
      </c>
    </row>
    <row r="1058" spans="1:20">
      <c r="A1058" s="3391">
        <v>1056</v>
      </c>
      <c r="B1058" s="3391">
        <v>6</v>
      </c>
      <c r="C1058" s="3391">
        <v>1</v>
      </c>
      <c r="D1058" s="3408">
        <v>1002</v>
      </c>
      <c r="E1058" s="3307">
        <v>1002</v>
      </c>
      <c r="F1058" s="3308">
        <v>3</v>
      </c>
      <c r="G1058" s="3308">
        <v>1</v>
      </c>
      <c r="H1058" s="3308">
        <v>1</v>
      </c>
      <c r="I1058" s="3309" t="s">
        <v>3346</v>
      </c>
      <c r="J1058" s="3307" t="s">
        <v>3347</v>
      </c>
      <c r="K1058" s="3401">
        <v>99.68</v>
      </c>
      <c r="L1058" s="3402">
        <v>75.72</v>
      </c>
      <c r="M1058" s="3402">
        <v>3.96</v>
      </c>
      <c r="N1058" s="3308"/>
      <c r="O1058" s="3490"/>
      <c r="P1058" s="3490"/>
      <c r="Q1058" s="3490"/>
      <c r="R1058" s="3308"/>
      <c r="S1058" s="3308"/>
      <c r="T1058" s="3239" t="str">
        <f t="shared" si="24"/>
        <v>有</v>
      </c>
    </row>
    <row r="1059" spans="1:20">
      <c r="A1059" s="3391">
        <v>1057</v>
      </c>
      <c r="B1059" s="3391">
        <v>6</v>
      </c>
      <c r="C1059" s="3391">
        <v>1</v>
      </c>
      <c r="D1059" s="3408">
        <v>1003</v>
      </c>
      <c r="E1059" s="3307">
        <v>1003</v>
      </c>
      <c r="F1059" s="3308">
        <v>3</v>
      </c>
      <c r="G1059" s="3308">
        <v>1</v>
      </c>
      <c r="H1059" s="3308">
        <v>1</v>
      </c>
      <c r="I1059" s="3309" t="s">
        <v>3346</v>
      </c>
      <c r="J1059" s="3307" t="s">
        <v>3347</v>
      </c>
      <c r="K1059" s="3401">
        <v>99.68</v>
      </c>
      <c r="L1059" s="3402">
        <v>75.72</v>
      </c>
      <c r="M1059" s="3402">
        <v>3.96</v>
      </c>
      <c r="N1059" s="3308"/>
      <c r="O1059" s="3490"/>
      <c r="P1059" s="3490"/>
      <c r="Q1059" s="3490"/>
      <c r="R1059" s="3308"/>
      <c r="S1059" s="3308"/>
      <c r="T1059" s="3239" t="str">
        <f t="shared" si="24"/>
        <v>有</v>
      </c>
    </row>
    <row r="1060" spans="1:20">
      <c r="A1060" s="3391">
        <v>1058</v>
      </c>
      <c r="B1060" s="3391">
        <v>6</v>
      </c>
      <c r="C1060" s="3391">
        <v>1</v>
      </c>
      <c r="D1060" s="3408">
        <v>1004</v>
      </c>
      <c r="E1060" s="3307">
        <v>1004</v>
      </c>
      <c r="F1060" s="3308">
        <v>3</v>
      </c>
      <c r="G1060" s="3308">
        <v>1</v>
      </c>
      <c r="H1060" s="3308">
        <v>1</v>
      </c>
      <c r="I1060" s="3309" t="s">
        <v>3348</v>
      </c>
      <c r="J1060" s="3307" t="s">
        <v>3349</v>
      </c>
      <c r="K1060" s="3401">
        <v>94.62</v>
      </c>
      <c r="L1060" s="3402">
        <v>71.88</v>
      </c>
      <c r="M1060" s="3402">
        <v>6.47</v>
      </c>
      <c r="N1060" s="3308"/>
      <c r="O1060" s="3490"/>
      <c r="P1060" s="3490"/>
      <c r="Q1060" s="3490"/>
      <c r="R1060" s="3308"/>
      <c r="S1060" s="3308"/>
      <c r="T1060" s="3239" t="str">
        <f t="shared" si="24"/>
        <v>有</v>
      </c>
    </row>
    <row r="1061" spans="1:20">
      <c r="A1061" s="3391">
        <v>1059</v>
      </c>
      <c r="B1061" s="3391">
        <v>6</v>
      </c>
      <c r="C1061" s="3391">
        <v>2</v>
      </c>
      <c r="D1061" s="3408">
        <v>1005</v>
      </c>
      <c r="E1061" s="3307">
        <v>1001</v>
      </c>
      <c r="F1061" s="3308">
        <v>3</v>
      </c>
      <c r="G1061" s="3308">
        <v>1</v>
      </c>
      <c r="H1061" s="3308">
        <v>1</v>
      </c>
      <c r="I1061" s="3309" t="s">
        <v>3344</v>
      </c>
      <c r="J1061" s="3307" t="s">
        <v>3349</v>
      </c>
      <c r="K1061" s="3401">
        <v>94.62</v>
      </c>
      <c r="L1061" s="3402">
        <v>71.88</v>
      </c>
      <c r="M1061" s="3402">
        <v>6.47</v>
      </c>
      <c r="N1061" s="3308"/>
      <c r="O1061" s="3490"/>
      <c r="P1061" s="3490"/>
      <c r="Q1061" s="3490"/>
      <c r="R1061" s="3308"/>
      <c r="S1061" s="3308"/>
      <c r="T1061" s="3239" t="str">
        <f t="shared" si="24"/>
        <v>有</v>
      </c>
    </row>
    <row r="1062" spans="1:20">
      <c r="A1062" s="3391">
        <v>1060</v>
      </c>
      <c r="B1062" s="3391">
        <v>6</v>
      </c>
      <c r="C1062" s="3391">
        <v>2</v>
      </c>
      <c r="D1062" s="3408">
        <v>1006</v>
      </c>
      <c r="E1062" s="3307">
        <v>1002</v>
      </c>
      <c r="F1062" s="3308">
        <v>3</v>
      </c>
      <c r="G1062" s="3308">
        <v>1</v>
      </c>
      <c r="H1062" s="3308">
        <v>1</v>
      </c>
      <c r="I1062" s="3309" t="s">
        <v>3346</v>
      </c>
      <c r="J1062" s="3307" t="s">
        <v>3347</v>
      </c>
      <c r="K1062" s="3401">
        <v>99.68</v>
      </c>
      <c r="L1062" s="3402">
        <v>75.72</v>
      </c>
      <c r="M1062" s="3402">
        <v>3.96</v>
      </c>
      <c r="N1062" s="3308"/>
      <c r="O1062" s="3490"/>
      <c r="P1062" s="3490"/>
      <c r="Q1062" s="3490"/>
      <c r="R1062" s="3308"/>
      <c r="S1062" s="3308"/>
      <c r="T1062" s="3239" t="str">
        <f t="shared" si="24"/>
        <v>有</v>
      </c>
    </row>
    <row r="1063" spans="1:20">
      <c r="A1063" s="3391">
        <v>1061</v>
      </c>
      <c r="B1063" s="3391">
        <v>6</v>
      </c>
      <c r="C1063" s="3391">
        <v>2</v>
      </c>
      <c r="D1063" s="3408">
        <v>1007</v>
      </c>
      <c r="E1063" s="3307">
        <v>1003</v>
      </c>
      <c r="F1063" s="3308">
        <v>3</v>
      </c>
      <c r="G1063" s="3308">
        <v>1</v>
      </c>
      <c r="H1063" s="3308">
        <v>1</v>
      </c>
      <c r="I1063" s="3309" t="s">
        <v>3346</v>
      </c>
      <c r="J1063" s="3307" t="s">
        <v>3347</v>
      </c>
      <c r="K1063" s="3401">
        <v>99.68</v>
      </c>
      <c r="L1063" s="3402">
        <v>75.72</v>
      </c>
      <c r="M1063" s="3402">
        <v>3.96</v>
      </c>
      <c r="N1063" s="3308"/>
      <c r="O1063" s="3490"/>
      <c r="P1063" s="3490"/>
      <c r="Q1063" s="3490"/>
      <c r="R1063" s="3308"/>
      <c r="S1063" s="3308"/>
      <c r="T1063" s="3239" t="str">
        <f t="shared" si="24"/>
        <v>有</v>
      </c>
    </row>
    <row r="1064" spans="1:20">
      <c r="A1064" s="3391">
        <v>1062</v>
      </c>
      <c r="B1064" s="3391">
        <v>6</v>
      </c>
      <c r="C1064" s="3391">
        <v>2</v>
      </c>
      <c r="D1064" s="3408">
        <v>1008</v>
      </c>
      <c r="E1064" s="3307">
        <v>1004</v>
      </c>
      <c r="F1064" s="3308">
        <v>4</v>
      </c>
      <c r="G1064" s="3308">
        <v>1</v>
      </c>
      <c r="H1064" s="3308">
        <v>1</v>
      </c>
      <c r="I1064" s="3309" t="s">
        <v>3348</v>
      </c>
      <c r="J1064" s="3307" t="s">
        <v>3345</v>
      </c>
      <c r="K1064" s="3401">
        <v>122.37</v>
      </c>
      <c r="L1064" s="3402">
        <v>92.96</v>
      </c>
      <c r="M1064" s="3402">
        <v>3.53</v>
      </c>
      <c r="N1064" s="3308"/>
      <c r="O1064" s="3490"/>
      <c r="P1064" s="3490"/>
      <c r="Q1064" s="3490"/>
      <c r="R1064" s="3308"/>
      <c r="S1064" s="3308"/>
      <c r="T1064" s="3239" t="str">
        <f t="shared" si="24"/>
        <v>有</v>
      </c>
    </row>
    <row r="1065" spans="1:20">
      <c r="A1065" s="3391">
        <v>1063</v>
      </c>
      <c r="B1065" s="3391">
        <v>6</v>
      </c>
      <c r="C1065" s="3391">
        <v>1</v>
      </c>
      <c r="D1065" s="3408">
        <v>1101</v>
      </c>
      <c r="E1065" s="3307">
        <v>1101</v>
      </c>
      <c r="F1065" s="3308">
        <v>4</v>
      </c>
      <c r="G1065" s="3308">
        <v>1</v>
      </c>
      <c r="H1065" s="3308">
        <v>1</v>
      </c>
      <c r="I1065" s="3309" t="s">
        <v>3344</v>
      </c>
      <c r="J1065" s="3307" t="s">
        <v>3345</v>
      </c>
      <c r="K1065" s="3401">
        <v>122.37</v>
      </c>
      <c r="L1065" s="3402">
        <v>92.96</v>
      </c>
      <c r="M1065" s="3402">
        <v>3.53</v>
      </c>
      <c r="N1065" s="3308"/>
      <c r="O1065" s="3490">
        <v>2.9</v>
      </c>
      <c r="P1065" s="3544" t="s">
        <v>3297</v>
      </c>
      <c r="Q1065" s="3544" t="s">
        <v>3298</v>
      </c>
      <c r="R1065" s="3308"/>
      <c r="S1065" s="3308"/>
      <c r="T1065" s="3239" t="str">
        <f t="shared" si="24"/>
        <v>有</v>
      </c>
    </row>
    <row r="1066" spans="1:20">
      <c r="A1066" s="3391">
        <v>1064</v>
      </c>
      <c r="B1066" s="3391">
        <v>6</v>
      </c>
      <c r="C1066" s="3391">
        <v>1</v>
      </c>
      <c r="D1066" s="3408">
        <v>1102</v>
      </c>
      <c r="E1066" s="3307">
        <v>1102</v>
      </c>
      <c r="F1066" s="3308">
        <v>3</v>
      </c>
      <c r="G1066" s="3308">
        <v>1</v>
      </c>
      <c r="H1066" s="3308">
        <v>1</v>
      </c>
      <c r="I1066" s="3309" t="s">
        <v>3346</v>
      </c>
      <c r="J1066" s="3307" t="s">
        <v>3347</v>
      </c>
      <c r="K1066" s="3401">
        <v>99.68</v>
      </c>
      <c r="L1066" s="3402">
        <v>75.72</v>
      </c>
      <c r="M1066" s="3402">
        <v>3.96</v>
      </c>
      <c r="N1066" s="3308"/>
      <c r="O1066" s="3490"/>
      <c r="P1066" s="3490"/>
      <c r="Q1066" s="3490"/>
      <c r="R1066" s="3308"/>
      <c r="S1066" s="3308"/>
      <c r="T1066" s="3239" t="str">
        <f t="shared" si="24"/>
        <v>有</v>
      </c>
    </row>
    <row r="1067" spans="1:20">
      <c r="A1067" s="3391">
        <v>1065</v>
      </c>
      <c r="B1067" s="3391">
        <v>6</v>
      </c>
      <c r="C1067" s="3391">
        <v>1</v>
      </c>
      <c r="D1067" s="3408">
        <v>1103</v>
      </c>
      <c r="E1067" s="3307">
        <v>1103</v>
      </c>
      <c r="F1067" s="3308">
        <v>3</v>
      </c>
      <c r="G1067" s="3308">
        <v>1</v>
      </c>
      <c r="H1067" s="3308">
        <v>1</v>
      </c>
      <c r="I1067" s="3309" t="s">
        <v>3346</v>
      </c>
      <c r="J1067" s="3307" t="s">
        <v>3347</v>
      </c>
      <c r="K1067" s="3401">
        <v>99.68</v>
      </c>
      <c r="L1067" s="3402">
        <v>75.72</v>
      </c>
      <c r="M1067" s="3402">
        <v>3.96</v>
      </c>
      <c r="N1067" s="3308"/>
      <c r="O1067" s="3490"/>
      <c r="P1067" s="3490"/>
      <c r="Q1067" s="3490"/>
      <c r="R1067" s="3308"/>
      <c r="S1067" s="3308"/>
      <c r="T1067" s="3239" t="str">
        <f t="shared" si="24"/>
        <v>有</v>
      </c>
    </row>
    <row r="1068" spans="1:20">
      <c r="A1068" s="3391">
        <v>1066</v>
      </c>
      <c r="B1068" s="3391">
        <v>6</v>
      </c>
      <c r="C1068" s="3391">
        <v>1</v>
      </c>
      <c r="D1068" s="3408">
        <v>1104</v>
      </c>
      <c r="E1068" s="3307">
        <v>1104</v>
      </c>
      <c r="F1068" s="3308">
        <v>3</v>
      </c>
      <c r="G1068" s="3308">
        <v>1</v>
      </c>
      <c r="H1068" s="3308">
        <v>1</v>
      </c>
      <c r="I1068" s="3309" t="s">
        <v>3348</v>
      </c>
      <c r="J1068" s="3307" t="s">
        <v>3349</v>
      </c>
      <c r="K1068" s="3401">
        <v>94.62</v>
      </c>
      <c r="L1068" s="3402">
        <v>71.88</v>
      </c>
      <c r="M1068" s="3402">
        <v>6.47</v>
      </c>
      <c r="N1068" s="3308"/>
      <c r="O1068" s="3490"/>
      <c r="P1068" s="3490"/>
      <c r="Q1068" s="3490"/>
      <c r="R1068" s="3308"/>
      <c r="S1068" s="3308"/>
      <c r="T1068" s="3239" t="str">
        <f t="shared" si="24"/>
        <v>有</v>
      </c>
    </row>
    <row r="1069" spans="1:20">
      <c r="A1069" s="3391">
        <v>1067</v>
      </c>
      <c r="B1069" s="3391">
        <v>6</v>
      </c>
      <c r="C1069" s="3391">
        <v>2</v>
      </c>
      <c r="D1069" s="3408">
        <v>1105</v>
      </c>
      <c r="E1069" s="3307">
        <v>1101</v>
      </c>
      <c r="F1069" s="3308">
        <v>3</v>
      </c>
      <c r="G1069" s="3308">
        <v>1</v>
      </c>
      <c r="H1069" s="3308">
        <v>1</v>
      </c>
      <c r="I1069" s="3309" t="s">
        <v>3344</v>
      </c>
      <c r="J1069" s="3307" t="s">
        <v>3349</v>
      </c>
      <c r="K1069" s="3401">
        <v>94.62</v>
      </c>
      <c r="L1069" s="3402">
        <v>71.88</v>
      </c>
      <c r="M1069" s="3402">
        <v>6.47</v>
      </c>
      <c r="N1069" s="3308"/>
      <c r="O1069" s="3490"/>
      <c r="P1069" s="3490"/>
      <c r="Q1069" s="3490"/>
      <c r="R1069" s="3308"/>
      <c r="S1069" s="3308"/>
      <c r="T1069" s="3239" t="str">
        <f t="shared" si="24"/>
        <v>有</v>
      </c>
    </row>
    <row r="1070" spans="1:20">
      <c r="A1070" s="3391">
        <v>1068</v>
      </c>
      <c r="B1070" s="3391">
        <v>6</v>
      </c>
      <c r="C1070" s="3391">
        <v>2</v>
      </c>
      <c r="D1070" s="3408">
        <v>1106</v>
      </c>
      <c r="E1070" s="3307">
        <v>1102</v>
      </c>
      <c r="F1070" s="3308">
        <v>3</v>
      </c>
      <c r="G1070" s="3308">
        <v>1</v>
      </c>
      <c r="H1070" s="3308">
        <v>1</v>
      </c>
      <c r="I1070" s="3309" t="s">
        <v>3346</v>
      </c>
      <c r="J1070" s="3307" t="s">
        <v>3347</v>
      </c>
      <c r="K1070" s="3401">
        <v>99.68</v>
      </c>
      <c r="L1070" s="3402">
        <v>75.72</v>
      </c>
      <c r="M1070" s="3409">
        <v>3.96</v>
      </c>
      <c r="N1070" s="3308"/>
      <c r="O1070" s="3490"/>
      <c r="P1070" s="3490"/>
      <c r="Q1070" s="3490"/>
      <c r="R1070" s="3308"/>
      <c r="S1070" s="3308"/>
      <c r="T1070" s="3239" t="str">
        <f t="shared" si="24"/>
        <v>有</v>
      </c>
    </row>
    <row r="1071" spans="1:20">
      <c r="A1071" s="3391">
        <v>1069</v>
      </c>
      <c r="B1071" s="3391">
        <v>6</v>
      </c>
      <c r="C1071" s="3391">
        <v>2</v>
      </c>
      <c r="D1071" s="3408">
        <v>1107</v>
      </c>
      <c r="E1071" s="3307">
        <v>1103</v>
      </c>
      <c r="F1071" s="3308">
        <v>3</v>
      </c>
      <c r="G1071" s="3308">
        <v>1</v>
      </c>
      <c r="H1071" s="3308">
        <v>1</v>
      </c>
      <c r="I1071" s="3309" t="s">
        <v>3346</v>
      </c>
      <c r="J1071" s="3307" t="s">
        <v>3347</v>
      </c>
      <c r="K1071" s="3401">
        <v>99.68</v>
      </c>
      <c r="L1071" s="3402">
        <v>75.72</v>
      </c>
      <c r="M1071" s="3402">
        <v>3.96</v>
      </c>
      <c r="N1071" s="3308"/>
      <c r="O1071" s="3490"/>
      <c r="P1071" s="3490"/>
      <c r="Q1071" s="3490"/>
      <c r="R1071" s="3308"/>
      <c r="S1071" s="3308"/>
      <c r="T1071" s="3239" t="str">
        <f t="shared" si="24"/>
        <v>有</v>
      </c>
    </row>
    <row r="1072" spans="1:20">
      <c r="A1072" s="3391">
        <v>1070</v>
      </c>
      <c r="B1072" s="3391">
        <v>6</v>
      </c>
      <c r="C1072" s="3391">
        <v>2</v>
      </c>
      <c r="D1072" s="3408">
        <v>1108</v>
      </c>
      <c r="E1072" s="3307">
        <v>1104</v>
      </c>
      <c r="F1072" s="3308">
        <v>4</v>
      </c>
      <c r="G1072" s="3308">
        <v>1</v>
      </c>
      <c r="H1072" s="3308">
        <v>1</v>
      </c>
      <c r="I1072" s="3309" t="s">
        <v>3348</v>
      </c>
      <c r="J1072" s="3307" t="s">
        <v>3345</v>
      </c>
      <c r="K1072" s="3401">
        <v>122.37</v>
      </c>
      <c r="L1072" s="3402">
        <v>92.96</v>
      </c>
      <c r="M1072" s="3402">
        <v>3.53</v>
      </c>
      <c r="N1072" s="3308"/>
      <c r="O1072" s="3490"/>
      <c r="P1072" s="3490"/>
      <c r="Q1072" s="3490"/>
      <c r="R1072" s="3308"/>
      <c r="S1072" s="3308"/>
      <c r="T1072" s="3239" t="str">
        <f t="shared" si="24"/>
        <v>有</v>
      </c>
    </row>
    <row r="1073" spans="4:20">
      <c r="D1073" s="3404"/>
      <c r="T1073" s="3411"/>
    </row>
    <row r="1074" spans="4:20">
      <c r="K1074" s="3415">
        <f>SUM(K3:K1072)</f>
        <v>63823.660000000127</v>
      </c>
      <c r="T1074" s="3411"/>
    </row>
    <row r="1075" spans="4:20"/>
    <row r="1076" spans="4:20"/>
    <row r="1077" spans="4:20"/>
    <row r="1078" spans="4:20"/>
    <row r="1079" spans="4:20"/>
    <row r="1080" spans="4:20"/>
    <row r="1081" spans="4:20"/>
    <row r="1082" spans="4:20"/>
    <row r="1083" spans="4:20"/>
    <row r="1084" spans="4:20"/>
    <row r="1085" spans="4:20"/>
    <row r="1086" spans="4:20"/>
    <row r="1087" spans="4:20"/>
    <row r="1088" spans="4:20"/>
    <row r="1089"/>
    <row r="1090"/>
    <row r="1091"/>
    <row r="1092"/>
    <row r="1093"/>
    <row r="1094"/>
    <row r="1095"/>
    <row r="1096"/>
    <row r="1097"/>
    <row r="1098"/>
    <row r="1099"/>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sheetData>
  <autoFilter ref="A2:V1072" xr:uid="{66AD6A63-8330-4579-8065-DD5A4C7B07E5}">
    <filterColumn colId="19">
      <filters>
        <filter val="有"/>
      </filters>
    </filterColumn>
  </autoFilter>
  <mergeCells count="50">
    <mergeCell ref="T1:T2"/>
    <mergeCell ref="O1057:O1064"/>
    <mergeCell ref="P1057:P1064"/>
    <mergeCell ref="Q1057:Q1064"/>
    <mergeCell ref="O1065:O1072"/>
    <mergeCell ref="P1065:P1072"/>
    <mergeCell ref="Q1065:Q1072"/>
    <mergeCell ref="O1041:O1048"/>
    <mergeCell ref="P1041:P1048"/>
    <mergeCell ref="Q1041:Q1048"/>
    <mergeCell ref="O1049:O1056"/>
    <mergeCell ref="P1049:P1056"/>
    <mergeCell ref="Q1049:Q1056"/>
    <mergeCell ref="O1025:O1032"/>
    <mergeCell ref="P1025:P1032"/>
    <mergeCell ref="Q1025:Q1032"/>
    <mergeCell ref="O1033:O1040"/>
    <mergeCell ref="P1033:P1040"/>
    <mergeCell ref="Q1033:Q1040"/>
    <mergeCell ref="O1009:O1016"/>
    <mergeCell ref="P1009:P1016"/>
    <mergeCell ref="Q1009:Q1016"/>
    <mergeCell ref="O1017:O1024"/>
    <mergeCell ref="P1017:P1024"/>
    <mergeCell ref="Q1017:Q1024"/>
    <mergeCell ref="S1:S2"/>
    <mergeCell ref="O993:O1000"/>
    <mergeCell ref="P993:P1000"/>
    <mergeCell ref="Q993:Q1000"/>
    <mergeCell ref="O1001:O1008"/>
    <mergeCell ref="P1001:P1008"/>
    <mergeCell ref="Q1001:Q1008"/>
    <mergeCell ref="R1:R2"/>
    <mergeCell ref="M1:M2"/>
    <mergeCell ref="N1:N2"/>
    <mergeCell ref="O1:O2"/>
    <mergeCell ref="P1:P2"/>
    <mergeCell ref="Q1:Q2"/>
    <mergeCell ref="L1:L2"/>
    <mergeCell ref="A1:A2"/>
    <mergeCell ref="B1:B2"/>
    <mergeCell ref="C1:C2"/>
    <mergeCell ref="D1:D2"/>
    <mergeCell ref="E1:E2"/>
    <mergeCell ref="F1:F2"/>
    <mergeCell ref="G1:G2"/>
    <mergeCell ref="H1:H2"/>
    <mergeCell ref="I1:I2"/>
    <mergeCell ref="J1:J2"/>
    <mergeCell ref="K1:K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1FF3-989A-4AB2-A71F-6C3D77B3CD6B}">
  <dimension ref="A1:U43"/>
  <sheetViews>
    <sheetView workbookViewId="0">
      <selection activeCell="J9" sqref="J9"/>
    </sheetView>
  </sheetViews>
  <sheetFormatPr defaultRowHeight="13.5"/>
  <cols>
    <col min="1" max="1" width="15.375" customWidth="1"/>
    <col min="10" max="10" width="32.625" customWidth="1"/>
  </cols>
  <sheetData>
    <row r="1" spans="1:12">
      <c r="A1" s="3568" t="s">
        <v>3378</v>
      </c>
      <c r="B1" s="3568"/>
      <c r="C1" s="3545" t="s">
        <v>3379</v>
      </c>
      <c r="D1" s="3545" t="s">
        <v>3380</v>
      </c>
      <c r="E1" s="3545" t="s">
        <v>3381</v>
      </c>
      <c r="F1" s="3545" t="s">
        <v>3382</v>
      </c>
      <c r="G1" s="3545" t="s">
        <v>3383</v>
      </c>
      <c r="H1" s="3545" t="s">
        <v>3384</v>
      </c>
      <c r="I1" s="3545" t="s">
        <v>3385</v>
      </c>
    </row>
    <row r="2" spans="1:12">
      <c r="A2" s="3233" t="s">
        <v>3386</v>
      </c>
      <c r="B2" s="3233" t="s">
        <v>3387</v>
      </c>
      <c r="C2" s="3546"/>
      <c r="D2" s="3546"/>
      <c r="E2" s="3546"/>
      <c r="F2" s="3546"/>
      <c r="G2" s="3546"/>
      <c r="H2" s="3546"/>
      <c r="I2" s="3546"/>
    </row>
    <row r="3" spans="1:12" s="3398" customFormat="1">
      <c r="A3" s="3289" t="s">
        <v>3388</v>
      </c>
      <c r="B3" s="3289">
        <v>39.78</v>
      </c>
      <c r="C3" s="3289">
        <v>117</v>
      </c>
      <c r="D3" s="3289">
        <v>120</v>
      </c>
      <c r="E3" s="3289">
        <v>60</v>
      </c>
      <c r="F3" s="3289"/>
      <c r="G3" s="3289"/>
      <c r="H3" s="3289"/>
      <c r="I3" s="3289">
        <f t="shared" ref="I3:I17" si="0">C3+D3+E3+F3+G3+H3</f>
        <v>297</v>
      </c>
      <c r="J3" s="3397" t="s">
        <v>3389</v>
      </c>
      <c r="K3" s="3399" t="s">
        <v>3471</v>
      </c>
      <c r="L3" s="3398">
        <f>I3*B3</f>
        <v>11814.66</v>
      </c>
    </row>
    <row r="4" spans="1:12">
      <c r="A4" s="3233" t="s">
        <v>3390</v>
      </c>
      <c r="B4" s="3233">
        <v>49.73</v>
      </c>
      <c r="C4" s="3233">
        <v>215</v>
      </c>
      <c r="D4" s="3233">
        <v>210</v>
      </c>
      <c r="E4" s="3233">
        <v>130</v>
      </c>
      <c r="F4" s="3233"/>
      <c r="G4" s="3233"/>
      <c r="H4" s="3233"/>
      <c r="I4" s="3233">
        <f t="shared" si="0"/>
        <v>555</v>
      </c>
      <c r="J4" t="s">
        <v>3391</v>
      </c>
      <c r="L4" s="3398">
        <f t="shared" ref="L4:L10" si="1">I4*B4</f>
        <v>27600.149999999998</v>
      </c>
    </row>
    <row r="5" spans="1:12">
      <c r="A5" s="3233" t="s">
        <v>3392</v>
      </c>
      <c r="B5" s="3233">
        <v>51.05</v>
      </c>
      <c r="C5" s="3233">
        <v>9</v>
      </c>
      <c r="D5" s="3233">
        <v>10</v>
      </c>
      <c r="E5" s="3233"/>
      <c r="F5" s="3233"/>
      <c r="G5" s="3233"/>
      <c r="H5" s="3233"/>
      <c r="I5" s="3233">
        <f t="shared" si="0"/>
        <v>19</v>
      </c>
      <c r="J5" t="s">
        <v>3391</v>
      </c>
      <c r="L5" s="3398">
        <f t="shared" si="1"/>
        <v>969.94999999999993</v>
      </c>
    </row>
    <row r="6" spans="1:12" s="3398" customFormat="1">
      <c r="A6" s="3289" t="s">
        <v>3393</v>
      </c>
      <c r="B6" s="3289">
        <v>40.520000000000003</v>
      </c>
      <c r="C6" s="3289">
        <v>9</v>
      </c>
      <c r="D6" s="3289">
        <v>10</v>
      </c>
      <c r="E6" s="3289"/>
      <c r="F6" s="3289"/>
      <c r="G6" s="3289"/>
      <c r="H6" s="3289"/>
      <c r="I6" s="3289">
        <f t="shared" si="0"/>
        <v>19</v>
      </c>
      <c r="J6" s="3397" t="s">
        <v>3389</v>
      </c>
      <c r="K6" s="3399" t="s">
        <v>3471</v>
      </c>
      <c r="L6" s="3398">
        <f t="shared" si="1"/>
        <v>769.88000000000011</v>
      </c>
    </row>
    <row r="7" spans="1:12">
      <c r="A7" s="3233" t="s">
        <v>3394</v>
      </c>
      <c r="B7" s="3233">
        <v>48.77</v>
      </c>
      <c r="C7" s="3233">
        <v>10</v>
      </c>
      <c r="D7" s="3233">
        <v>10</v>
      </c>
      <c r="E7" s="3233"/>
      <c r="F7" s="3233"/>
      <c r="G7" s="3233"/>
      <c r="H7" s="3233"/>
      <c r="I7" s="3233">
        <f t="shared" si="0"/>
        <v>20</v>
      </c>
      <c r="J7" s="3396" t="s">
        <v>3391</v>
      </c>
      <c r="L7" s="3398">
        <f t="shared" si="1"/>
        <v>975.40000000000009</v>
      </c>
    </row>
    <row r="8" spans="1:12">
      <c r="A8" s="3233" t="s">
        <v>3395</v>
      </c>
      <c r="B8" s="3233">
        <v>83.95</v>
      </c>
      <c r="C8" s="3233">
        <v>10</v>
      </c>
      <c r="D8" s="3233">
        <v>10</v>
      </c>
      <c r="E8" s="3233"/>
      <c r="F8" s="3233"/>
      <c r="G8" s="3233"/>
      <c r="H8" s="3233"/>
      <c r="I8" s="3233">
        <f t="shared" si="0"/>
        <v>20</v>
      </c>
      <c r="J8" s="3396" t="s">
        <v>3472</v>
      </c>
      <c r="L8" s="3398">
        <f t="shared" si="1"/>
        <v>1679</v>
      </c>
    </row>
    <row r="9" spans="1:12">
      <c r="A9" s="3233" t="s">
        <v>3396</v>
      </c>
      <c r="B9" s="3233">
        <v>96.11</v>
      </c>
      <c r="C9" s="3233">
        <v>20</v>
      </c>
      <c r="D9" s="3233">
        <v>20</v>
      </c>
      <c r="E9" s="3233">
        <v>20</v>
      </c>
      <c r="F9" s="3233"/>
      <c r="G9" s="3233"/>
      <c r="H9" s="3233"/>
      <c r="I9" s="3233">
        <f t="shared" si="0"/>
        <v>60</v>
      </c>
      <c r="J9" t="s">
        <v>3397</v>
      </c>
      <c r="L9" s="3398">
        <f t="shared" si="1"/>
        <v>5766.6</v>
      </c>
    </row>
    <row r="10" spans="1:12">
      <c r="A10" s="3549"/>
      <c r="B10" s="3550"/>
      <c r="C10" s="3550"/>
      <c r="D10" s="3550"/>
      <c r="E10" s="3550"/>
      <c r="F10" s="3550"/>
      <c r="G10" s="3550"/>
      <c r="H10" s="3550"/>
      <c r="I10" s="3551"/>
      <c r="L10" s="3398">
        <f t="shared" si="1"/>
        <v>0</v>
      </c>
    </row>
    <row r="11" spans="1:12">
      <c r="A11" s="3233" t="s">
        <v>3398</v>
      </c>
      <c r="B11" s="3233">
        <v>118.23</v>
      </c>
      <c r="C11" s="3233"/>
      <c r="D11" s="3233"/>
      <c r="E11" s="3233"/>
      <c r="F11" s="3337">
        <v>20</v>
      </c>
      <c r="G11" s="3337"/>
      <c r="H11" s="3233">
        <v>20</v>
      </c>
      <c r="I11" s="3233">
        <f t="shared" si="0"/>
        <v>40</v>
      </c>
      <c r="J11" t="s">
        <v>3399</v>
      </c>
      <c r="L11" s="3398">
        <f>H11*B11</f>
        <v>2364.6</v>
      </c>
    </row>
    <row r="12" spans="1:12">
      <c r="A12" s="3233" t="s">
        <v>3400</v>
      </c>
      <c r="B12" s="3233">
        <v>91.69</v>
      </c>
      <c r="C12" s="3233"/>
      <c r="D12" s="3233"/>
      <c r="E12" s="3233"/>
      <c r="F12" s="3337">
        <v>20</v>
      </c>
      <c r="G12" s="3337"/>
      <c r="H12" s="3233">
        <v>20</v>
      </c>
      <c r="I12" s="3233">
        <f t="shared" si="0"/>
        <v>40</v>
      </c>
      <c r="J12" t="s">
        <v>3401</v>
      </c>
      <c r="L12" s="3398">
        <f t="shared" ref="L12:L17" si="2">H12*B12</f>
        <v>1833.8</v>
      </c>
    </row>
    <row r="13" spans="1:12">
      <c r="A13" s="3233" t="s">
        <v>3402</v>
      </c>
      <c r="B13" s="3233">
        <v>98.37</v>
      </c>
      <c r="C13" s="3233"/>
      <c r="D13" s="3233"/>
      <c r="E13" s="3233"/>
      <c r="F13" s="3337">
        <v>60</v>
      </c>
      <c r="G13" s="3337">
        <v>40</v>
      </c>
      <c r="H13" s="3233">
        <v>40</v>
      </c>
      <c r="I13" s="3233">
        <f t="shared" si="0"/>
        <v>140</v>
      </c>
      <c r="J13" s="3396" t="s">
        <v>3407</v>
      </c>
      <c r="L13" s="3398">
        <f t="shared" si="2"/>
        <v>3934.8</v>
      </c>
    </row>
    <row r="14" spans="1:12">
      <c r="A14" s="3233" t="s">
        <v>3403</v>
      </c>
      <c r="B14" s="3233">
        <v>92.93</v>
      </c>
      <c r="C14" s="3233"/>
      <c r="D14" s="3233"/>
      <c r="E14" s="3233"/>
      <c r="F14" s="3337">
        <v>10</v>
      </c>
      <c r="G14" s="3337">
        <v>30</v>
      </c>
      <c r="H14" s="3233"/>
      <c r="I14" s="3233">
        <f t="shared" si="0"/>
        <v>40</v>
      </c>
      <c r="J14" s="3396" t="s">
        <v>3401</v>
      </c>
      <c r="L14" s="3398">
        <f t="shared" si="2"/>
        <v>0</v>
      </c>
    </row>
    <row r="15" spans="1:12">
      <c r="A15" s="3233" t="s">
        <v>3404</v>
      </c>
      <c r="B15" s="3233">
        <v>61.11</v>
      </c>
      <c r="C15" s="3233"/>
      <c r="D15" s="3233"/>
      <c r="E15" s="3233"/>
      <c r="F15" s="3337">
        <v>10</v>
      </c>
      <c r="G15" s="3337">
        <v>10</v>
      </c>
      <c r="H15" s="3233"/>
      <c r="I15" s="3233">
        <f t="shared" si="0"/>
        <v>20</v>
      </c>
      <c r="J15" s="3396" t="s">
        <v>3499</v>
      </c>
      <c r="L15" s="3398">
        <f t="shared" si="2"/>
        <v>0</v>
      </c>
    </row>
    <row r="16" spans="1:12">
      <c r="A16" s="3233" t="s">
        <v>3406</v>
      </c>
      <c r="B16" s="3233">
        <v>97.15</v>
      </c>
      <c r="C16" s="3233"/>
      <c r="D16" s="3233"/>
      <c r="E16" s="3233"/>
      <c r="F16" s="3337"/>
      <c r="G16" s="3337">
        <v>20</v>
      </c>
      <c r="H16" s="3233"/>
      <c r="I16" s="3233">
        <f t="shared" si="0"/>
        <v>20</v>
      </c>
      <c r="J16" t="s">
        <v>3407</v>
      </c>
      <c r="L16" s="3398">
        <f t="shared" si="2"/>
        <v>0</v>
      </c>
    </row>
    <row r="17" spans="1:21">
      <c r="A17" s="3233" t="s">
        <v>3408</v>
      </c>
      <c r="B17" s="3233">
        <v>67.5</v>
      </c>
      <c r="C17" s="3233"/>
      <c r="D17" s="3233"/>
      <c r="E17" s="3233"/>
      <c r="F17" s="3337"/>
      <c r="G17" s="3337">
        <v>20</v>
      </c>
      <c r="H17" s="3233"/>
      <c r="I17" s="3233">
        <f t="shared" si="0"/>
        <v>20</v>
      </c>
      <c r="J17" t="s">
        <v>3405</v>
      </c>
      <c r="L17" s="3398">
        <f t="shared" si="2"/>
        <v>0</v>
      </c>
    </row>
    <row r="18" spans="1:21">
      <c r="A18" s="3233" t="s">
        <v>3385</v>
      </c>
      <c r="B18" s="3233" t="s">
        <v>997</v>
      </c>
      <c r="C18" s="3322">
        <f>C3+C4+C5+C6+C7+C8+C9</f>
        <v>390</v>
      </c>
      <c r="D18" s="3322">
        <f>D3+D4+D5+D6+D7+D8+D9</f>
        <v>390</v>
      </c>
      <c r="E18" s="3322">
        <f>E3+E4+E9</f>
        <v>210</v>
      </c>
      <c r="F18" s="3338">
        <f>F11+F12+F13+F14+F15</f>
        <v>120</v>
      </c>
      <c r="G18" s="3338">
        <f>G13+G14+G15+G16+G17</f>
        <v>120</v>
      </c>
      <c r="H18" s="3322">
        <f>H11+H12+H13</f>
        <v>80</v>
      </c>
      <c r="I18" s="3233">
        <f>C18+D18+E18+F18+G18+H18</f>
        <v>1310</v>
      </c>
      <c r="L18" s="3398"/>
    </row>
    <row r="23" spans="1:21">
      <c r="A23" s="3339"/>
      <c r="B23" s="3339"/>
      <c r="C23" s="3339"/>
      <c r="D23" s="3339"/>
      <c r="E23" s="3340"/>
      <c r="F23" s="3339"/>
      <c r="G23" s="3339"/>
      <c r="H23" s="3339"/>
      <c r="I23" s="3339"/>
      <c r="J23" s="3339"/>
      <c r="K23" s="3339"/>
      <c r="L23" s="3339"/>
      <c r="M23" s="3339"/>
      <c r="N23" s="3339"/>
      <c r="O23" s="3339"/>
      <c r="P23" s="3339"/>
      <c r="Q23" s="3339"/>
      <c r="R23" s="3339"/>
      <c r="S23" s="3339"/>
      <c r="T23" s="3339"/>
      <c r="U23" s="3339"/>
    </row>
    <row r="24" spans="1:21" ht="21.75">
      <c r="A24" s="3552" t="s">
        <v>3409</v>
      </c>
      <c r="B24" s="3552" t="s">
        <v>3410</v>
      </c>
      <c r="C24" s="3552"/>
      <c r="D24" s="3552"/>
      <c r="E24" s="3552"/>
      <c r="F24" s="3552"/>
      <c r="G24" s="3552"/>
      <c r="H24" s="3552"/>
      <c r="I24" s="3339"/>
      <c r="J24" s="3339"/>
      <c r="K24" s="3339"/>
      <c r="L24" s="3339"/>
      <c r="M24" s="3339"/>
      <c r="N24" s="3339"/>
      <c r="O24" s="3339"/>
      <c r="P24" s="3339"/>
      <c r="Q24" s="3339"/>
      <c r="R24" s="3339"/>
      <c r="S24" s="3339"/>
      <c r="T24" s="3339"/>
      <c r="U24" s="3339"/>
    </row>
    <row r="25" spans="1:21" ht="14.25" thickBot="1">
      <c r="A25" s="3339"/>
      <c r="B25" s="3339"/>
      <c r="C25" s="3339"/>
      <c r="D25" s="3339"/>
      <c r="E25" s="3339"/>
      <c r="F25" s="3339"/>
      <c r="G25" s="3339"/>
      <c r="H25" s="3339"/>
      <c r="I25" s="3339"/>
      <c r="J25" s="3339"/>
      <c r="K25" s="3339"/>
      <c r="L25" s="3339"/>
      <c r="M25" s="3339"/>
      <c r="N25" s="3339"/>
      <c r="O25" s="3339"/>
      <c r="P25" s="3339"/>
      <c r="Q25" s="3339"/>
      <c r="R25" s="3339"/>
      <c r="S25" s="3339"/>
      <c r="T25" s="3339"/>
      <c r="U25" s="3339"/>
    </row>
    <row r="26" spans="1:21" ht="24" thickTop="1" thickBot="1">
      <c r="A26" s="3553" t="s">
        <v>3411</v>
      </c>
      <c r="B26" s="3341" t="s">
        <v>3412</v>
      </c>
      <c r="C26" s="3341" t="s">
        <v>3413</v>
      </c>
      <c r="D26" s="3341" t="s">
        <v>3414</v>
      </c>
      <c r="E26" s="3556" t="s">
        <v>3415</v>
      </c>
      <c r="F26" s="3556" t="s">
        <v>3416</v>
      </c>
      <c r="G26" s="3559" t="s">
        <v>3417</v>
      </c>
      <c r="H26" s="3560"/>
      <c r="I26" s="3560"/>
      <c r="J26" s="3560"/>
      <c r="K26" s="3560"/>
      <c r="L26" s="3560"/>
      <c r="M26" s="3560"/>
      <c r="N26" s="3560"/>
      <c r="O26" s="3560"/>
      <c r="P26" s="3560"/>
      <c r="Q26" s="3560"/>
      <c r="R26" s="3561"/>
      <c r="S26" s="3339"/>
      <c r="T26" s="3339"/>
      <c r="U26" s="3339"/>
    </row>
    <row r="27" spans="1:21" ht="14.25" thickBot="1">
      <c r="A27" s="3554"/>
      <c r="B27" s="3342" t="s">
        <v>3418</v>
      </c>
      <c r="C27" s="3342" t="s">
        <v>3419</v>
      </c>
      <c r="D27" s="3342" t="s">
        <v>3419</v>
      </c>
      <c r="E27" s="3557"/>
      <c r="F27" s="3558"/>
      <c r="G27" s="3562" t="s">
        <v>3420</v>
      </c>
      <c r="H27" s="3563"/>
      <c r="I27" s="3563"/>
      <c r="J27" s="3563"/>
      <c r="K27" s="3563"/>
      <c r="L27" s="3563"/>
      <c r="M27" s="3563"/>
      <c r="N27" s="3564"/>
      <c r="O27" s="3565" t="s">
        <v>3414</v>
      </c>
      <c r="P27" s="3566"/>
      <c r="Q27" s="3566"/>
      <c r="R27" s="3567"/>
      <c r="S27" s="3339"/>
      <c r="T27" s="3339"/>
      <c r="U27" s="3339"/>
    </row>
    <row r="28" spans="1:21" ht="24.75" thickBot="1">
      <c r="A28" s="3555"/>
      <c r="B28" s="3343"/>
      <c r="C28" s="3343"/>
      <c r="D28" s="3343"/>
      <c r="E28" s="3558"/>
      <c r="F28" s="3344" t="s">
        <v>3421</v>
      </c>
      <c r="G28" s="3344" t="s">
        <v>3422</v>
      </c>
      <c r="H28" s="3344" t="s">
        <v>1283</v>
      </c>
      <c r="I28" s="3344" t="s">
        <v>3423</v>
      </c>
      <c r="J28" s="3344" t="s">
        <v>3424</v>
      </c>
      <c r="K28" s="3344" t="s">
        <v>3425</v>
      </c>
      <c r="L28" s="3344" t="s">
        <v>3426</v>
      </c>
      <c r="M28" s="3344" t="s">
        <v>3427</v>
      </c>
      <c r="N28" s="3344" t="s">
        <v>3428</v>
      </c>
      <c r="O28" s="3344" t="s">
        <v>3242</v>
      </c>
      <c r="P28" s="3344" t="s">
        <v>3429</v>
      </c>
      <c r="Q28" s="3344" t="s">
        <v>3430</v>
      </c>
      <c r="R28" s="3345" t="s">
        <v>3431</v>
      </c>
      <c r="S28" s="3339"/>
      <c r="T28" s="3339"/>
      <c r="U28" s="3339"/>
    </row>
    <row r="29" spans="1:21">
      <c r="A29" s="3569" t="s">
        <v>3432</v>
      </c>
      <c r="B29" s="3547">
        <v>25797.72</v>
      </c>
      <c r="C29" s="3547">
        <v>23593.73</v>
      </c>
      <c r="D29" s="3547">
        <v>2203.9899999999998</v>
      </c>
      <c r="E29" s="3547" t="s">
        <v>3433</v>
      </c>
      <c r="F29" s="3547" t="s">
        <v>3434</v>
      </c>
      <c r="G29" s="3573">
        <v>21589.66</v>
      </c>
      <c r="H29" s="3573">
        <v>1548.63</v>
      </c>
      <c r="I29" s="3547"/>
      <c r="J29" s="3547"/>
      <c r="K29" s="3547">
        <v>162.58000000000001</v>
      </c>
      <c r="L29" s="3547">
        <v>292.86</v>
      </c>
      <c r="M29" s="3547"/>
      <c r="N29" s="3547"/>
      <c r="O29" s="3547"/>
      <c r="P29" s="3575">
        <v>223.52</v>
      </c>
      <c r="Q29" s="3547">
        <v>1980.47</v>
      </c>
      <c r="R29" s="3346"/>
      <c r="S29" s="3339"/>
      <c r="T29" s="3339"/>
      <c r="U29" s="3339"/>
    </row>
    <row r="30" spans="1:21" ht="14.25" thickBot="1">
      <c r="A30" s="3570"/>
      <c r="B30" s="3548"/>
      <c r="C30" s="3548"/>
      <c r="D30" s="3548"/>
      <c r="E30" s="3548"/>
      <c r="F30" s="3548"/>
      <c r="G30" s="3574"/>
      <c r="H30" s="3574"/>
      <c r="I30" s="3548"/>
      <c r="J30" s="3548"/>
      <c r="K30" s="3548"/>
      <c r="L30" s="3548"/>
      <c r="M30" s="3548"/>
      <c r="N30" s="3548"/>
      <c r="O30" s="3548"/>
      <c r="P30" s="3558"/>
      <c r="Q30" s="3576"/>
      <c r="R30" s="3347"/>
      <c r="S30" s="3339"/>
      <c r="T30" s="3339"/>
      <c r="U30" s="3339"/>
    </row>
    <row r="31" spans="1:21" ht="14.25" thickBot="1">
      <c r="A31" s="3348" t="s">
        <v>3435</v>
      </c>
      <c r="B31" s="3349">
        <v>27630.29</v>
      </c>
      <c r="C31" s="3350">
        <v>24717</v>
      </c>
      <c r="D31" s="3349">
        <v>2913.29</v>
      </c>
      <c r="E31" s="3350" t="s">
        <v>3436</v>
      </c>
      <c r="F31" s="3350" t="s">
        <v>3437</v>
      </c>
      <c r="G31" s="3351">
        <v>21584.39</v>
      </c>
      <c r="H31" s="3351">
        <v>3132.61</v>
      </c>
      <c r="I31" s="3350"/>
      <c r="J31" s="3350"/>
      <c r="K31" s="3350"/>
      <c r="L31" s="3350"/>
      <c r="M31" s="3350"/>
      <c r="N31" s="3350"/>
      <c r="O31" s="3352">
        <v>2500.9699999999998</v>
      </c>
      <c r="P31" s="3353">
        <v>412.32</v>
      </c>
      <c r="Q31" s="3354"/>
      <c r="R31" s="3347"/>
      <c r="S31" s="3339"/>
      <c r="T31" s="3339"/>
      <c r="U31" s="3339"/>
    </row>
    <row r="32" spans="1:21" ht="14.25" thickBot="1">
      <c r="A32" s="3348" t="s">
        <v>3438</v>
      </c>
      <c r="B32" s="3349">
        <v>14018.63</v>
      </c>
      <c r="C32" s="3350">
        <v>12696.41</v>
      </c>
      <c r="D32" s="3349">
        <v>1322.22</v>
      </c>
      <c r="E32" s="3350" t="s">
        <v>3436</v>
      </c>
      <c r="F32" s="3350" t="s">
        <v>3437</v>
      </c>
      <c r="G32" s="3351">
        <v>11544.17</v>
      </c>
      <c r="H32" s="3351">
        <v>1152.24</v>
      </c>
      <c r="I32" s="3350"/>
      <c r="J32" s="3350"/>
      <c r="K32" s="3350"/>
      <c r="L32" s="3350"/>
      <c r="M32" s="3350"/>
      <c r="N32" s="3350"/>
      <c r="O32" s="3352">
        <v>1140.1600000000001</v>
      </c>
      <c r="P32" s="3353">
        <v>182.06</v>
      </c>
      <c r="Q32" s="3354"/>
      <c r="R32" s="3347"/>
      <c r="S32" s="3339"/>
      <c r="T32" s="3339"/>
      <c r="U32" s="3339"/>
    </row>
    <row r="33" spans="1:21" ht="16.5" thickBot="1">
      <c r="A33" s="3348" t="s">
        <v>3439</v>
      </c>
      <c r="B33" s="3349">
        <v>14281.06</v>
      </c>
      <c r="C33" s="3350">
        <v>13103.84</v>
      </c>
      <c r="D33" s="3349">
        <v>1177.22</v>
      </c>
      <c r="E33" s="3350" t="s">
        <v>3436</v>
      </c>
      <c r="F33" s="3350" t="s">
        <v>3437</v>
      </c>
      <c r="G33" s="3351">
        <v>11867.49</v>
      </c>
      <c r="H33" s="3351">
        <v>1236.3499999999999</v>
      </c>
      <c r="I33" s="3350"/>
      <c r="J33" s="3350"/>
      <c r="K33" s="3350"/>
      <c r="L33" s="3350"/>
      <c r="M33" s="3350"/>
      <c r="N33" s="3350"/>
      <c r="O33" s="3350"/>
      <c r="P33" s="3353">
        <v>174.54</v>
      </c>
      <c r="Q33" s="3355">
        <v>1002.68</v>
      </c>
      <c r="R33" s="3347"/>
      <c r="S33" s="3356"/>
      <c r="T33" s="3356"/>
      <c r="U33" s="3356"/>
    </row>
    <row r="34" spans="1:21" ht="16.5" thickBot="1">
      <c r="A34" s="3348" t="s">
        <v>3440</v>
      </c>
      <c r="B34" s="3350">
        <v>12732.3</v>
      </c>
      <c r="C34" s="3350">
        <v>11693.77</v>
      </c>
      <c r="D34" s="3350">
        <v>1038.53</v>
      </c>
      <c r="E34" s="3350" t="s">
        <v>3433</v>
      </c>
      <c r="F34" s="3350" t="s">
        <v>3434</v>
      </c>
      <c r="G34" s="3351">
        <v>10879.97</v>
      </c>
      <c r="H34" s="3351">
        <v>813.8</v>
      </c>
      <c r="I34" s="3350"/>
      <c r="J34" s="3350"/>
      <c r="K34" s="3350"/>
      <c r="L34" s="3350"/>
      <c r="M34" s="3350"/>
      <c r="N34" s="3350"/>
      <c r="O34" s="3352">
        <v>927.21</v>
      </c>
      <c r="P34" s="3353">
        <v>111.32</v>
      </c>
      <c r="Q34" s="3354"/>
      <c r="R34" s="3347"/>
      <c r="S34" s="3356"/>
      <c r="T34" s="3356"/>
      <c r="U34" s="3356"/>
    </row>
    <row r="35" spans="1:21" ht="16.5" thickBot="1">
      <c r="A35" s="3348" t="s">
        <v>3441</v>
      </c>
      <c r="B35" s="3350">
        <v>9654.33</v>
      </c>
      <c r="C35" s="3350">
        <v>8867.1</v>
      </c>
      <c r="D35" s="3350">
        <v>787.23</v>
      </c>
      <c r="E35" s="3350" t="s">
        <v>3433</v>
      </c>
      <c r="F35" s="3350" t="s">
        <v>3434</v>
      </c>
      <c r="G35" s="3351">
        <v>8238.58</v>
      </c>
      <c r="H35" s="3351">
        <v>628.52</v>
      </c>
      <c r="I35" s="3350"/>
      <c r="J35" s="3350"/>
      <c r="K35" s="3350"/>
      <c r="L35" s="3350"/>
      <c r="M35" s="3350"/>
      <c r="N35" s="3350"/>
      <c r="O35" s="3352">
        <v>681.81</v>
      </c>
      <c r="P35" s="3353">
        <v>105.42</v>
      </c>
      <c r="Q35" s="3354"/>
      <c r="R35" s="3347"/>
      <c r="S35" s="3356"/>
      <c r="T35" s="3356"/>
      <c r="U35" s="3356"/>
    </row>
    <row r="36" spans="1:21" ht="16.5" thickBot="1">
      <c r="A36" s="3357" t="s">
        <v>48</v>
      </c>
      <c r="B36" s="3349">
        <v>26209.8</v>
      </c>
      <c r="C36" s="3350">
        <v>223.3</v>
      </c>
      <c r="D36" s="3349">
        <v>25986.5</v>
      </c>
      <c r="E36" s="3350" t="s">
        <v>3442</v>
      </c>
      <c r="F36" s="3350" t="s">
        <v>3443</v>
      </c>
      <c r="G36" s="3350"/>
      <c r="H36" s="3350"/>
      <c r="I36" s="3350"/>
      <c r="J36" s="3350"/>
      <c r="K36" s="3350"/>
      <c r="L36" s="3350"/>
      <c r="M36" s="3350">
        <v>30.3</v>
      </c>
      <c r="N36" s="3350">
        <v>193</v>
      </c>
      <c r="O36" s="3352">
        <v>3743.29</v>
      </c>
      <c r="P36" s="3344">
        <v>2020.92</v>
      </c>
      <c r="Q36" s="3358"/>
      <c r="R36" s="3571" t="s">
        <v>3444</v>
      </c>
      <c r="S36" s="3572"/>
      <c r="T36" s="3356"/>
      <c r="U36" s="3356"/>
    </row>
    <row r="37" spans="1:21" ht="16.5" thickBot="1">
      <c r="A37" s="3359" t="s">
        <v>37</v>
      </c>
      <c r="B37" s="3360">
        <f>SUM(B29:B36)</f>
        <v>130324.13</v>
      </c>
      <c r="C37" s="3360">
        <f t="shared" ref="C37:R37" si="3">SUM(C29:C36)</f>
        <v>94895.150000000009</v>
      </c>
      <c r="D37" s="3360">
        <f t="shared" si="3"/>
        <v>35428.979999999996</v>
      </c>
      <c r="E37" s="3360"/>
      <c r="F37" s="3360"/>
      <c r="G37" s="3361">
        <f t="shared" si="3"/>
        <v>85704.260000000009</v>
      </c>
      <c r="H37" s="3361">
        <f t="shared" si="3"/>
        <v>8512.15</v>
      </c>
      <c r="I37" s="3360">
        <f t="shared" si="3"/>
        <v>0</v>
      </c>
      <c r="J37" s="3360">
        <f t="shared" si="3"/>
        <v>0</v>
      </c>
      <c r="K37" s="3360">
        <f t="shared" si="3"/>
        <v>162.58000000000001</v>
      </c>
      <c r="L37" s="3360">
        <f t="shared" si="3"/>
        <v>292.86</v>
      </c>
      <c r="M37" s="3360">
        <f t="shared" si="3"/>
        <v>30.3</v>
      </c>
      <c r="N37" s="3360">
        <f t="shared" si="3"/>
        <v>193</v>
      </c>
      <c r="O37" s="3362">
        <f t="shared" si="3"/>
        <v>8993.4399999999987</v>
      </c>
      <c r="P37" s="3360">
        <f t="shared" si="3"/>
        <v>3230.1000000000004</v>
      </c>
      <c r="Q37" s="3360">
        <f t="shared" si="3"/>
        <v>2983.15</v>
      </c>
      <c r="R37" s="3360">
        <f t="shared" si="3"/>
        <v>0</v>
      </c>
      <c r="S37" s="3356"/>
      <c r="T37" s="3356"/>
      <c r="U37" s="3356"/>
    </row>
    <row r="38" spans="1:21" ht="16.5" thickTop="1">
      <c r="A38" s="3363"/>
      <c r="B38" s="3364"/>
      <c r="C38" s="3364"/>
      <c r="D38" s="3364"/>
      <c r="E38" s="3364"/>
      <c r="F38" s="3364"/>
      <c r="G38" s="3577" t="s">
        <v>3445</v>
      </c>
      <c r="H38" s="3578"/>
      <c r="I38" s="3364"/>
      <c r="J38" s="3364"/>
      <c r="K38" s="3364"/>
      <c r="L38" s="3364"/>
      <c r="M38" s="3364"/>
      <c r="N38" s="3364"/>
      <c r="O38" s="3365" t="s">
        <v>3446</v>
      </c>
      <c r="P38" s="3364"/>
      <c r="Q38" s="3364"/>
      <c r="R38" s="3364"/>
      <c r="S38" s="3356"/>
      <c r="T38" s="3356"/>
      <c r="U38" s="3356"/>
    </row>
    <row r="39" spans="1:21" ht="15.75">
      <c r="A39" s="3356"/>
      <c r="B39" s="3356"/>
      <c r="C39" s="3356"/>
      <c r="D39" s="3356">
        <f>SUM(D29:D35)</f>
        <v>9442.48</v>
      </c>
      <c r="E39" s="3356"/>
      <c r="F39" s="3356"/>
      <c r="G39" s="3356"/>
      <c r="H39" s="3356"/>
      <c r="I39" s="3356"/>
      <c r="J39" s="3356"/>
      <c r="K39" s="3356"/>
      <c r="L39" s="3356"/>
      <c r="M39" s="3356"/>
      <c r="N39" s="3356"/>
      <c r="O39" s="3356"/>
      <c r="P39" s="3356"/>
      <c r="Q39" s="3356"/>
      <c r="R39" s="3356"/>
      <c r="S39" s="3356"/>
      <c r="T39" s="3356"/>
      <c r="U39" s="3356"/>
    </row>
    <row r="40" spans="1:21" ht="15.75">
      <c r="A40" s="3356"/>
      <c r="B40" s="3356"/>
      <c r="C40" s="3356"/>
      <c r="D40" s="3356"/>
      <c r="E40" s="3356"/>
      <c r="F40" s="3356"/>
      <c r="G40" s="3356"/>
      <c r="H40" s="3356"/>
      <c r="I40" s="3356"/>
      <c r="J40" s="3356"/>
      <c r="K40" s="3356"/>
      <c r="L40" s="3356"/>
      <c r="M40" s="3356"/>
      <c r="N40" s="3356"/>
      <c r="O40" s="3366" t="s">
        <v>3447</v>
      </c>
      <c r="P40" s="3367"/>
      <c r="Q40" s="3579">
        <v>588</v>
      </c>
      <c r="R40" s="3580"/>
      <c r="S40" s="3581"/>
      <c r="T40" s="3356"/>
      <c r="U40" s="3356"/>
    </row>
    <row r="41" spans="1:21" ht="15.75">
      <c r="A41" s="3356"/>
      <c r="B41" s="3356"/>
      <c r="C41" s="3356"/>
      <c r="D41" s="3356"/>
      <c r="E41" s="3356"/>
      <c r="F41" s="3356"/>
      <c r="G41" s="3356"/>
      <c r="H41" s="3356"/>
      <c r="I41" s="3356"/>
      <c r="J41" s="3356"/>
      <c r="K41" s="3356"/>
      <c r="L41" s="3356"/>
      <c r="M41" s="3356">
        <f>20222.29/Q40</f>
        <v>34.391649659863944</v>
      </c>
      <c r="N41" s="3356"/>
      <c r="O41" s="3366" t="s">
        <v>3448</v>
      </c>
      <c r="P41" s="3367"/>
      <c r="Q41" s="3582">
        <v>60</v>
      </c>
      <c r="R41" s="3583"/>
      <c r="S41" s="3584"/>
      <c r="T41" s="3356"/>
      <c r="U41" s="3356"/>
    </row>
    <row r="42" spans="1:21" ht="15.75">
      <c r="A42" s="3356"/>
      <c r="B42" s="3356"/>
      <c r="C42" s="3356"/>
      <c r="D42" s="3356"/>
      <c r="E42" s="3356"/>
      <c r="F42" s="3356"/>
      <c r="G42" s="3356"/>
      <c r="H42" s="3356"/>
      <c r="I42" s="3356"/>
      <c r="J42" s="3356"/>
      <c r="K42" s="3356"/>
      <c r="L42" s="3356"/>
      <c r="M42" s="3356"/>
      <c r="N42" s="3356"/>
      <c r="O42" s="3585" t="s">
        <v>3449</v>
      </c>
      <c r="P42" s="3586"/>
      <c r="Q42" s="3587">
        <v>528</v>
      </c>
      <c r="R42" s="3368" t="s">
        <v>3450</v>
      </c>
      <c r="S42" s="3369">
        <v>276</v>
      </c>
      <c r="T42" s="3370" t="s">
        <v>3451</v>
      </c>
      <c r="U42" s="3356"/>
    </row>
    <row r="43" spans="1:21" ht="15.75">
      <c r="A43" s="3356"/>
      <c r="B43" s="3356"/>
      <c r="C43" s="3356"/>
      <c r="D43" s="3356"/>
      <c r="E43" s="3356"/>
      <c r="F43" s="3356"/>
      <c r="G43" s="3356"/>
      <c r="H43" s="3356"/>
      <c r="I43" s="3356"/>
      <c r="J43" s="3356"/>
      <c r="K43" s="3356"/>
      <c r="L43" s="3356"/>
      <c r="M43" s="3356"/>
      <c r="N43" s="3356"/>
      <c r="O43" s="3586"/>
      <c r="P43" s="3586"/>
      <c r="Q43" s="3586"/>
      <c r="R43" s="3366" t="s">
        <v>3452</v>
      </c>
      <c r="S43" s="3367">
        <v>252</v>
      </c>
      <c r="T43" s="3370" t="s">
        <v>3453</v>
      </c>
      <c r="U43" s="3356"/>
    </row>
  </sheetData>
  <mergeCells count="39">
    <mergeCell ref="G38:H38"/>
    <mergeCell ref="Q40:S40"/>
    <mergeCell ref="Q41:S41"/>
    <mergeCell ref="O42:P43"/>
    <mergeCell ref="Q42:Q43"/>
    <mergeCell ref="R36:S36"/>
    <mergeCell ref="G29:G30"/>
    <mergeCell ref="H29:H30"/>
    <mergeCell ref="I29:I30"/>
    <mergeCell ref="J29:J30"/>
    <mergeCell ref="K29:K30"/>
    <mergeCell ref="L29:L30"/>
    <mergeCell ref="M29:M30"/>
    <mergeCell ref="N29:N30"/>
    <mergeCell ref="O29:O30"/>
    <mergeCell ref="P29:P30"/>
    <mergeCell ref="Q29:Q30"/>
    <mergeCell ref="F1:F2"/>
    <mergeCell ref="A29:A30"/>
    <mergeCell ref="B29:B30"/>
    <mergeCell ref="C29:C30"/>
    <mergeCell ref="D29:D30"/>
    <mergeCell ref="E29:E30"/>
    <mergeCell ref="G1:G2"/>
    <mergeCell ref="F29:F30"/>
    <mergeCell ref="H1:H2"/>
    <mergeCell ref="I1:I2"/>
    <mergeCell ref="A10:I10"/>
    <mergeCell ref="A24:H24"/>
    <mergeCell ref="A26:A28"/>
    <mergeCell ref="E26:E28"/>
    <mergeCell ref="F26:F27"/>
    <mergeCell ref="G26:R26"/>
    <mergeCell ref="G27:N27"/>
    <mergeCell ref="O27:R27"/>
    <mergeCell ref="A1:B1"/>
    <mergeCell ref="C1:C2"/>
    <mergeCell ref="D1:D2"/>
    <mergeCell ref="E1:E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hidden="1" customWidth="1"/>
    <col min="20" max="21" width="10.75" style="1724" hidden="1" customWidth="1"/>
    <col min="22" max="22" width="10.875" style="1724" hidden="1" customWidth="1"/>
    <col min="23" max="27" width="10.75" style="1724" hidden="1" customWidth="1"/>
    <col min="28" max="28" width="10.875" style="1724" hidden="1"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1688</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1689</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1690</v>
      </c>
      <c r="B2" s="11" t="s">
        <v>1691</v>
      </c>
      <c r="C2" s="11" t="s">
        <v>1692</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5" t="s">
        <v>1693</v>
      </c>
      <c r="AZ2" s="1176" t="s">
        <v>1694</v>
      </c>
      <c r="BA2" s="11" t="s">
        <v>1695</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f>权属文件!I131</f>
        <v>15403.06</v>
      </c>
      <c r="B3" s="14">
        <f>IF(C3="否",G5-AT5,G5)</f>
        <v>63823.659999999953</v>
      </c>
      <c r="C3" s="1731" t="s">
        <v>3236</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7"/>
      <c r="AZ3" s="1178"/>
      <c r="BA3" s="1179"/>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1696</v>
      </c>
      <c r="B5" s="1497"/>
      <c r="C5" s="1497"/>
      <c r="D5" s="1499"/>
      <c r="E5" s="16" t="s">
        <v>1</v>
      </c>
      <c r="F5" s="16">
        <f>SUM(F13:F587)</f>
        <v>0</v>
      </c>
      <c r="G5" s="16">
        <f>SUM(G13:G587)</f>
        <v>63823.659999999953</v>
      </c>
      <c r="H5" s="16">
        <f t="shared" ref="H5:AT5" si="0">SUM(H13:H656)</f>
        <v>63823.659999999953</v>
      </c>
      <c r="I5" s="16">
        <f t="shared" si="0"/>
        <v>63823.659999999953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1696</v>
      </c>
      <c r="AW5" s="1497"/>
      <c r="AX5" s="1497"/>
      <c r="AY5" s="17" t="s">
        <v>3</v>
      </c>
      <c r="AZ5" s="18">
        <f t="shared" ref="AZ5:BT5" si="1">SUM(AZ13:AZ656)</f>
        <v>63823.659999999953</v>
      </c>
      <c r="BA5" s="18">
        <f t="shared" si="1"/>
        <v>63823.659999999953</v>
      </c>
      <c r="BB5" s="18">
        <f t="shared" si="1"/>
        <v>63823.659999999953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1697</v>
      </c>
      <c r="B6" s="1737"/>
      <c r="C6" s="1737"/>
      <c r="D6" s="1738"/>
      <c r="E6" s="16">
        <f>H6+AC6+AT6</f>
        <v>15403.06</v>
      </c>
      <c r="F6" s="16" t="s">
        <v>1</v>
      </c>
      <c r="G6" s="16" t="s">
        <v>2</v>
      </c>
      <c r="H6" s="20">
        <f>SUMIF(I$12:AB$12,"总值",I6:AB6)</f>
        <v>15403.06</v>
      </c>
      <c r="I6" s="16">
        <f t="shared" ref="I6:AB6" si="2">ROUND($A$3*I5/$B$3,2)</f>
        <v>15403.06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1697</v>
      </c>
      <c r="AW6" s="1737"/>
      <c r="AX6" s="1737"/>
      <c r="AY6" s="21">
        <f>IF(AY3&gt;0,AY3,ROUND($A$3*AZ5/$B$3,2))</f>
        <v>15403.06</v>
      </c>
      <c r="AZ6" s="16" t="s">
        <v>3</v>
      </c>
      <c r="BA6" s="16">
        <f>ROUND($AY$6*BA5/$AZ$5,2)</f>
        <v>15403.06</v>
      </c>
      <c r="BB6" s="16">
        <f>ROUND($AY$6*BB5/$AZ$5,2)</f>
        <v>15403.06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1698</v>
      </c>
      <c r="B7" s="1720" t="s">
        <v>1699</v>
      </c>
      <c r="C7" s="1720" t="s">
        <v>1700</v>
      </c>
      <c r="D7" s="1720" t="s">
        <v>1701</v>
      </c>
      <c r="E7" s="1720" t="s">
        <v>1702</v>
      </c>
      <c r="F7" s="1720" t="s">
        <v>1703</v>
      </c>
      <c r="G7" s="1741" t="s">
        <v>1704</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1705</v>
      </c>
      <c r="AV7" s="23" t="s">
        <v>1706</v>
      </c>
      <c r="AW7" s="1729" t="s">
        <v>1707</v>
      </c>
      <c r="AX7" s="23" t="s">
        <v>1700</v>
      </c>
      <c r="AY7" s="1497" t="s">
        <v>1708</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1709</v>
      </c>
      <c r="H8" s="1747" t="s">
        <v>1710</v>
      </c>
      <c r="I8" s="1748"/>
      <c r="J8" s="1510"/>
      <c r="K8" s="1510"/>
      <c r="L8" s="1510"/>
      <c r="M8" s="1510"/>
      <c r="N8" s="1510"/>
      <c r="O8" s="1510"/>
      <c r="P8" s="1510"/>
      <c r="Q8" s="1510"/>
      <c r="R8" s="1510"/>
      <c r="S8" s="1510"/>
      <c r="T8" s="1510"/>
      <c r="U8" s="1510"/>
      <c r="V8" s="1749"/>
      <c r="W8" s="1510"/>
      <c r="X8" s="1510"/>
      <c r="Y8" s="1510"/>
      <c r="Z8" s="1510"/>
      <c r="AA8" s="1749"/>
      <c r="AB8" s="1750"/>
      <c r="AC8" s="914" t="s">
        <v>1711</v>
      </c>
      <c r="AD8" s="1751"/>
      <c r="AE8" s="1743"/>
      <c r="AF8" s="1510"/>
      <c r="AG8" s="1510"/>
      <c r="AH8" s="1510"/>
      <c r="AI8" s="1510"/>
      <c r="AJ8" s="1510"/>
      <c r="AK8" s="1510"/>
      <c r="AL8" s="1510"/>
      <c r="AM8" s="1510"/>
      <c r="AN8" s="1510"/>
      <c r="AO8" s="1510"/>
      <c r="AP8" s="1510"/>
      <c r="AQ8" s="1510"/>
      <c r="AR8" s="1510"/>
      <c r="AS8" s="1510"/>
      <c r="AT8" s="1198" t="s">
        <v>1712</v>
      </c>
      <c r="AU8" s="1745" t="s">
        <v>1713</v>
      </c>
      <c r="AV8" s="1198"/>
      <c r="AW8" s="1728"/>
      <c r="AX8" s="1198"/>
      <c r="AY8" s="1729" t="s">
        <v>1714</v>
      </c>
      <c r="AZ8" s="1509" t="s">
        <v>1715</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8"/>
      <c r="H9" s="1753" t="s">
        <v>1716</v>
      </c>
      <c r="I9" s="1754" t="s">
        <v>3237</v>
      </c>
      <c r="J9" s="914"/>
      <c r="K9" s="1754" t="s">
        <v>3237</v>
      </c>
      <c r="L9" s="914"/>
      <c r="M9" s="1754" t="s">
        <v>3240</v>
      </c>
      <c r="N9" s="914"/>
      <c r="O9" s="1754" t="s">
        <v>3240</v>
      </c>
      <c r="P9" s="914"/>
      <c r="Q9" s="1754"/>
      <c r="R9" s="914"/>
      <c r="S9" s="1754"/>
      <c r="T9" s="914"/>
      <c r="U9" s="1754"/>
      <c r="V9" s="914"/>
      <c r="W9" s="1754"/>
      <c r="X9" s="1755"/>
      <c r="Y9" s="1754"/>
      <c r="Z9" s="914"/>
      <c r="AA9" s="1754"/>
      <c r="AB9" s="914"/>
      <c r="AC9" s="1746" t="s">
        <v>1716</v>
      </c>
      <c r="AD9" s="15" t="s">
        <v>1717</v>
      </c>
      <c r="AE9" s="1204"/>
      <c r="AF9" s="15" t="s">
        <v>1718</v>
      </c>
      <c r="AG9" s="1204"/>
      <c r="AH9" s="15" t="s">
        <v>1717</v>
      </c>
      <c r="AI9" s="1204"/>
      <c r="AJ9" s="15" t="s">
        <v>1718</v>
      </c>
      <c r="AK9" s="1204"/>
      <c r="AL9" s="15" t="s">
        <v>1717</v>
      </c>
      <c r="AM9" s="1204"/>
      <c r="AN9" s="15" t="s">
        <v>1718</v>
      </c>
      <c r="AO9" s="1204"/>
      <c r="AP9" s="15" t="s">
        <v>1717</v>
      </c>
      <c r="AQ9" s="1204"/>
      <c r="AR9" s="15" t="s">
        <v>1718</v>
      </c>
      <c r="AS9" s="1756"/>
      <c r="AT9" s="1745"/>
      <c r="AU9" s="1745" t="s">
        <v>1719</v>
      </c>
      <c r="AV9" s="1198"/>
      <c r="AW9" s="1728"/>
      <c r="AX9" s="1198"/>
      <c r="AY9" s="28"/>
      <c r="AZ9" s="28" t="s">
        <v>1709</v>
      </c>
      <c r="BA9" s="1757" t="s">
        <v>1720</v>
      </c>
      <c r="BB9" s="1758"/>
      <c r="BC9" s="1216"/>
      <c r="BD9" s="1216"/>
      <c r="BE9" s="1216"/>
      <c r="BF9" s="1216"/>
      <c r="BG9" s="1216"/>
      <c r="BH9" s="1216"/>
      <c r="BI9" s="1216"/>
      <c r="BJ9" s="1216"/>
      <c r="BK9" s="1759"/>
      <c r="BL9" s="15" t="s">
        <v>1721</v>
      </c>
      <c r="BM9" s="1510"/>
      <c r="BN9" s="1748"/>
      <c r="BO9" s="1510"/>
      <c r="BP9" s="1510"/>
      <c r="BQ9" s="1510"/>
      <c r="BR9" s="1510"/>
      <c r="BS9" s="1510"/>
      <c r="BT9" s="26"/>
    </row>
    <row r="10" spans="1:72" s="1752" customFormat="1" ht="12.75">
      <c r="A10" s="1745"/>
      <c r="B10" s="1745"/>
      <c r="C10" s="1745"/>
      <c r="D10" s="1745"/>
      <c r="E10" s="1745"/>
      <c r="F10" s="1745"/>
      <c r="G10" s="1198"/>
      <c r="H10" s="28"/>
      <c r="I10" s="1754" t="s">
        <v>27</v>
      </c>
      <c r="J10" s="914"/>
      <c r="K10" s="1760" t="s">
        <v>1283</v>
      </c>
      <c r="L10" s="914"/>
      <c r="M10" s="1760" t="s">
        <v>27</v>
      </c>
      <c r="N10" s="914"/>
      <c r="O10" s="1760" t="s">
        <v>27</v>
      </c>
      <c r="P10" s="914"/>
      <c r="Q10" s="1760"/>
      <c r="R10" s="914"/>
      <c r="S10" s="1760"/>
      <c r="T10" s="914"/>
      <c r="U10" s="1760"/>
      <c r="V10" s="914"/>
      <c r="W10" s="1760"/>
      <c r="X10" s="914"/>
      <c r="Y10" s="1760"/>
      <c r="Z10" s="914"/>
      <c r="AA10" s="1760"/>
      <c r="AB10" s="914"/>
      <c r="AC10" s="1198"/>
      <c r="AD10" s="15" t="s">
        <v>1722</v>
      </c>
      <c r="AE10" s="1761"/>
      <c r="AF10" s="15" t="s">
        <v>1722</v>
      </c>
      <c r="AG10" s="1761"/>
      <c r="AH10" s="15" t="s">
        <v>1723</v>
      </c>
      <c r="AI10" s="1761"/>
      <c r="AJ10" s="15" t="s">
        <v>1723</v>
      </c>
      <c r="AK10" s="1761"/>
      <c r="AL10" s="15" t="s">
        <v>1724</v>
      </c>
      <c r="AM10" s="1204"/>
      <c r="AN10" s="15" t="s">
        <v>1724</v>
      </c>
      <c r="AO10" s="1204"/>
      <c r="AP10" s="15" t="s">
        <v>1725</v>
      </c>
      <c r="AQ10" s="1204"/>
      <c r="AR10" s="15" t="s">
        <v>1725</v>
      </c>
      <c r="AS10" s="1204"/>
      <c r="AT10" s="1745"/>
      <c r="AU10" s="1745"/>
      <c r="AV10" s="1198"/>
      <c r="AW10" s="1728"/>
      <c r="AX10" s="1198"/>
      <c r="AY10" s="28"/>
      <c r="AZ10" s="28"/>
      <c r="BA10" s="1762" t="s">
        <v>1716</v>
      </c>
      <c r="BB10" s="1763" t="str">
        <f>I9</f>
        <v>地上</v>
      </c>
      <c r="BC10" s="29" t="str">
        <f>K9</f>
        <v>地上</v>
      </c>
      <c r="BD10" s="29" t="str">
        <f>M9</f>
        <v>地下</v>
      </c>
      <c r="BE10" s="29" t="str">
        <f>O9</f>
        <v>地下</v>
      </c>
      <c r="BF10" s="29">
        <f>Q9</f>
        <v>0</v>
      </c>
      <c r="BG10" s="29">
        <f>S9</f>
        <v>0</v>
      </c>
      <c r="BH10" s="29">
        <f>U9</f>
        <v>0</v>
      </c>
      <c r="BI10" s="29">
        <f>W9</f>
        <v>0</v>
      </c>
      <c r="BJ10" s="29">
        <f>Y9</f>
        <v>0</v>
      </c>
      <c r="BK10" s="29">
        <f>AA9</f>
        <v>0</v>
      </c>
      <c r="BL10" s="25" t="s">
        <v>1716</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8"/>
      <c r="H11" s="1762"/>
      <c r="I11" s="1765" t="s">
        <v>3238</v>
      </c>
      <c r="J11" s="1766"/>
      <c r="K11" s="1765" t="s">
        <v>3239</v>
      </c>
      <c r="L11" s="1766"/>
      <c r="M11" s="1765" t="s">
        <v>3241</v>
      </c>
      <c r="N11" s="1766"/>
      <c r="O11" s="1765" t="s">
        <v>3242</v>
      </c>
      <c r="P11" s="1766"/>
      <c r="Q11" s="1765"/>
      <c r="R11" s="1766"/>
      <c r="S11" s="1765"/>
      <c r="T11" s="1766"/>
      <c r="U11" s="1765"/>
      <c r="V11" s="1766"/>
      <c r="W11" s="1765"/>
      <c r="X11" s="1766"/>
      <c r="Y11" s="1765"/>
      <c r="Z11" s="1766"/>
      <c r="AA11" s="1765"/>
      <c r="AB11" s="1766"/>
      <c r="AC11" s="1198"/>
      <c r="AD11" s="1767" t="s">
        <v>1726</v>
      </c>
      <c r="AE11" s="1511"/>
      <c r="AF11" s="1767" t="s">
        <v>1726</v>
      </c>
      <c r="AG11" s="1511"/>
      <c r="AH11" s="1767" t="s">
        <v>1727</v>
      </c>
      <c r="AI11" s="1768"/>
      <c r="AJ11" s="1767" t="s">
        <v>1727</v>
      </c>
      <c r="AK11" s="1511"/>
      <c r="AL11" s="1509"/>
      <c r="AM11" s="1511"/>
      <c r="AN11" s="1509"/>
      <c r="AO11" s="1511"/>
      <c r="AP11" s="1509"/>
      <c r="AQ11" s="1511"/>
      <c r="AR11" s="1509"/>
      <c r="AS11" s="1511"/>
      <c r="AT11" s="1728"/>
      <c r="AU11" s="1745"/>
      <c r="AV11" s="1198"/>
      <c r="AW11" s="1728"/>
      <c r="AX11" s="1198"/>
      <c r="AY11" s="28"/>
      <c r="AZ11" s="28"/>
      <c r="BA11" s="28"/>
      <c r="BB11" s="1750" t="str">
        <f>I10</f>
        <v>办公</v>
      </c>
      <c r="BC11" s="1750" t="str">
        <f>K10</f>
        <v>商业</v>
      </c>
      <c r="BD11" s="1750" t="str">
        <f>M10</f>
        <v>办公</v>
      </c>
      <c r="BE11" s="1750" t="str">
        <f>O10</f>
        <v>办公</v>
      </c>
      <c r="BF11" s="1750">
        <f>Q10</f>
        <v>0</v>
      </c>
      <c r="BG11" s="1750">
        <f>S10</f>
        <v>0</v>
      </c>
      <c r="BH11" s="1750">
        <f>U10</f>
        <v>0</v>
      </c>
      <c r="BI11" s="1750">
        <f>W10</f>
        <v>0</v>
      </c>
      <c r="BJ11" s="1750">
        <f>Y10</f>
        <v>0</v>
      </c>
      <c r="BK11" s="1750">
        <f>AA10</f>
        <v>0</v>
      </c>
      <c r="BL11" s="1198"/>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6" t="s">
        <v>1729</v>
      </c>
      <c r="W12" s="11" t="s">
        <v>1728</v>
      </c>
      <c r="X12" s="11" t="s">
        <v>1729</v>
      </c>
      <c r="Y12" s="11" t="s">
        <v>1728</v>
      </c>
      <c r="Z12" s="11" t="s">
        <v>1729</v>
      </c>
      <c r="AA12" s="11" t="s">
        <v>1728</v>
      </c>
      <c r="AB12" s="11" t="s">
        <v>1729</v>
      </c>
      <c r="AC12" s="1772"/>
      <c r="AD12" s="1499"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0" t="s">
        <v>1729</v>
      </c>
      <c r="AT12" s="1773"/>
      <c r="AU12" s="1770"/>
      <c r="AV12" s="31"/>
      <c r="AW12" s="1729"/>
      <c r="AX12" s="31"/>
      <c r="AY12" s="1774"/>
      <c r="AZ12" s="28"/>
      <c r="BA12" s="1762"/>
      <c r="BB12" s="24" t="str">
        <f>I11</f>
        <v>宿舍</v>
      </c>
      <c r="BC12" s="1775" t="str">
        <f>K11</f>
        <v>底商</v>
      </c>
      <c r="BD12" s="1775" t="str">
        <f>M11</f>
        <v>车库</v>
      </c>
      <c r="BE12" s="1750" t="str">
        <f>O11</f>
        <v>戊类库房</v>
      </c>
      <c r="BF12" s="1750">
        <f>Q11</f>
        <v>0</v>
      </c>
      <c r="BG12" s="1750">
        <f>S11</f>
        <v>0</v>
      </c>
      <c r="BH12" s="1750">
        <f>U11</f>
        <v>0</v>
      </c>
      <c r="BI12" s="1750">
        <f>W11</f>
        <v>0</v>
      </c>
      <c r="BJ12" s="1750">
        <f>Y11</f>
        <v>0</v>
      </c>
      <c r="BK12" s="1750">
        <f>AA11</f>
        <v>0</v>
      </c>
      <c r="BL12" s="1198"/>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8"/>
      <c r="B13" s="1178"/>
      <c r="C13" s="1178"/>
      <c r="D13" s="1776" t="s">
        <v>3236</v>
      </c>
      <c r="E13" s="16">
        <f>IF($C$3="是",ROUND($A$3*G13/$B$3,2),ROUND($A$3*(G13-AT13)/$B$3,2))</f>
        <v>15403.06</v>
      </c>
      <c r="F13" s="32"/>
      <c r="G13" s="33">
        <f>H13+AC13+AT13</f>
        <v>63823.659999999953</v>
      </c>
      <c r="H13" s="20">
        <f>SUMIF(I$12:AB$12,"总值",I13:AB13)</f>
        <v>63823.659999999953</v>
      </c>
      <c r="I13" s="1777">
        <f>权属文件!I130</f>
        <v>63823.659999999953</v>
      </c>
      <c r="J13" s="1777"/>
      <c r="K13" s="1777"/>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15403.06</v>
      </c>
      <c r="AZ13" s="16">
        <f>BA13+BL13</f>
        <v>63823.659999999953</v>
      </c>
      <c r="BA13" s="16">
        <f>SUM(BB13:BK13)</f>
        <v>63823.659999999953</v>
      </c>
      <c r="BB13" s="16">
        <f>IF($D13="是",I13-J13,0)</f>
        <v>63823.659999999953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78"/>
      <c r="B14" s="1178"/>
      <c r="C14" s="1178"/>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78"/>
      <c r="B15" s="1178"/>
      <c r="C15" s="1178"/>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78"/>
      <c r="B16" s="1178"/>
      <c r="C16" s="1178"/>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78"/>
      <c r="B17" s="1178"/>
      <c r="C17" s="1178"/>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78"/>
      <c r="D18" s="177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335"/>
      <c r="D19" s="177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8"/>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8" t="s">
        <v>0</v>
      </c>
      <c r="B1" s="3588" t="s">
        <v>4</v>
      </c>
      <c r="C1" s="3588" t="s">
        <v>5</v>
      </c>
      <c r="D1" s="3589" t="s">
        <v>53</v>
      </c>
      <c r="E1" s="3589" t="s">
        <v>54</v>
      </c>
      <c r="F1" s="3589"/>
      <c r="G1" s="3589"/>
      <c r="H1" s="3589"/>
      <c r="I1" s="3589"/>
      <c r="J1" s="3589"/>
      <c r="K1" s="3589"/>
      <c r="L1" s="3589"/>
      <c r="M1" s="3589"/>
    </row>
    <row r="2" spans="1:13" ht="27" customHeight="1">
      <c r="A2" s="3588"/>
      <c r="B2" s="3588"/>
      <c r="C2" s="3588"/>
      <c r="D2" s="3589"/>
      <c r="E2" s="3589" t="s">
        <v>37</v>
      </c>
      <c r="F2" s="3589" t="s">
        <v>38</v>
      </c>
      <c r="G2" s="3589"/>
      <c r="H2" s="3589"/>
      <c r="I2" s="3589"/>
      <c r="J2" s="3589" t="s">
        <v>39</v>
      </c>
      <c r="K2" s="3589"/>
      <c r="L2" s="3589"/>
      <c r="M2" s="3589"/>
    </row>
    <row r="3" spans="1:13" ht="28.5">
      <c r="A3" s="3588"/>
      <c r="B3" s="3588"/>
      <c r="C3" s="3588"/>
      <c r="D3" s="3589"/>
      <c r="E3" s="35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9" t="s">
        <v>55</v>
      </c>
      <c r="B9" s="3589"/>
      <c r="C9" s="35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38"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1755</v>
      </c>
      <c r="B1" s="1269"/>
      <c r="C1" s="1269"/>
      <c r="D1" s="1269"/>
      <c r="E1" s="1269"/>
      <c r="F1" s="1269"/>
      <c r="G1" s="1269"/>
      <c r="H1" s="1269"/>
      <c r="I1" s="1269"/>
      <c r="J1" s="1269"/>
      <c r="K1" s="1269"/>
      <c r="L1" s="1269"/>
      <c r="M1" s="1269"/>
      <c r="N1" s="1269"/>
      <c r="O1" s="1269"/>
      <c r="P1" s="1269"/>
    </row>
    <row r="2" spans="1:16" ht="15">
      <c r="A2" s="3599" t="s">
        <v>1756</v>
      </c>
      <c r="B2" s="3599"/>
      <c r="C2" s="3599"/>
      <c r="D2" s="900" t="s">
        <v>1732</v>
      </c>
      <c r="E2" s="1790" t="s">
        <v>1733</v>
      </c>
      <c r="F2" s="2848"/>
      <c r="G2" s="2839"/>
      <c r="H2" s="2840"/>
      <c r="I2" s="2511" t="s">
        <v>1757</v>
      </c>
      <c r="J2" s="2848"/>
      <c r="K2" s="2848"/>
      <c r="L2" s="2848"/>
      <c r="M2" s="2848"/>
      <c r="N2" s="2850"/>
      <c r="O2" s="2848"/>
      <c r="P2" s="2848"/>
    </row>
    <row r="3" spans="1:16" ht="15.75" thickBot="1">
      <c r="A3" s="3600" t="s">
        <v>1730</v>
      </c>
      <c r="B3" s="3600"/>
      <c r="C3" s="3600"/>
      <c r="D3" s="46">
        <f>'数据-基础表'!AY6</f>
        <v>15403.06</v>
      </c>
      <c r="E3" s="46">
        <f>'数据-基础表'!AZ5</f>
        <v>63823.659999999953</v>
      </c>
      <c r="F3" s="2848"/>
      <c r="G3" s="1275"/>
      <c r="H3" s="1153" t="s">
        <v>1731</v>
      </c>
      <c r="I3" s="960">
        <f>ROUND('数据-基础表'!B3/'数据-基础表'!A3,2)</f>
        <v>4.1399999999999997</v>
      </c>
      <c r="J3" s="2848"/>
      <c r="K3" s="2848"/>
      <c r="L3" s="2848"/>
      <c r="M3" s="2848"/>
      <c r="N3" s="2850"/>
      <c r="O3" s="2848"/>
      <c r="P3" s="2848"/>
    </row>
    <row r="4" spans="1:16" ht="15">
      <c r="A4" s="3601"/>
      <c r="B4" s="3602"/>
      <c r="C4" s="3603"/>
      <c r="D4" s="1792" t="s">
        <v>1732</v>
      </c>
      <c r="E4" s="1793" t="s">
        <v>1733</v>
      </c>
      <c r="F4" s="2848"/>
      <c r="G4" s="2841" t="s">
        <v>1758</v>
      </c>
      <c r="H4" s="1153" t="s">
        <v>1738</v>
      </c>
      <c r="I4" s="960">
        <f>ROUND(SUMIF('数据-基础表'!I9:AS9,"地上",'数据-基础表'!I5:AS5)/'数据-基础表'!A3,2)</f>
        <v>4.1399999999999997</v>
      </c>
      <c r="J4" s="2848"/>
      <c r="K4" s="2848"/>
      <c r="L4" s="2848"/>
      <c r="M4" s="2848"/>
      <c r="N4" s="2850"/>
      <c r="O4" s="2848"/>
      <c r="P4" s="2848"/>
    </row>
    <row r="5" spans="1:16">
      <c r="A5" s="47" t="s">
        <v>1734</v>
      </c>
      <c r="B5" s="3604" t="s">
        <v>1735</v>
      </c>
      <c r="C5" s="3604"/>
      <c r="D5" s="48">
        <f>ROUND($D$3*E5/$E$3,2)</f>
        <v>0</v>
      </c>
      <c r="E5" s="49">
        <f>SUMIF('数据-基础表'!$11:$11,"住宅",'数据-基础表'!$5:$5)</f>
        <v>0</v>
      </c>
      <c r="F5" s="2848"/>
      <c r="G5" s="1275"/>
      <c r="H5" s="1153" t="s">
        <v>1731</v>
      </c>
      <c r="I5" s="960">
        <f>ROUND(E31/D31,2)</f>
        <v>4.1399999999999997</v>
      </c>
      <c r="J5" s="2848"/>
      <c r="K5" s="2848"/>
      <c r="L5" s="2848"/>
      <c r="M5" s="2848"/>
      <c r="N5" s="2848"/>
      <c r="O5" s="2848"/>
      <c r="P5" s="2848"/>
    </row>
    <row r="6" spans="1:16" ht="15" thickBot="1">
      <c r="A6" s="1795"/>
      <c r="B6" s="3604" t="s">
        <v>1736</v>
      </c>
      <c r="C6" s="3604"/>
      <c r="D6" s="48">
        <f>ROUND($D$3*E6/$E$3,2)</f>
        <v>15403.06</v>
      </c>
      <c r="E6" s="49">
        <f>E3-E5</f>
        <v>63823.659999999953</v>
      </c>
      <c r="F6" s="2848"/>
      <c r="G6" s="2842" t="s">
        <v>1737</v>
      </c>
      <c r="H6" s="1276" t="s">
        <v>1738</v>
      </c>
      <c r="I6" s="2843">
        <f>ROUND(F31/D31,2)</f>
        <v>4.1399999999999997</v>
      </c>
      <c r="J6" s="2848"/>
      <c r="K6" s="2848"/>
      <c r="L6" s="2848"/>
      <c r="M6" s="2848"/>
      <c r="N6" s="2848"/>
      <c r="O6" s="2848"/>
      <c r="P6" s="2848"/>
    </row>
    <row r="7" spans="1:16" ht="15.75" thickBot="1">
      <c r="A7" s="3596"/>
      <c r="B7" s="3597"/>
      <c r="C7" s="3598"/>
      <c r="D7" s="1792" t="s">
        <v>1732</v>
      </c>
      <c r="E7" s="1796" t="s">
        <v>1739</v>
      </c>
      <c r="F7" s="2848"/>
      <c r="G7" s="2844" t="s">
        <v>1740</v>
      </c>
      <c r="H7" s="2845"/>
      <c r="I7" s="2846">
        <v>2.4</v>
      </c>
      <c r="J7" s="2848"/>
      <c r="K7" s="2848"/>
      <c r="L7" s="2848"/>
      <c r="M7" s="2848"/>
      <c r="N7" s="2848"/>
      <c r="O7" s="2848"/>
      <c r="P7" s="2848"/>
    </row>
    <row r="8" spans="1:16">
      <c r="A8" s="47" t="s">
        <v>1741</v>
      </c>
      <c r="B8" s="50" t="s">
        <v>1742</v>
      </c>
      <c r="C8" s="48" t="s">
        <v>1743</v>
      </c>
      <c r="D8" s="48">
        <f t="shared" ref="D8:D15" si="0">ROUND($D$3*E8/$E$3,2)</f>
        <v>15403.06</v>
      </c>
      <c r="E8" s="51">
        <f>SUMIF('数据-基础表'!BB10:BK10,"地上",'数据-基础表'!BB5:BK5)</f>
        <v>63823.659999999953</v>
      </c>
      <c r="F8" s="2848"/>
      <c r="G8" s="2849"/>
      <c r="H8" s="2849"/>
      <c r="I8" s="2848"/>
      <c r="J8" s="2848"/>
      <c r="K8" s="2848"/>
      <c r="L8" s="2848"/>
      <c r="M8" s="2848"/>
      <c r="N8" s="2848"/>
      <c r="O8" s="2848"/>
      <c r="P8" s="2848"/>
    </row>
    <row r="9" spans="1:16">
      <c r="A9" s="1797"/>
      <c r="B9" s="1798"/>
      <c r="C9" s="48" t="s">
        <v>1744</v>
      </c>
      <c r="D9" s="48">
        <f t="shared" si="0"/>
        <v>0</v>
      </c>
      <c r="E9" s="52">
        <v>0</v>
      </c>
      <c r="F9" s="2848"/>
      <c r="G9" s="2849"/>
      <c r="H9" s="2849"/>
      <c r="I9" s="2848"/>
      <c r="J9" s="2848"/>
      <c r="K9" s="2848"/>
      <c r="L9" s="2848"/>
      <c r="M9" s="2848"/>
      <c r="N9" s="2848"/>
      <c r="O9" s="2848"/>
      <c r="P9" s="2848"/>
    </row>
    <row r="10" spans="1:16">
      <c r="A10" s="1797"/>
      <c r="B10" s="1798"/>
      <c r="C10" s="48" t="s">
        <v>1753</v>
      </c>
      <c r="D10" s="48">
        <f t="shared" si="0"/>
        <v>0</v>
      </c>
      <c r="E10" s="51">
        <f>SUMPRODUCT(('数据-基础表'!BB10:BK10="地下")*('数据-基础表'!BB11:BK11="商业")*('数据-基础表'!BB5:BK5))</f>
        <v>0</v>
      </c>
      <c r="F10" s="2848"/>
      <c r="G10" s="2849"/>
      <c r="H10" s="2849"/>
      <c r="I10" s="2848"/>
      <c r="J10" s="2848"/>
      <c r="K10" s="2848"/>
      <c r="L10" s="2848"/>
      <c r="M10" s="2848"/>
      <c r="N10" s="2848"/>
      <c r="O10" s="2848"/>
      <c r="P10" s="2848"/>
    </row>
    <row r="11" spans="1:16">
      <c r="A11" s="1797"/>
      <c r="B11" s="1798"/>
      <c r="C11" s="48" t="s">
        <v>1745</v>
      </c>
      <c r="D11" s="48">
        <f t="shared" si="0"/>
        <v>0</v>
      </c>
      <c r="E11" s="51">
        <f>SUMPRODUCT(('数据-基础表'!BB10:BK10="地下")*('数据-基础表'!BB11:BK11="办公")*('数据-基础表'!BB5:BK5))+'数据-基础表'!BP5</f>
        <v>0</v>
      </c>
      <c r="F11" s="2848"/>
      <c r="G11" s="2849"/>
      <c r="H11" s="2849"/>
      <c r="I11" s="2848"/>
      <c r="J11" s="2848"/>
      <c r="K11" s="2848"/>
      <c r="L11" s="2848"/>
      <c r="M11" s="2848"/>
      <c r="N11" s="2848"/>
      <c r="O11" s="2848"/>
      <c r="P11" s="2848"/>
    </row>
    <row r="12" spans="1:16">
      <c r="A12" s="1797"/>
      <c r="B12" s="1798"/>
      <c r="C12" s="48" t="s">
        <v>1746</v>
      </c>
      <c r="D12" s="48">
        <f t="shared" si="0"/>
        <v>0</v>
      </c>
      <c r="E12" s="51">
        <f>SUMPRODUCT(('数据-基础表'!BB10:BK10="地下")*('数据-基础表'!BB11:BK11="仓储")*('数据-基础表'!BB5:BK5))</f>
        <v>0</v>
      </c>
      <c r="F12" s="2848"/>
      <c r="G12" s="2849"/>
      <c r="H12" s="2849"/>
      <c r="I12" s="2848"/>
      <c r="J12" s="2848"/>
      <c r="K12" s="2848"/>
      <c r="L12" s="2848"/>
      <c r="M12" s="2848"/>
      <c r="N12" s="2848"/>
      <c r="O12" s="2848"/>
      <c r="P12" s="2848"/>
    </row>
    <row r="13" spans="1:16">
      <c r="A13" s="1797"/>
      <c r="B13" s="1798"/>
      <c r="C13" s="48" t="s">
        <v>1747</v>
      </c>
      <c r="D13" s="48">
        <f t="shared" si="0"/>
        <v>0</v>
      </c>
      <c r="E13" s="51">
        <f>SUMPRODUCT(('数据-基础表'!BB10:BK10="地下")*('数据-基础表'!BB11:BK11="车库")*('数据-基础表'!BB5:BK5))</f>
        <v>0</v>
      </c>
      <c r="F13" s="2848"/>
      <c r="G13" s="2849"/>
      <c r="H13" s="2849"/>
      <c r="I13" s="2848"/>
      <c r="J13" s="2848"/>
      <c r="K13" s="2848"/>
      <c r="L13" s="2848"/>
      <c r="M13" s="2848"/>
      <c r="N13" s="2848"/>
      <c r="O13" s="2848"/>
      <c r="P13" s="2848"/>
    </row>
    <row r="14" spans="1:16">
      <c r="A14" s="1797"/>
      <c r="B14" s="1798"/>
      <c r="C14" s="48" t="s">
        <v>1759</v>
      </c>
      <c r="D14" s="48">
        <f t="shared" si="0"/>
        <v>0</v>
      </c>
      <c r="E14" s="51">
        <f>SUMPRODUCT(('数据-基础表'!BB10:BK10="地下")*('数据-基础表'!BB11:BK11="车库—商业")*('数据-基础表'!BB5:BK5))</f>
        <v>0</v>
      </c>
      <c r="F14" s="2848"/>
      <c r="G14" s="2849"/>
      <c r="H14" s="2849"/>
      <c r="I14" s="2848"/>
      <c r="J14" s="2848"/>
      <c r="K14" s="2848"/>
      <c r="L14" s="2848"/>
      <c r="M14" s="2848"/>
      <c r="N14" s="2848"/>
      <c r="O14" s="2848"/>
      <c r="P14" s="2848"/>
    </row>
    <row r="15" spans="1:16" ht="15" thickBot="1">
      <c r="A15" s="1797"/>
      <c r="B15" s="1798"/>
      <c r="C15" s="48" t="s">
        <v>1754</v>
      </c>
      <c r="D15" s="48">
        <f t="shared" si="0"/>
        <v>0</v>
      </c>
      <c r="E15" s="51">
        <f>SUMPRODUCT(('数据-基础表'!BB10:BK10="地下")*('数据-基础表'!BB11:BK11="车库—办公")*('数据-基础表'!BB5:BK5))</f>
        <v>0</v>
      </c>
      <c r="F15" s="2848"/>
      <c r="G15" s="2849"/>
      <c r="H15" s="2849"/>
      <c r="I15" s="2848"/>
      <c r="J15" s="2848"/>
      <c r="K15" s="2848"/>
      <c r="L15" s="2848"/>
      <c r="M15" s="2848"/>
      <c r="N15" s="2848"/>
      <c r="O15" s="2848"/>
      <c r="P15" s="2848"/>
    </row>
    <row r="16" spans="1:16" ht="15.75" thickBot="1">
      <c r="A16" s="1795"/>
      <c r="B16" s="1798"/>
      <c r="C16" s="50" t="s">
        <v>1748</v>
      </c>
      <c r="D16" s="50">
        <f>SUM(D8:D15)</f>
        <v>15403.06</v>
      </c>
      <c r="E16" s="53">
        <f>SUM(E8:E15)</f>
        <v>63823.659999999953</v>
      </c>
      <c r="F16" s="2848"/>
      <c r="G16" s="2849"/>
      <c r="H16" s="1799" t="s">
        <v>1760</v>
      </c>
      <c r="I16" s="1800"/>
      <c r="J16" s="1269"/>
      <c r="K16" s="3593" t="s">
        <v>1760</v>
      </c>
      <c r="L16" s="3594"/>
      <c r="M16" s="3594"/>
      <c r="N16" s="3594"/>
      <c r="O16" s="3594"/>
      <c r="P16" s="3595"/>
    </row>
    <row r="17" spans="1:19" ht="15">
      <c r="A17" s="1801" t="s">
        <v>1761</v>
      </c>
      <c r="B17" s="1802" t="s">
        <v>1762</v>
      </c>
      <c r="C17" s="1803" t="s">
        <v>1763</v>
      </c>
      <c r="D17" s="1804" t="s">
        <v>1751</v>
      </c>
      <c r="E17" s="1805" t="s">
        <v>1752</v>
      </c>
      <c r="F17" s="1806"/>
      <c r="G17" s="1807"/>
      <c r="H17" s="1808" t="s">
        <v>1764</v>
      </c>
      <c r="I17" s="1809" t="s">
        <v>1749</v>
      </c>
      <c r="J17" s="1269"/>
      <c r="K17" s="3590" t="s">
        <v>1765</v>
      </c>
      <c r="L17" s="3591"/>
      <c r="M17" s="3592"/>
      <c r="N17" s="3590" t="s">
        <v>1766</v>
      </c>
      <c r="O17" s="3591"/>
      <c r="P17" s="3592"/>
      <c r="R17" s="1791" t="s">
        <v>1767</v>
      </c>
      <c r="S17" s="60"/>
    </row>
    <row r="18" spans="1:19" ht="15">
      <c r="A18" s="1797"/>
      <c r="B18" s="1810"/>
      <c r="C18" s="1811"/>
      <c r="D18" s="1812"/>
      <c r="E18" s="1813" t="s">
        <v>1768</v>
      </c>
      <c r="F18" s="1814" t="s">
        <v>1769</v>
      </c>
      <c r="G18" s="1815" t="s">
        <v>1770</v>
      </c>
      <c r="H18" s="1168" t="s">
        <v>1771</v>
      </c>
      <c r="I18" s="1816" t="s">
        <v>1772</v>
      </c>
      <c r="J18" s="1269"/>
      <c r="K18" s="1168" t="s">
        <v>1773</v>
      </c>
      <c r="L18" s="1817" t="s">
        <v>1774</v>
      </c>
      <c r="M18" s="960" t="s">
        <v>1775</v>
      </c>
      <c r="N18" s="1168" t="s">
        <v>1773</v>
      </c>
      <c r="O18" s="1817" t="s">
        <v>1774</v>
      </c>
      <c r="P18" s="960" t="s">
        <v>1775</v>
      </c>
      <c r="R18" s="1153" t="s">
        <v>1776</v>
      </c>
      <c r="S18" s="1153" t="s">
        <v>1777</v>
      </c>
    </row>
    <row r="19" spans="1:19">
      <c r="A19" s="1818"/>
      <c r="B19" s="50" t="s">
        <v>1750</v>
      </c>
      <c r="C19" s="3230" t="s">
        <v>3488</v>
      </c>
      <c r="D19" s="48">
        <f>ROUND($D$3*E19/$E$3,2)</f>
        <v>11930.2</v>
      </c>
      <c r="E19" s="56">
        <f t="shared" ref="E19:E26" si="1">SUM(F19:G19)</f>
        <v>49433.619999999988</v>
      </c>
      <c r="F19" s="2988">
        <f>权属文件!K130</f>
        <v>49433.619999999988</v>
      </c>
      <c r="G19" s="2989"/>
      <c r="H19" s="679">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11930.2</v>
      </c>
      <c r="S19" s="1154">
        <f t="shared" si="5"/>
        <v>49433.619999999988</v>
      </c>
    </row>
    <row r="20" spans="1:19">
      <c r="A20" s="1821"/>
      <c r="B20" s="50" t="s">
        <v>1778</v>
      </c>
      <c r="C20" s="3230" t="s">
        <v>3490</v>
      </c>
      <c r="D20" s="48">
        <f t="shared" ref="D20:D26" si="6">ROUND($D$3*E20/$E$3,2)</f>
        <v>3472.86</v>
      </c>
      <c r="E20" s="56">
        <f t="shared" si="1"/>
        <v>14390.040000000006</v>
      </c>
      <c r="F20" s="2988">
        <f>权属文件!J130</f>
        <v>14390.040000000006</v>
      </c>
      <c r="G20" s="2989"/>
      <c r="H20" s="679">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3472.86</v>
      </c>
      <c r="S20" s="1154">
        <f t="shared" si="5"/>
        <v>14390.040000000006</v>
      </c>
    </row>
    <row r="21" spans="1:19">
      <c r="A21" s="1821"/>
      <c r="B21" s="50" t="s">
        <v>1778</v>
      </c>
      <c r="C21" s="3230"/>
      <c r="D21" s="48">
        <f t="shared" si="6"/>
        <v>0</v>
      </c>
      <c r="E21" s="56">
        <f t="shared" si="1"/>
        <v>0</v>
      </c>
      <c r="F21" s="2988"/>
      <c r="G21" s="2989"/>
      <c r="H21" s="679">
        <f t="shared" si="7"/>
        <v>0</v>
      </c>
      <c r="I21" s="51">
        <f t="shared" si="2"/>
        <v>0</v>
      </c>
      <c r="J21" s="1269"/>
      <c r="K21" s="1268">
        <f t="shared" si="3"/>
        <v>0</v>
      </c>
      <c r="L21" s="1153">
        <f t="shared" si="4"/>
        <v>0</v>
      </c>
      <c r="M21" s="1280">
        <f t="shared" si="8"/>
        <v>0</v>
      </c>
      <c r="N21" s="1819"/>
      <c r="O21" s="1820"/>
      <c r="P21" s="1280">
        <f t="shared" si="9"/>
        <v>0</v>
      </c>
      <c r="R21" s="1153">
        <f t="shared" si="5"/>
        <v>0</v>
      </c>
      <c r="S21" s="1154">
        <f t="shared" si="5"/>
        <v>0</v>
      </c>
    </row>
    <row r="22" spans="1:19">
      <c r="A22" s="1821"/>
      <c r="B22" s="50" t="s">
        <v>1778</v>
      </c>
      <c r="C22" s="3231"/>
      <c r="D22" s="48">
        <f t="shared" si="6"/>
        <v>0</v>
      </c>
      <c r="E22" s="56">
        <f t="shared" si="1"/>
        <v>0</v>
      </c>
      <c r="F22" s="2990"/>
      <c r="G22" s="2991"/>
      <c r="H22" s="679">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c r="A23" s="1821"/>
      <c r="B23" s="50" t="s">
        <v>1778</v>
      </c>
      <c r="C23" s="58"/>
      <c r="D23" s="48">
        <f>ROUND($D$3*E23/$E$3,2)</f>
        <v>0</v>
      </c>
      <c r="E23" s="56">
        <f>SUM(F23:G23)</f>
        <v>0</v>
      </c>
      <c r="F23" s="2990"/>
      <c r="G23" s="2991"/>
      <c r="H23" s="679">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1778</v>
      </c>
      <c r="C24" s="58"/>
      <c r="D24" s="48">
        <f>ROUND($D$3*E24/$E$3,2)</f>
        <v>0</v>
      </c>
      <c r="E24" s="56">
        <f>SUM(F24:G24)</f>
        <v>0</v>
      </c>
      <c r="F24" s="2990"/>
      <c r="G24" s="2991"/>
      <c r="H24" s="679">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1778</v>
      </c>
      <c r="C25" s="58"/>
      <c r="D25" s="48">
        <f t="shared" si="6"/>
        <v>0</v>
      </c>
      <c r="E25" s="56">
        <f t="shared" si="1"/>
        <v>0</v>
      </c>
      <c r="F25" s="2990"/>
      <c r="G25" s="2991"/>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1778</v>
      </c>
      <c r="C26" s="59"/>
      <c r="D26" s="48">
        <f t="shared" si="6"/>
        <v>0</v>
      </c>
      <c r="E26" s="56">
        <f t="shared" si="1"/>
        <v>0</v>
      </c>
      <c r="F26" s="2990"/>
      <c r="G26" s="2991"/>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1779</v>
      </c>
      <c r="D27" s="1270">
        <f>SUM(D19:D26)</f>
        <v>15403.060000000001</v>
      </c>
      <c r="E27" s="1271">
        <f>IF(SUM(E19:E26)='数据-基础表'!BA5,SUM(E19:E26),IF(F27="地上面积有误","面积有误","地下面积有误"))</f>
        <v>63823.659999999996</v>
      </c>
      <c r="F27" s="1270">
        <f>IF(SUM(F19:F26)=E8,SUM(F19:F26),"地上面积有误")</f>
        <v>63823.659999999996</v>
      </c>
      <c r="G27" s="1272">
        <f>SUM(G19:G26)</f>
        <v>0</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15403.060000000001</v>
      </c>
      <c r="S27" s="1153">
        <f>IF(SUM(S19:S26)=$E$3,SUM(S19:S26),SUM(S19:S26)&amp;"误差"&amp;ROUND(SUM(S19:S26)-E3,2))</f>
        <v>63823.659999999996</v>
      </c>
    </row>
    <row r="28" spans="1:19">
      <c r="A28" s="1821"/>
      <c r="B28" s="50" t="s">
        <v>1780</v>
      </c>
      <c r="C28" s="1165" t="s">
        <v>1781</v>
      </c>
      <c r="D28" s="48">
        <f>ROUND($D$3*E28/$E$3,2)</f>
        <v>0</v>
      </c>
      <c r="E28" s="56">
        <f>SUM(F28:G28)</f>
        <v>0</v>
      </c>
      <c r="F28" s="60">
        <f>'数据-基础表'!BQ5+'数据-基础表'!BS5</f>
        <v>0</v>
      </c>
      <c r="G28" s="61">
        <f>'数据-基础表'!BR5+'数据-基础表'!BT5</f>
        <v>0</v>
      </c>
      <c r="H28" s="2848"/>
      <c r="I28" s="2848"/>
      <c r="J28" s="2848"/>
      <c r="K28" s="2848"/>
      <c r="L28" s="2848"/>
      <c r="M28" s="2848"/>
      <c r="N28" s="2848"/>
      <c r="O28" s="2848"/>
      <c r="P28" s="2848"/>
    </row>
    <row r="29" spans="1:19">
      <c r="A29" s="1821"/>
      <c r="B29" s="50" t="s">
        <v>1780</v>
      </c>
      <c r="C29" s="1825" t="s">
        <v>1782</v>
      </c>
      <c r="D29" s="48">
        <f>ROUND($D$3*E29/$E$3,2)</f>
        <v>0</v>
      </c>
      <c r="E29" s="56">
        <f>SUM(F29:G29)</f>
        <v>0</v>
      </c>
      <c r="F29" s="62">
        <f>'数据-基础表'!BM5+'数据-基础表'!BO5</f>
        <v>0</v>
      </c>
      <c r="G29" s="63">
        <f>'数据-基础表'!BN5+'数据-基础表'!BP5</f>
        <v>0</v>
      </c>
      <c r="H29" s="2848"/>
      <c r="I29" s="2848"/>
      <c r="J29" s="2848"/>
      <c r="K29" s="2848"/>
      <c r="L29" s="2848"/>
      <c r="M29" s="2848"/>
      <c r="N29" s="2848"/>
      <c r="O29" s="2848"/>
      <c r="P29" s="2848"/>
    </row>
    <row r="30" spans="1:19" ht="15">
      <c r="A30" s="1821"/>
      <c r="B30" s="50"/>
      <c r="C30" s="1826" t="s">
        <v>1779</v>
      </c>
      <c r="D30" s="1270">
        <f>SUM(D28:D29)</f>
        <v>0</v>
      </c>
      <c r="E30" s="1270">
        <f>SUM(E28:E29)</f>
        <v>0</v>
      </c>
      <c r="F30" s="1270">
        <f>SUM(F28:F29)</f>
        <v>0</v>
      </c>
      <c r="G30" s="1272">
        <f>SUM(G28:G29)</f>
        <v>0</v>
      </c>
      <c r="H30" s="2848"/>
      <c r="I30" s="2848"/>
      <c r="J30" s="2848"/>
      <c r="K30" s="2848"/>
      <c r="L30" s="2848"/>
      <c r="M30" s="2848"/>
      <c r="N30" s="2848"/>
      <c r="O30" s="2848"/>
      <c r="P30" s="2848"/>
    </row>
    <row r="31" spans="1:19" ht="15.75" thickBot="1">
      <c r="A31" s="1827"/>
      <c r="B31" s="1828"/>
      <c r="C31" s="940" t="s">
        <v>1783</v>
      </c>
      <c r="D31" s="685">
        <f>D27+D30</f>
        <v>15403.060000000001</v>
      </c>
      <c r="E31" s="685">
        <f>E27+E30</f>
        <v>63823.659999999996</v>
      </c>
      <c r="F31" s="686">
        <f>F27+F30</f>
        <v>63823.659999999996</v>
      </c>
      <c r="G31" s="687">
        <f>G27+G30</f>
        <v>0</v>
      </c>
      <c r="H31" s="2848"/>
      <c r="I31" s="2848"/>
      <c r="J31" s="2848"/>
      <c r="K31" s="2848"/>
      <c r="L31" s="2848"/>
      <c r="M31" s="2848"/>
      <c r="N31" s="2848"/>
      <c r="O31" s="2848"/>
      <c r="P31" s="2848"/>
    </row>
    <row r="32" spans="1:19">
      <c r="A32" s="1794"/>
      <c r="B32" s="1794" t="s">
        <v>1784</v>
      </c>
      <c r="C32" s="1794"/>
      <c r="D32" s="1794"/>
      <c r="E32" s="1180">
        <f>SUMIF(C19:C26,"*住宅*",E19:E26)</f>
        <v>0</v>
      </c>
      <c r="F32" s="1794"/>
      <c r="G32" s="1794"/>
      <c r="H32" s="2848"/>
      <c r="I32" s="2848"/>
      <c r="J32" s="2848"/>
      <c r="K32" s="2848"/>
      <c r="L32" s="2848"/>
      <c r="M32" s="2848"/>
      <c r="N32" s="2848"/>
      <c r="O32" s="2848"/>
      <c r="P32" s="2848"/>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2"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4" width="6.75" style="1833" customWidth="1"/>
    <col min="25" max="25" width="10" style="1833" customWidth="1"/>
    <col min="26"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1785</v>
      </c>
      <c r="B1" s="688"/>
      <c r="C1" s="1321"/>
      <c r="D1" s="1831"/>
      <c r="E1" s="1321"/>
      <c r="F1" s="1321"/>
      <c r="G1" s="1321"/>
      <c r="H1" s="1321"/>
      <c r="I1" s="1321"/>
      <c r="J1" s="1321"/>
      <c r="K1" s="164"/>
      <c r="L1" s="164"/>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2"/>
      <c r="AO1" s="2862"/>
      <c r="AP1" s="2862"/>
      <c r="AQ1" s="2862"/>
      <c r="AR1" s="2862"/>
    </row>
    <row r="2" spans="1:67" s="1710" customFormat="1" ht="15.75" thickBot="1">
      <c r="A2" s="1834" t="s">
        <v>1786</v>
      </c>
      <c r="B2" s="1172">
        <f>项目基本情况!D3</f>
        <v>44652</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4"/>
      <c r="AO2" s="2864"/>
      <c r="AP2" s="2864"/>
      <c r="AQ2" s="2864"/>
      <c r="AR2" s="2864"/>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10" customFormat="1" ht="15" thickBot="1">
      <c r="A3" s="1708"/>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4"/>
      <c r="AO3" s="2864"/>
      <c r="AP3" s="2864"/>
      <c r="AQ3" s="2864"/>
      <c r="AR3" s="2864"/>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10" customFormat="1" ht="15" thickBot="1">
      <c r="A4" s="64" t="s">
        <v>1787</v>
      </c>
      <c r="B4" s="1839"/>
      <c r="C4" s="1840"/>
      <c r="D4" s="1841"/>
      <c r="E4" s="1840" t="s">
        <v>1788</v>
      </c>
      <c r="F4" s="1840"/>
      <c r="G4" s="1840"/>
      <c r="H4" s="1840"/>
      <c r="I4" s="1840"/>
      <c r="J4" s="1842"/>
      <c r="K4" s="1843"/>
      <c r="L4" s="1844"/>
      <c r="M4" s="1840"/>
      <c r="N4" s="1840" t="s">
        <v>1789</v>
      </c>
      <c r="O4" s="1840"/>
      <c r="P4" s="1840"/>
      <c r="Q4" s="1840"/>
      <c r="R4" s="1840"/>
      <c r="S4" s="1842"/>
      <c r="T4" s="2847" t="str">
        <f>'数据-汇总表'!I17</f>
        <v>按面积比例</v>
      </c>
      <c r="U4" s="1839" t="s">
        <v>1790</v>
      </c>
      <c r="V4" s="1840"/>
      <c r="W4" s="1840"/>
      <c r="X4" s="1840"/>
      <c r="Y4" s="1842"/>
      <c r="Z4" s="1803" t="s">
        <v>1791</v>
      </c>
      <c r="AA4" s="1803"/>
      <c r="AB4" s="1803"/>
      <c r="AC4" s="1803"/>
      <c r="AD4" s="1803"/>
      <c r="AE4" s="1801" t="s">
        <v>1792</v>
      </c>
      <c r="AF4" s="1803"/>
      <c r="AG4" s="1845"/>
      <c r="AH4" s="1839"/>
      <c r="AI4" s="1840"/>
      <c r="AJ4" s="1840"/>
      <c r="AK4" s="1840"/>
      <c r="AL4" s="1840"/>
      <c r="AM4" s="1842"/>
      <c r="AN4" s="2864"/>
      <c r="AO4" s="2864"/>
      <c r="AP4" s="2864"/>
      <c r="AQ4" s="2864"/>
      <c r="AR4" s="2864"/>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1" customFormat="1" ht="42">
      <c r="A5" s="1846" t="s">
        <v>1793</v>
      </c>
      <c r="B5" s="1847" t="s">
        <v>1794</v>
      </c>
      <c r="C5" s="1848" t="s">
        <v>1795</v>
      </c>
      <c r="D5" s="1849" t="s">
        <v>1796</v>
      </c>
      <c r="E5" s="1174" t="s">
        <v>1797</v>
      </c>
      <c r="F5" s="1850" t="s">
        <v>1798</v>
      </c>
      <c r="G5" s="1174" t="s">
        <v>1799</v>
      </c>
      <c r="H5" s="1174" t="s">
        <v>1800</v>
      </c>
      <c r="I5" s="1174" t="s">
        <v>1801</v>
      </c>
      <c r="J5" s="1851" t="s">
        <v>1802</v>
      </c>
      <c r="K5" s="1852" t="s">
        <v>1803</v>
      </c>
      <c r="L5" s="1853" t="s">
        <v>1804</v>
      </c>
      <c r="M5" s="1854" t="s">
        <v>1805</v>
      </c>
      <c r="N5" s="1855" t="s">
        <v>3263</v>
      </c>
      <c r="O5" s="1853" t="s">
        <v>1806</v>
      </c>
      <c r="P5" s="1856" t="s">
        <v>1807</v>
      </c>
      <c r="Q5" s="65" t="s">
        <v>1808</v>
      </c>
      <c r="R5" s="1857" t="s">
        <v>1809</v>
      </c>
      <c r="S5" s="1858" t="s">
        <v>1810</v>
      </c>
      <c r="T5" s="1859" t="s">
        <v>1811</v>
      </c>
      <c r="U5" s="1173" t="s">
        <v>1812</v>
      </c>
      <c r="V5" s="1174" t="s">
        <v>1813</v>
      </c>
      <c r="W5" s="1174" t="s">
        <v>1814</v>
      </c>
      <c r="X5" s="67"/>
      <c r="Y5" s="66" t="s">
        <v>1815</v>
      </c>
      <c r="Z5" s="1860" t="s">
        <v>1812</v>
      </c>
      <c r="AA5" s="1174" t="s">
        <v>1813</v>
      </c>
      <c r="AB5" s="1174" t="s">
        <v>1814</v>
      </c>
      <c r="AC5" s="67"/>
      <c r="AD5" s="67" t="s">
        <v>1815</v>
      </c>
      <c r="AE5" s="1173" t="s">
        <v>1816</v>
      </c>
      <c r="AF5" s="1174" t="s">
        <v>1817</v>
      </c>
      <c r="AG5" s="66" t="s">
        <v>1818</v>
      </c>
      <c r="AH5" s="1173" t="s">
        <v>1819</v>
      </c>
      <c r="AI5" s="1860" t="s">
        <v>1820</v>
      </c>
      <c r="AJ5" s="1860" t="s">
        <v>1821</v>
      </c>
      <c r="AK5" s="1174" t="s">
        <v>1822</v>
      </c>
      <c r="AL5" s="1174" t="s">
        <v>1823</v>
      </c>
      <c r="AM5" s="66" t="s">
        <v>1824</v>
      </c>
      <c r="AN5" s="1861" t="s">
        <v>1825</v>
      </c>
      <c r="AO5" s="1713" t="s">
        <v>1826</v>
      </c>
      <c r="AP5" s="1155" t="s">
        <v>1827</v>
      </c>
      <c r="AQ5" s="1862" t="s">
        <v>1828</v>
      </c>
      <c r="AR5" s="1862" t="s">
        <v>1829</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3" t="str">
        <f>'数据-汇总表'!C19</f>
        <v>宿舍-有燃气</v>
      </c>
      <c r="B6" s="1864" t="str">
        <f>IF(A6=0,"","经营性")</f>
        <v>经营性</v>
      </c>
      <c r="C6" s="1865" t="s">
        <v>27</v>
      </c>
      <c r="D6" s="963">
        <f>SUMIF(项目基本情况!D$12:I$12,C6,项目基本情况!D$14:I$14)</f>
        <v>50</v>
      </c>
      <c r="E6" s="962">
        <f>IF(B6="","",SUMIF(项目基本情况!D$12:I$12,C6,项目基本情况!D$13:I$13))</f>
        <v>60816</v>
      </c>
      <c r="F6" s="68">
        <f>SUMIF(项目基本情况!D$12:I$12,C6,项目基本情况!D$15:I$15)</f>
        <v>44.28</v>
      </c>
      <c r="G6" s="69">
        <f>IF(ISERROR(ROUND(POWER(1+H6,D6-F6)*(POWER(1+H6,F6)-1)/(POWER(1+H6,D6)-1),3)),0,ROUND(POWER(1+H6,D6-F6)*(POWER(1+H6,F6)-1)/(POWER(1+H6,D6)-1),3))</f>
        <v>0.95899999999999996</v>
      </c>
      <c r="H6" s="741">
        <v>0.04</v>
      </c>
      <c r="I6" s="741">
        <v>4.4999999999999998E-2</v>
      </c>
      <c r="J6" s="70">
        <v>6.5000000000000002E-2</v>
      </c>
      <c r="K6" s="1157">
        <f>SUMIF('数据-汇总表'!C$19:C$33,A6,'数据-汇总表'!E$19:E$33)</f>
        <v>49433.619999999988</v>
      </c>
      <c r="L6" s="742">
        <v>4000</v>
      </c>
      <c r="M6" s="71">
        <f t="shared" ref="M6:M14" si="0">ROUND(K6*L6/10000,0)</f>
        <v>19773</v>
      </c>
      <c r="N6" s="740">
        <v>1</v>
      </c>
      <c r="O6" s="71" t="str">
        <f>IF($N$5="成新度","——",ROUND(M6*N6,0))</f>
        <v>——</v>
      </c>
      <c r="P6" s="72" t="str">
        <f>IF($N$5="成新度","——",M6-O6)</f>
        <v>——</v>
      </c>
      <c r="Q6" s="743">
        <v>0.03</v>
      </c>
      <c r="R6" s="73">
        <f ca="1">SUMIF('数据-汇总表'!C$19:C$33,A6,'数据-汇总表'!R$19:R$27)</f>
        <v>11930.2</v>
      </c>
      <c r="S6" s="54">
        <f>IF('数据-汇总表'!$I$17="按面积比例",SUMIF('数据-汇总表'!C$19:C$33,A6,'数据-汇总表'!K$19:K$33),SUMIF('数据-汇总表'!C$19:C$33,A6,'数据-汇总表'!N$19:N$33))</f>
        <v>0</v>
      </c>
      <c r="T6" s="1302">
        <f>ROUND($L$14*S6/10000,0)</f>
        <v>0</v>
      </c>
      <c r="U6" s="74">
        <f>'比较法-住宅'!C48</f>
        <v>30</v>
      </c>
      <c r="V6" s="75">
        <v>0.02</v>
      </c>
      <c r="W6" s="75">
        <v>0.05</v>
      </c>
      <c r="X6" s="1167"/>
      <c r="Y6" s="76">
        <f>N6</f>
        <v>1</v>
      </c>
      <c r="Z6" s="77"/>
      <c r="AA6" s="70"/>
      <c r="AB6" s="70"/>
      <c r="AC6" s="1167"/>
      <c r="AD6" s="78"/>
      <c r="AE6" s="1168">
        <f ca="1">IF(AN6="",0,SUMIF(INDIRECT("'"&amp;AN6&amp;"'"&amp;"!E:E"),$AE$5,INDIRECT("'"&amp;AN6&amp;"'"&amp;"!F:F")))</f>
        <v>44.28</v>
      </c>
      <c r="AF6" s="1498"/>
      <c r="AG6" s="143">
        <f>IF(AF6="",0,AE6-AF6)</f>
        <v>0</v>
      </c>
      <c r="AH6" s="79"/>
      <c r="AI6" s="81">
        <v>12</v>
      </c>
      <c r="AJ6" s="82"/>
      <c r="AK6" s="83">
        <v>0.01</v>
      </c>
      <c r="AL6" s="84">
        <v>1.5E-3</v>
      </c>
      <c r="AM6" s="85">
        <v>1.4999999999999999E-2</v>
      </c>
      <c r="AN6" s="1866" t="s">
        <v>3264</v>
      </c>
      <c r="AO6" s="55">
        <f ca="1">SUMIF(INDIRECT("'"&amp;AN6&amp;"'"&amp;"!A:A"),"总价",INDIRECT("'"&amp;AN6&amp;"'"&amp;"!B:B"))</f>
        <v>37212</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10" customFormat="1" ht="14.25">
      <c r="A7" s="1863" t="str">
        <f>'数据-汇总表'!C20</f>
        <v>宿舍-无燃气</v>
      </c>
      <c r="B7" s="1864" t="str">
        <f t="shared" ref="B7:B13" si="1">IF(A7=0,"","经营性")</f>
        <v>经营性</v>
      </c>
      <c r="C7" s="1865" t="s">
        <v>27</v>
      </c>
      <c r="D7" s="963">
        <f>SUMIF(项目基本情况!D$12:I$12,C7,项目基本情况!D$14:I$14)</f>
        <v>50</v>
      </c>
      <c r="E7" s="962">
        <f>IF(B7="","",SUMIF(项目基本情况!D$12:I$12,C7,项目基本情况!D$13:I$13))</f>
        <v>60816</v>
      </c>
      <c r="F7" s="68">
        <f>SUMIF(项目基本情况!D$12:I$12,C7,项目基本情况!D$15:I$15)</f>
        <v>44.28</v>
      </c>
      <c r="G7" s="69">
        <f t="shared" ref="G7:G11" si="2">IF(ISERROR(ROUND(POWER(1+H7,D7-F7)*(POWER(1+H7,F7)-1)/(POWER(1+H7,D7)-1),3)),0,ROUND(POWER(1+H7,D7-F7)*(POWER(1+H7,F7)-1)/(POWER(1+H7,D7)-1),3))</f>
        <v>0.95899999999999996</v>
      </c>
      <c r="H7" s="741">
        <v>0.04</v>
      </c>
      <c r="I7" s="741">
        <v>4.4999999999999998E-2</v>
      </c>
      <c r="J7" s="70">
        <v>6.5000000000000002E-2</v>
      </c>
      <c r="K7" s="1157">
        <f>SUMIF('数据-汇总表'!C$19:C$33,A7,'数据-汇总表'!E$19:E$33)</f>
        <v>14390.040000000006</v>
      </c>
      <c r="L7" s="742">
        <f>L6</f>
        <v>4000</v>
      </c>
      <c r="M7" s="71">
        <f t="shared" si="0"/>
        <v>5756</v>
      </c>
      <c r="N7" s="740">
        <f>N6</f>
        <v>1</v>
      </c>
      <c r="O7" s="71" t="str">
        <f t="shared" ref="O7:O14" si="3">IF($N$5="成新度","——",ROUND(M7*N7,0))</f>
        <v>——</v>
      </c>
      <c r="P7" s="72" t="str">
        <f t="shared" ref="P7:P14" si="4">IF($N$5="成新度","——",M7-O7)</f>
        <v>——</v>
      </c>
      <c r="Q7" s="743">
        <f>Q6</f>
        <v>0.03</v>
      </c>
      <c r="R7" s="73">
        <f ca="1">SUMIF('数据-汇总表'!C$19:C$33,A7,'数据-汇总表'!R$19:R$27)</f>
        <v>3472.86</v>
      </c>
      <c r="S7" s="54">
        <f>IF('数据-汇总表'!$I$17="按面积比例",SUMIF('数据-汇总表'!C$19:C$33,A7,'数据-汇总表'!K$19:K$33),SUMIF('数据-汇总表'!C$19:C$33,A7,'数据-汇总表'!N$19:N$33))</f>
        <v>0</v>
      </c>
      <c r="T7" s="1302">
        <f t="shared" ref="T7:T13" si="5">ROUND($L$14*S7/10000,0)</f>
        <v>0</v>
      </c>
      <c r="U7" s="74">
        <f>'比较法-住宅无燃气'!C48</f>
        <v>29.5</v>
      </c>
      <c r="V7" s="75">
        <f>V6</f>
        <v>0.02</v>
      </c>
      <c r="W7" s="75">
        <f>W6</f>
        <v>0.05</v>
      </c>
      <c r="X7" s="1167"/>
      <c r="Y7" s="76">
        <f>Y6</f>
        <v>1</v>
      </c>
      <c r="Z7" s="77"/>
      <c r="AA7" s="70"/>
      <c r="AB7" s="70"/>
      <c r="AC7" s="1167"/>
      <c r="AD7" s="78"/>
      <c r="AE7" s="1168">
        <f t="shared" ref="AE7:AE13" ca="1" si="6">IF(AN7="",0,SUMIF(INDIRECT("'"&amp;AN7&amp;"'"&amp;"!E:E"),$AE$5,INDIRECT("'"&amp;AN7&amp;"'"&amp;"!F:F")))</f>
        <v>44.28</v>
      </c>
      <c r="AF7" s="1498"/>
      <c r="AG7" s="143">
        <f t="shared" ref="AG7:AG13" si="7">IF(AF7="",0,AE7-AF7)</f>
        <v>0</v>
      </c>
      <c r="AH7" s="79"/>
      <c r="AI7" s="81">
        <f>AI6</f>
        <v>12</v>
      </c>
      <c r="AJ7" s="82"/>
      <c r="AK7" s="83">
        <f>AK6</f>
        <v>0.01</v>
      </c>
      <c r="AL7" s="84">
        <f>AL6</f>
        <v>1.5E-3</v>
      </c>
      <c r="AM7" s="85">
        <f>AM6</f>
        <v>1.4999999999999999E-2</v>
      </c>
      <c r="AN7" s="1866" t="s">
        <v>3491</v>
      </c>
      <c r="AO7" s="55">
        <f t="shared" ref="AO7:AO13" ca="1" si="8">SUMIF(INDIRECT("'"&amp;AN7&amp;"'"&amp;"!A:A"),"总价",INDIRECT("'"&amp;AN7&amp;"'"&amp;"!B:B"))</f>
        <v>10616</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10" customFormat="1" ht="14.25">
      <c r="A8" s="1863">
        <f>'数据-汇总表'!C21</f>
        <v>0</v>
      </c>
      <c r="B8" s="1864" t="str">
        <f t="shared" si="1"/>
        <v/>
      </c>
      <c r="C8" s="1865"/>
      <c r="D8" s="963">
        <f>SUMIF(项目基本情况!D$12:I$12,C8,项目基本情况!D$14:I$14)</f>
        <v>0</v>
      </c>
      <c r="E8" s="962" t="str">
        <f>IF(B8="","",SUMIF(项目基本情况!D$12:I$12,C8,项目基本情况!D$13:I$13))</f>
        <v/>
      </c>
      <c r="F8" s="68">
        <f>SUMIF(项目基本情况!D$12:I$12,C8,项目基本情况!D$15:I$15)</f>
        <v>0</v>
      </c>
      <c r="G8" s="69">
        <f t="shared" si="2"/>
        <v>0</v>
      </c>
      <c r="H8" s="741"/>
      <c r="I8" s="741"/>
      <c r="J8" s="70"/>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2">
        <f t="shared" si="5"/>
        <v>0</v>
      </c>
      <c r="U8" s="744"/>
      <c r="V8" s="745"/>
      <c r="W8" s="745"/>
      <c r="X8" s="1167"/>
      <c r="Y8" s="76"/>
      <c r="Z8" s="77"/>
      <c r="AA8" s="70"/>
      <c r="AB8" s="70"/>
      <c r="AC8" s="1167"/>
      <c r="AD8" s="78"/>
      <c r="AE8" s="1168">
        <f t="shared" ca="1" si="6"/>
        <v>0</v>
      </c>
      <c r="AF8" s="1498"/>
      <c r="AG8" s="143">
        <f t="shared" si="7"/>
        <v>0</v>
      </c>
      <c r="AH8" s="746"/>
      <c r="AI8" s="81"/>
      <c r="AJ8" s="82"/>
      <c r="AK8" s="83"/>
      <c r="AL8" s="84"/>
      <c r="AM8" s="85"/>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10" customFormat="1" ht="14.25">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41"/>
      <c r="I9" s="741"/>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8"/>
      <c r="AG9" s="143">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10"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8"/>
      <c r="AG10" s="143">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10"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8"/>
      <c r="AG11" s="143">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10"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8"/>
      <c r="AG12" s="143">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10"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8"/>
      <c r="AG13" s="143">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10" customFormat="1" ht="14.25">
      <c r="A14" s="1868" t="s">
        <v>1830</v>
      </c>
      <c r="B14" s="1864" t="s">
        <v>1831</v>
      </c>
      <c r="C14" s="1869" t="s">
        <v>1830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9"/>
      <c r="V14" s="1162"/>
      <c r="W14" s="1162"/>
      <c r="X14" s="1163"/>
      <c r="Y14" s="1164"/>
      <c r="Z14" s="1165"/>
      <c r="AA14" s="1166"/>
      <c r="AB14" s="1166"/>
      <c r="AC14" s="1167"/>
      <c r="AD14" s="1163"/>
      <c r="AE14" s="1168"/>
      <c r="AF14" s="55"/>
      <c r="AG14" s="143"/>
      <c r="AH14" s="1168"/>
      <c r="AI14" s="1507"/>
      <c r="AJ14" s="713"/>
      <c r="AK14" s="1169"/>
      <c r="AL14" s="1170"/>
      <c r="AM14" s="1171"/>
      <c r="AN14" s="2862"/>
      <c r="AO14" s="2864"/>
      <c r="AP14" s="2864"/>
      <c r="AQ14" s="2864"/>
      <c r="AR14" s="2864"/>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10" customFormat="1" ht="27">
      <c r="A15" s="1868" t="s">
        <v>1832</v>
      </c>
      <c r="B15" s="1864" t="s">
        <v>1831</v>
      </c>
      <c r="C15" s="1869" t="s">
        <v>1833</v>
      </c>
      <c r="D15" s="963"/>
      <c r="E15" s="962"/>
      <c r="F15" s="68"/>
      <c r="G15" s="69"/>
      <c r="H15" s="1156"/>
      <c r="I15" s="1156"/>
      <c r="J15" s="1156"/>
      <c r="K15" s="1157">
        <f>SUMIF('数据-汇总表'!C$19:C$33,A15,'数据-汇总表'!E$19:E$33)</f>
        <v>0</v>
      </c>
      <c r="L15" s="1158"/>
      <c r="M15" s="71"/>
      <c r="N15" s="1159"/>
      <c r="O15" s="71"/>
      <c r="P15" s="72"/>
      <c r="Q15" s="1160"/>
      <c r="R15" s="73"/>
      <c r="S15" s="54"/>
      <c r="T15" s="1302"/>
      <c r="U15" s="679"/>
      <c r="V15" s="1162"/>
      <c r="W15" s="1162"/>
      <c r="X15" s="1163"/>
      <c r="Y15" s="1164"/>
      <c r="Z15" s="1165"/>
      <c r="AA15" s="1166"/>
      <c r="AB15" s="1166"/>
      <c r="AC15" s="1167"/>
      <c r="AD15" s="1163"/>
      <c r="AE15" s="1168"/>
      <c r="AF15" s="55"/>
      <c r="AG15" s="143"/>
      <c r="AH15" s="1168"/>
      <c r="AI15" s="1507"/>
      <c r="AJ15" s="713"/>
      <c r="AK15" s="1169"/>
      <c r="AL15" s="1170"/>
      <c r="AM15" s="1171"/>
      <c r="AN15" s="2862"/>
      <c r="AO15" s="2864"/>
      <c r="AP15" s="2864"/>
      <c r="AQ15" s="2864"/>
      <c r="AR15" s="2864"/>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10" customFormat="1" ht="15.75" thickBot="1">
      <c r="A16" s="1870" t="s">
        <v>1834</v>
      </c>
      <c r="B16" s="93"/>
      <c r="C16" s="938"/>
      <c r="D16" s="1871"/>
      <c r="E16" s="93"/>
      <c r="F16" s="93"/>
      <c r="G16" s="94">
        <f>ROUND(SUMPRODUCT(G6:G13,K6:K13)/SUMPRODUCT((G6:G13&gt;0)*(K6:K13)),3)</f>
        <v>0.95899999999999996</v>
      </c>
      <c r="H16" s="95">
        <f>ROUND(SUMPRODUCT(H6:H13,K6:K13)/SUMPRODUCT((H6:H13&gt;0)*(K6:K13)),3)</f>
        <v>0.04</v>
      </c>
      <c r="I16" s="96"/>
      <c r="J16" s="96"/>
      <c r="K16" s="97">
        <f>SUM(K6:K15)</f>
        <v>63823.659999999996</v>
      </c>
      <c r="L16" s="98">
        <f>ROUND(M16*10000/SUM(K6:K14),0)</f>
        <v>4000</v>
      </c>
      <c r="M16" s="98">
        <f>SUM(M6:M14)</f>
        <v>25529</v>
      </c>
      <c r="N16" s="99">
        <f>ROUND(SUMPRODUCT(M6:M14,N6:N14)/M16,3)</f>
        <v>1</v>
      </c>
      <c r="O16" s="98">
        <f>SUM(O6:O14)</f>
        <v>0</v>
      </c>
      <c r="P16" s="98">
        <f>SUM(P6:P14)</f>
        <v>0</v>
      </c>
      <c r="Q16" s="100">
        <f>ROUND(SUMPRODUCT(Q6:Q13,K6:K13)/SUMPRODUCT((Q6:Q13&gt;0)*(K6:K13)),2)</f>
        <v>0.03</v>
      </c>
      <c r="R16" s="1161">
        <f ca="1">SUM(R6:R13)</f>
        <v>15403.060000000001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2"/>
      <c r="AO16" s="2864"/>
      <c r="AP16" s="2864"/>
      <c r="AQ16" s="2864"/>
      <c r="AR16" s="2864"/>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3"/>
      <c r="C17" s="2862"/>
      <c r="D17" s="2866"/>
      <c r="E17" s="2866"/>
      <c r="F17" s="2862"/>
      <c r="G17" s="2862"/>
      <c r="H17" s="2862"/>
      <c r="I17" s="2862"/>
      <c r="J17" s="2862"/>
      <c r="K17" s="2863"/>
      <c r="L17" s="2863"/>
      <c r="M17" s="2862"/>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c r="AL17" s="2862"/>
      <c r="AM17" s="2862"/>
      <c r="AN17" s="2862"/>
      <c r="AO17" s="2862"/>
      <c r="AP17" s="2862"/>
      <c r="AQ17" s="2862"/>
      <c r="AR17" s="2862"/>
    </row>
    <row r="18" spans="1:67" ht="15" thickBot="1">
      <c r="A18" s="64" t="s">
        <v>1835</v>
      </c>
      <c r="B18" s="2876"/>
      <c r="C18" s="2864"/>
      <c r="D18" s="2867"/>
      <c r="E18" s="2864"/>
      <c r="F18" s="2864"/>
      <c r="G18" s="2864"/>
      <c r="H18" s="2864"/>
      <c r="I18" s="2864"/>
      <c r="J18" s="2864"/>
      <c r="K18" s="2863"/>
      <c r="L18" s="2863"/>
      <c r="M18" s="2862"/>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c r="AL18" s="2862"/>
      <c r="AM18" s="2862"/>
      <c r="AN18" s="2862"/>
      <c r="AO18" s="2862"/>
      <c r="AP18" s="2862"/>
      <c r="AQ18" s="2862"/>
      <c r="AR18" s="2862"/>
    </row>
    <row r="19" spans="1:67" ht="14.25">
      <c r="A19" s="1873" t="s">
        <v>1836</v>
      </c>
      <c r="B19" s="108">
        <v>0</v>
      </c>
      <c r="C19" s="2992" t="s">
        <v>2988</v>
      </c>
      <c r="D19" s="2867"/>
      <c r="E19" s="2864"/>
      <c r="F19" s="2864"/>
      <c r="G19" s="2864"/>
      <c r="H19" s="2864"/>
      <c r="I19" s="2864"/>
      <c r="J19" s="2864"/>
      <c r="K19" s="2863"/>
      <c r="L19" s="2863"/>
      <c r="M19" s="2862"/>
      <c r="N19" s="2862"/>
      <c r="O19" s="2862"/>
      <c r="P19" s="2862"/>
      <c r="Q19" s="2862"/>
      <c r="R19" s="2862"/>
      <c r="S19" s="2862"/>
      <c r="T19" s="2862"/>
      <c r="U19" s="2862"/>
      <c r="V19" s="2862"/>
      <c r="W19" s="2862"/>
      <c r="X19" s="2862"/>
      <c r="Y19" s="2862"/>
      <c r="Z19" s="2862"/>
      <c r="AA19" s="2862"/>
      <c r="AB19" s="2862"/>
      <c r="AC19" s="2862"/>
      <c r="AD19" s="2862"/>
      <c r="AE19" s="2862"/>
      <c r="AF19" s="2862"/>
      <c r="AG19" s="2862"/>
      <c r="AH19" s="2862"/>
      <c r="AI19" s="2862"/>
      <c r="AJ19" s="2862"/>
      <c r="AK19" s="2862"/>
      <c r="AL19" s="2862"/>
      <c r="AM19" s="2862"/>
      <c r="AN19" s="2862"/>
      <c r="AO19" s="2862"/>
      <c r="AP19" s="2862"/>
      <c r="AQ19" s="2862"/>
      <c r="AR19" s="2862"/>
    </row>
    <row r="20" spans="1:67" ht="14.25">
      <c r="A20" s="1874" t="s">
        <v>1837</v>
      </c>
      <c r="B20" s="109">
        <v>1</v>
      </c>
      <c r="C20" s="2993" t="s">
        <v>2986</v>
      </c>
      <c r="D20" s="2867"/>
      <c r="E20" s="2864"/>
      <c r="F20" s="2864"/>
      <c r="G20" s="2864"/>
      <c r="H20" s="2864"/>
      <c r="I20" s="2864"/>
      <c r="J20" s="2864"/>
      <c r="K20" s="2863"/>
      <c r="L20" s="2863"/>
      <c r="M20" s="2862"/>
      <c r="N20" s="2862"/>
      <c r="O20" s="2862"/>
      <c r="P20" s="2862"/>
      <c r="Q20" s="2862"/>
      <c r="R20" s="2862"/>
      <c r="S20" s="2862"/>
      <c r="T20" s="2862"/>
      <c r="U20" s="2862"/>
      <c r="V20" s="2862"/>
      <c r="W20" s="2862"/>
      <c r="X20" s="2862"/>
      <c r="Y20" s="2862"/>
      <c r="Z20" s="2862"/>
      <c r="AA20" s="2862"/>
      <c r="AB20" s="2862"/>
      <c r="AC20" s="2862"/>
      <c r="AD20" s="2862"/>
      <c r="AE20" s="2862"/>
      <c r="AF20" s="2862"/>
      <c r="AG20" s="2862"/>
      <c r="AH20" s="2862"/>
      <c r="AI20" s="2862"/>
      <c r="AJ20" s="2862"/>
      <c r="AK20" s="2862"/>
      <c r="AL20" s="2862"/>
      <c r="AM20" s="2862"/>
      <c r="AN20" s="2862"/>
      <c r="AO20" s="2862"/>
      <c r="AP20" s="2862"/>
      <c r="AQ20" s="2862"/>
      <c r="AR20" s="2862"/>
    </row>
    <row r="21" spans="1:67" ht="14.25">
      <c r="A21" s="1875" t="s">
        <v>1838</v>
      </c>
      <c r="B21" s="109">
        <v>1</v>
      </c>
      <c r="C21" s="2864"/>
      <c r="D21" s="2867"/>
      <c r="E21" s="2864"/>
      <c r="F21" s="2864"/>
      <c r="G21" s="2864"/>
      <c r="H21" s="2864"/>
      <c r="I21" s="2864"/>
      <c r="J21" s="2864"/>
      <c r="K21" s="2863"/>
      <c r="L21" s="2863"/>
      <c r="M21" s="2862"/>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c r="AL21" s="2862"/>
      <c r="AM21" s="2862"/>
      <c r="AN21" s="2862"/>
      <c r="AO21" s="2862"/>
      <c r="AP21" s="2862"/>
      <c r="AQ21" s="2862"/>
      <c r="AR21" s="2862"/>
    </row>
    <row r="22" spans="1:67" ht="14.25">
      <c r="A22" s="1874" t="s">
        <v>1839</v>
      </c>
      <c r="B22" s="110">
        <f>B19+B20</f>
        <v>1</v>
      </c>
      <c r="C22" s="2864"/>
      <c r="D22" s="2867"/>
      <c r="E22" s="2864"/>
      <c r="F22" s="2864"/>
      <c r="G22" s="2864"/>
      <c r="H22" s="2864"/>
      <c r="I22" s="2864"/>
      <c r="J22" s="2864"/>
      <c r="K22" s="2863"/>
      <c r="L22" s="2863"/>
      <c r="M22" s="2862"/>
      <c r="N22" s="2862"/>
      <c r="O22" s="2862"/>
      <c r="P22" s="2862"/>
      <c r="Q22" s="2862"/>
      <c r="R22" s="2862"/>
      <c r="S22" s="2862"/>
      <c r="T22" s="2862"/>
      <c r="U22" s="2862"/>
      <c r="V22" s="2862"/>
      <c r="W22" s="2862"/>
      <c r="X22" s="2862"/>
      <c r="Y22" s="2862"/>
      <c r="Z22" s="2862"/>
      <c r="AA22" s="2862"/>
      <c r="AB22" s="2862"/>
      <c r="AC22" s="2862"/>
      <c r="AD22" s="2862"/>
      <c r="AE22" s="2862"/>
      <c r="AF22" s="2862"/>
      <c r="AG22" s="2862"/>
      <c r="AH22" s="2862"/>
      <c r="AI22" s="2862"/>
      <c r="AJ22" s="2862"/>
      <c r="AK22" s="2862"/>
      <c r="AL22" s="2862"/>
      <c r="AM22" s="2862"/>
      <c r="AN22" s="2862"/>
      <c r="AO22" s="2862"/>
      <c r="AP22" s="2862"/>
      <c r="AQ22" s="2862"/>
      <c r="AR22" s="2862"/>
    </row>
    <row r="23" spans="1:67" ht="14.25">
      <c r="A23" s="1875" t="s">
        <v>1840</v>
      </c>
      <c r="B23" s="110">
        <f>B19+B21</f>
        <v>1</v>
      </c>
      <c r="C23" s="2864"/>
      <c r="D23" s="2867"/>
      <c r="E23" s="2864"/>
      <c r="F23" s="2864"/>
      <c r="G23" s="2864"/>
      <c r="H23" s="2864"/>
      <c r="I23" s="2864"/>
      <c r="J23" s="2864"/>
      <c r="K23" s="2863"/>
      <c r="L23" s="2863"/>
      <c r="M23" s="2862"/>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c r="AL23" s="2862"/>
      <c r="AM23" s="2862"/>
      <c r="AN23" s="2862"/>
      <c r="AO23" s="2862"/>
      <c r="AP23" s="2862"/>
      <c r="AQ23" s="2862"/>
      <c r="AR23" s="2862"/>
    </row>
    <row r="24" spans="1:67" ht="15" thickBot="1">
      <c r="A24" s="1876" t="s">
        <v>1841</v>
      </c>
      <c r="B24" s="111">
        <f>B20-B21</f>
        <v>0</v>
      </c>
      <c r="C24" s="2864"/>
      <c r="D24" s="2867"/>
      <c r="E24" s="2864"/>
      <c r="F24" s="2864"/>
      <c r="G24" s="2864"/>
      <c r="H24" s="2864"/>
      <c r="I24" s="2864"/>
      <c r="J24" s="2864"/>
      <c r="K24" s="2863"/>
      <c r="L24" s="2863"/>
      <c r="M24" s="2862"/>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2"/>
      <c r="AJ24" s="2862"/>
      <c r="AK24" s="2862"/>
      <c r="AL24" s="2862"/>
      <c r="AM24" s="2862"/>
      <c r="AN24" s="2862"/>
      <c r="AO24" s="2862"/>
      <c r="AP24" s="2862"/>
      <c r="AQ24" s="2862"/>
      <c r="AR24" s="2862"/>
    </row>
    <row r="25" spans="1:67" ht="15" thickBot="1">
      <c r="A25" s="1708"/>
      <c r="B25" s="1838"/>
      <c r="C25" s="2864"/>
      <c r="D25" s="2867"/>
      <c r="E25" s="2864"/>
      <c r="F25" s="2864"/>
      <c r="G25" s="2864"/>
      <c r="H25" s="2864"/>
      <c r="I25" s="2864"/>
      <c r="J25" s="2864"/>
      <c r="K25" s="2863"/>
      <c r="L25" s="2863"/>
      <c r="M25" s="2862"/>
      <c r="N25" s="2862"/>
      <c r="O25" s="2862"/>
      <c r="P25" s="2862"/>
      <c r="Q25" s="2862"/>
      <c r="R25" s="2862"/>
      <c r="S25" s="2862"/>
      <c r="T25" s="2862"/>
      <c r="U25" s="2862"/>
      <c r="V25" s="2862"/>
      <c r="W25" s="2862"/>
      <c r="X25" s="2862"/>
      <c r="Y25" s="2862"/>
      <c r="Z25" s="2862"/>
      <c r="AA25" s="2862"/>
      <c r="AB25" s="2862"/>
      <c r="AC25" s="2862"/>
      <c r="AD25" s="2862"/>
      <c r="AE25" s="2862"/>
      <c r="AF25" s="2862"/>
      <c r="AG25" s="2862"/>
      <c r="AH25" s="2862"/>
      <c r="AI25" s="2862"/>
      <c r="AJ25" s="2862"/>
      <c r="AK25" s="2862"/>
      <c r="AL25" s="2862"/>
      <c r="AM25" s="2862"/>
      <c r="AN25" s="2862"/>
      <c r="AO25" s="2862"/>
      <c r="AP25" s="2862"/>
      <c r="AQ25" s="2862"/>
      <c r="AR25" s="2862"/>
    </row>
    <row r="26" spans="1:67" ht="15" thickBot="1">
      <c r="A26" s="1834" t="s">
        <v>1842</v>
      </c>
      <c r="B26" s="1877" t="s">
        <v>1843</v>
      </c>
      <c r="C26" s="2868" t="s">
        <v>1844</v>
      </c>
      <c r="D26" s="2867"/>
      <c r="E26" s="2864"/>
      <c r="F26" s="2864"/>
      <c r="G26" s="2864"/>
      <c r="H26" s="2864"/>
      <c r="I26" s="2864"/>
      <c r="J26" s="2864"/>
      <c r="K26" s="2863"/>
      <c r="L26" s="2863"/>
      <c r="M26" s="2862"/>
      <c r="N26" s="2862"/>
      <c r="O26" s="2862"/>
      <c r="P26" s="2862"/>
      <c r="Q26" s="2862"/>
      <c r="R26" s="2862"/>
      <c r="S26" s="2862"/>
      <c r="T26" s="2862"/>
      <c r="U26" s="2862"/>
      <c r="V26" s="2862"/>
      <c r="W26" s="2862"/>
      <c r="X26" s="2862"/>
      <c r="Y26" s="2862"/>
      <c r="Z26" s="2862"/>
      <c r="AA26" s="2862"/>
      <c r="AB26" s="2862"/>
      <c r="AC26" s="2862"/>
      <c r="AD26" s="2862"/>
      <c r="AE26" s="2862"/>
      <c r="AF26" s="2862"/>
      <c r="AG26" s="2862"/>
      <c r="AH26" s="2862"/>
      <c r="AI26" s="2862"/>
      <c r="AJ26" s="2862"/>
      <c r="AK26" s="2862"/>
      <c r="AL26" s="2862"/>
      <c r="AM26" s="2862"/>
      <c r="AN26" s="2862"/>
      <c r="AO26" s="2862"/>
      <c r="AP26" s="2862"/>
      <c r="AQ26" s="2862"/>
      <c r="AR26" s="2862"/>
    </row>
    <row r="27" spans="1:67" s="1879" customFormat="1" ht="27.75">
      <c r="A27" s="1878" t="s">
        <v>1845</v>
      </c>
      <c r="B27" s="112"/>
      <c r="C27" s="2994" t="s">
        <v>2990</v>
      </c>
      <c r="D27" s="2870"/>
      <c r="E27" s="2850"/>
      <c r="F27" s="2850"/>
      <c r="G27" s="2864"/>
      <c r="H27" s="2864"/>
      <c r="I27" s="2864"/>
      <c r="J27" s="2864"/>
      <c r="K27" s="2863"/>
      <c r="L27" s="2863"/>
      <c r="M27" s="2862"/>
      <c r="N27" s="2862"/>
      <c r="O27" s="2862"/>
      <c r="P27" s="2862"/>
      <c r="Q27" s="2862"/>
      <c r="R27" s="2862"/>
      <c r="S27" s="2862"/>
      <c r="T27" s="2862"/>
      <c r="U27" s="2862"/>
      <c r="V27" s="2862"/>
      <c r="W27" s="2862"/>
      <c r="X27" s="2862"/>
      <c r="Y27" s="2862"/>
      <c r="Z27" s="2862"/>
      <c r="AA27" s="2862"/>
      <c r="AB27" s="2862"/>
      <c r="AC27" s="2862"/>
      <c r="AD27" s="2862"/>
      <c r="AE27" s="2862"/>
      <c r="AF27" s="2862"/>
      <c r="AG27" s="2862"/>
      <c r="AH27" s="2862"/>
      <c r="AI27" s="2862"/>
      <c r="AJ27" s="2862"/>
      <c r="AK27" s="2862"/>
      <c r="AL27" s="2862"/>
      <c r="AM27" s="2862"/>
      <c r="AN27" s="2862"/>
      <c r="AO27" s="2862"/>
      <c r="AP27" s="2862"/>
      <c r="AQ27" s="2862"/>
      <c r="AR27" s="286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1846</v>
      </c>
      <c r="B28" s="115"/>
      <c r="C28" s="2871"/>
      <c r="D28" s="2870"/>
      <c r="E28" s="2850"/>
      <c r="F28" s="2850"/>
      <c r="G28" s="2864"/>
      <c r="H28" s="2864"/>
      <c r="I28" s="2864"/>
      <c r="J28" s="2864"/>
      <c r="K28" s="2863"/>
      <c r="L28" s="2863"/>
      <c r="M28" s="2862"/>
      <c r="N28" s="2862"/>
      <c r="O28" s="2862"/>
      <c r="P28" s="2862"/>
      <c r="Q28" s="2862"/>
      <c r="R28" s="2862"/>
      <c r="S28" s="2862"/>
      <c r="T28" s="2862"/>
      <c r="U28" s="2862"/>
      <c r="V28" s="2862"/>
      <c r="W28" s="2862"/>
      <c r="X28" s="2862"/>
      <c r="Y28" s="2862"/>
      <c r="Z28" s="2862"/>
      <c r="AA28" s="2862"/>
      <c r="AB28" s="2862"/>
      <c r="AC28" s="2862"/>
      <c r="AD28" s="2862"/>
      <c r="AE28" s="2862"/>
      <c r="AF28" s="2862"/>
      <c r="AG28" s="2862"/>
      <c r="AH28" s="2862"/>
      <c r="AI28" s="2862"/>
      <c r="AJ28" s="2862"/>
      <c r="AK28" s="2862"/>
      <c r="AL28" s="2862"/>
      <c r="AM28" s="2862"/>
      <c r="AN28" s="2862"/>
      <c r="AO28" s="2862"/>
      <c r="AP28" s="2862"/>
      <c r="AQ28" s="2862"/>
      <c r="AR28" s="286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1847</v>
      </c>
      <c r="B29" s="117"/>
      <c r="C29" s="2995" t="s">
        <v>2977</v>
      </c>
      <c r="D29" s="2870"/>
      <c r="E29" s="2850"/>
      <c r="F29" s="2850"/>
      <c r="G29" s="2864"/>
      <c r="H29" s="2864"/>
      <c r="I29" s="2864"/>
      <c r="J29" s="2864"/>
      <c r="K29" s="2863"/>
      <c r="L29" s="2863"/>
      <c r="M29" s="2862"/>
      <c r="N29" s="2862"/>
      <c r="O29" s="2862"/>
      <c r="P29" s="2862"/>
      <c r="Q29" s="2862"/>
      <c r="R29" s="2862"/>
      <c r="S29" s="2862"/>
      <c r="T29" s="2862"/>
      <c r="U29" s="2862"/>
      <c r="V29" s="2862"/>
      <c r="W29" s="2862"/>
      <c r="X29" s="2862"/>
      <c r="Y29" s="2862"/>
      <c r="Z29" s="2862"/>
      <c r="AA29" s="2862"/>
      <c r="AB29" s="2862"/>
      <c r="AC29" s="2862"/>
      <c r="AD29" s="2862"/>
      <c r="AE29" s="2862"/>
      <c r="AF29" s="2862"/>
      <c r="AG29" s="2862"/>
      <c r="AH29" s="2862"/>
      <c r="AI29" s="2862"/>
      <c r="AJ29" s="2862"/>
      <c r="AK29" s="2862"/>
      <c r="AL29" s="2862"/>
      <c r="AM29" s="2862"/>
      <c r="AN29" s="2862"/>
      <c r="AO29" s="2862"/>
      <c r="AP29" s="2862"/>
      <c r="AQ29" s="2862"/>
      <c r="AR29" s="286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1848</v>
      </c>
      <c r="B30" s="680">
        <v>200</v>
      </c>
      <c r="C30" s="2871"/>
      <c r="D30" s="2870"/>
      <c r="E30" s="2850"/>
      <c r="F30" s="2850"/>
      <c r="G30" s="2864"/>
      <c r="H30" s="2864"/>
      <c r="I30" s="2864"/>
      <c r="J30" s="2864"/>
      <c r="K30" s="2863"/>
      <c r="L30" s="2863"/>
      <c r="M30" s="2862"/>
      <c r="N30" s="2862"/>
      <c r="O30" s="2862"/>
      <c r="P30" s="2862"/>
      <c r="Q30" s="2862"/>
      <c r="R30" s="2862"/>
      <c r="S30" s="2862"/>
      <c r="T30" s="2862"/>
      <c r="U30" s="2862"/>
      <c r="V30" s="2862"/>
      <c r="W30" s="2862"/>
      <c r="X30" s="2862"/>
      <c r="Y30" s="2862"/>
      <c r="Z30" s="2862"/>
      <c r="AA30" s="2862"/>
      <c r="AB30" s="2862"/>
      <c r="AC30" s="2862"/>
      <c r="AD30" s="2862"/>
      <c r="AE30" s="2862"/>
      <c r="AF30" s="2862"/>
      <c r="AG30" s="2862"/>
      <c r="AH30" s="2862"/>
      <c r="AI30" s="2862"/>
      <c r="AJ30" s="2862"/>
      <c r="AK30" s="2862"/>
      <c r="AL30" s="2862"/>
      <c r="AM30" s="2862"/>
      <c r="AN30" s="2862"/>
      <c r="AO30" s="2862"/>
      <c r="AP30" s="2862"/>
      <c r="AQ30" s="2862"/>
      <c r="AR30" s="286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1849</v>
      </c>
      <c r="B31" s="116">
        <f>B30-B32</f>
        <v>200</v>
      </c>
      <c r="C31" s="2869"/>
      <c r="D31" s="2870"/>
      <c r="E31" s="2850"/>
      <c r="F31" s="2850"/>
      <c r="G31" s="2864"/>
      <c r="H31" s="2864"/>
      <c r="I31" s="2864"/>
      <c r="J31" s="2864"/>
      <c r="K31" s="2863"/>
      <c r="L31" s="2863"/>
      <c r="M31" s="2862"/>
      <c r="N31" s="2862"/>
      <c r="O31" s="2862"/>
      <c r="P31" s="2862"/>
      <c r="Q31" s="2862"/>
      <c r="R31" s="2862"/>
      <c r="S31" s="2862"/>
      <c r="T31" s="2862"/>
      <c r="U31" s="2862"/>
      <c r="V31" s="2862"/>
      <c r="W31" s="2862"/>
      <c r="X31" s="2862"/>
      <c r="Y31" s="2862"/>
      <c r="Z31" s="2862"/>
      <c r="AA31" s="2862"/>
      <c r="AB31" s="2862"/>
      <c r="AC31" s="2862"/>
      <c r="AD31" s="2862"/>
      <c r="AE31" s="2862"/>
      <c r="AF31" s="2862"/>
      <c r="AG31" s="2862"/>
      <c r="AH31" s="2862"/>
      <c r="AI31" s="2862"/>
      <c r="AJ31" s="2862"/>
      <c r="AK31" s="2862"/>
      <c r="AL31" s="2862"/>
      <c r="AM31" s="2862"/>
      <c r="AN31" s="2862"/>
      <c r="AO31" s="2862"/>
      <c r="AP31" s="2862"/>
      <c r="AQ31" s="2862"/>
      <c r="AR31" s="286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1850</v>
      </c>
      <c r="B32" s="681">
        <v>0</v>
      </c>
      <c r="C32" s="2871"/>
      <c r="D32" s="2867"/>
      <c r="E32" s="2864"/>
      <c r="F32" s="2864"/>
      <c r="G32" s="2864"/>
      <c r="H32" s="2864"/>
      <c r="I32" s="2864"/>
      <c r="J32" s="2864"/>
      <c r="K32" s="2863"/>
      <c r="L32" s="2863"/>
      <c r="M32" s="2862"/>
      <c r="N32" s="2862"/>
      <c r="O32" s="2862"/>
      <c r="P32" s="2862"/>
      <c r="Q32" s="2862"/>
      <c r="R32" s="2862"/>
      <c r="S32" s="2862"/>
      <c r="T32" s="2862"/>
      <c r="U32" s="2862"/>
      <c r="V32" s="2862"/>
      <c r="W32" s="2862"/>
      <c r="X32" s="2862"/>
      <c r="Y32" s="2862"/>
      <c r="Z32" s="2862"/>
      <c r="AA32" s="2862"/>
      <c r="AB32" s="2862"/>
      <c r="AC32" s="2862"/>
      <c r="AD32" s="2862"/>
      <c r="AE32" s="2862"/>
      <c r="AF32" s="2862"/>
      <c r="AG32" s="2862"/>
      <c r="AH32" s="2862"/>
      <c r="AI32" s="2862"/>
      <c r="AJ32" s="2862"/>
      <c r="AK32" s="2862"/>
      <c r="AL32" s="2862"/>
      <c r="AM32" s="2862"/>
      <c r="AN32" s="2862"/>
      <c r="AO32" s="2862"/>
      <c r="AP32" s="2862"/>
      <c r="AQ32" s="2862"/>
      <c r="AR32" s="286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1851</v>
      </c>
      <c r="B33" s="682">
        <v>0.05</v>
      </c>
      <c r="C33" s="2996" t="s">
        <v>2978</v>
      </c>
      <c r="D33" s="2867"/>
      <c r="E33" s="2864"/>
      <c r="F33" s="2864"/>
      <c r="G33" s="2864"/>
      <c r="H33" s="2864"/>
      <c r="I33" s="2864"/>
      <c r="J33" s="2864"/>
      <c r="K33" s="2863"/>
      <c r="L33" s="2863"/>
      <c r="M33" s="2862"/>
      <c r="N33" s="2862"/>
      <c r="O33" s="2862"/>
      <c r="P33" s="2862"/>
      <c r="Q33" s="2862"/>
      <c r="R33" s="2862"/>
      <c r="S33" s="2862"/>
      <c r="T33" s="2862"/>
      <c r="U33" s="2862"/>
      <c r="V33" s="2862"/>
      <c r="W33" s="2862"/>
      <c r="X33" s="2862"/>
      <c r="Y33" s="2862"/>
      <c r="Z33" s="2862"/>
      <c r="AA33" s="2862"/>
      <c r="AB33" s="2862"/>
      <c r="AC33" s="2862"/>
      <c r="AD33" s="2862"/>
      <c r="AE33" s="2862"/>
      <c r="AF33" s="2862"/>
      <c r="AG33" s="2862"/>
      <c r="AH33" s="2862"/>
      <c r="AI33" s="2862"/>
      <c r="AJ33" s="2862"/>
      <c r="AK33" s="2862"/>
      <c r="AL33" s="2862"/>
      <c r="AM33" s="2862"/>
      <c r="AN33" s="2862"/>
      <c r="AO33" s="2862"/>
      <c r="AP33" s="2862"/>
      <c r="AQ33" s="2862"/>
      <c r="AR33" s="286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1852</v>
      </c>
      <c r="B34" s="118"/>
      <c r="C34" s="2996" t="s">
        <v>2979</v>
      </c>
      <c r="D34" s="2875" t="s">
        <v>2987</v>
      </c>
      <c r="E34" s="2873"/>
      <c r="F34" s="2864"/>
      <c r="G34" s="2864"/>
      <c r="H34" s="2864"/>
      <c r="I34" s="2864"/>
      <c r="J34" s="2864"/>
      <c r="K34" s="2863"/>
      <c r="L34" s="2863"/>
      <c r="M34" s="2862"/>
      <c r="N34" s="2862"/>
      <c r="O34" s="2862"/>
      <c r="P34" s="2862"/>
      <c r="Q34" s="2862"/>
      <c r="R34" s="2862"/>
      <c r="S34" s="2862"/>
      <c r="T34" s="2862"/>
      <c r="U34" s="2862"/>
      <c r="V34" s="2862"/>
      <c r="W34" s="2862"/>
      <c r="X34" s="2862"/>
      <c r="Y34" s="2862"/>
      <c r="Z34" s="2862"/>
      <c r="AA34" s="2862"/>
      <c r="AB34" s="2862"/>
      <c r="AC34" s="2862"/>
      <c r="AD34" s="2862"/>
      <c r="AE34" s="2862"/>
      <c r="AF34" s="2862"/>
      <c r="AG34" s="2862"/>
      <c r="AH34" s="2862"/>
      <c r="AI34" s="2862"/>
      <c r="AJ34" s="2862"/>
      <c r="AK34" s="2862"/>
      <c r="AL34" s="2862"/>
      <c r="AM34" s="2862"/>
      <c r="AN34" s="2862"/>
      <c r="AO34" s="2862"/>
      <c r="AP34" s="2862"/>
      <c r="AQ34" s="2862"/>
      <c r="AR34" s="286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1853</v>
      </c>
      <c r="B35" s="115">
        <v>200</v>
      </c>
      <c r="C35" s="2996" t="s">
        <v>2980</v>
      </c>
      <c r="D35" s="2870"/>
      <c r="E35" s="2850"/>
      <c r="F35" s="2850"/>
      <c r="G35" s="2864"/>
      <c r="H35" s="2864"/>
      <c r="I35" s="2864"/>
      <c r="J35" s="2864"/>
      <c r="K35" s="2863"/>
      <c r="L35" s="2863"/>
      <c r="M35" s="2862"/>
      <c r="N35" s="2862"/>
      <c r="O35" s="2862"/>
      <c r="P35" s="2862"/>
      <c r="Q35" s="2862"/>
      <c r="R35" s="2862"/>
      <c r="S35" s="2862"/>
      <c r="T35" s="2862"/>
      <c r="U35" s="2862"/>
      <c r="V35" s="2862"/>
      <c r="W35" s="2862"/>
      <c r="X35" s="2862"/>
      <c r="Y35" s="2862"/>
      <c r="Z35" s="2862"/>
      <c r="AA35" s="2862"/>
      <c r="AB35" s="2862"/>
      <c r="AC35" s="2862"/>
      <c r="AD35" s="2862"/>
      <c r="AE35" s="2862"/>
      <c r="AF35" s="2862"/>
      <c r="AG35" s="2862"/>
      <c r="AH35" s="2862"/>
      <c r="AI35" s="2862"/>
      <c r="AJ35" s="2862"/>
      <c r="AK35" s="2862"/>
      <c r="AL35" s="2862"/>
      <c r="AM35" s="2862"/>
      <c r="AN35" s="2862"/>
      <c r="AO35" s="2862"/>
      <c r="AP35" s="2862"/>
      <c r="AQ35" s="2862"/>
      <c r="AR35" s="286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1854</v>
      </c>
      <c r="B36" s="119">
        <v>1.4999999999999999E-2</v>
      </c>
      <c r="C36" s="2996" t="s">
        <v>2981</v>
      </c>
      <c r="D36" s="2867"/>
      <c r="E36" s="2864"/>
      <c r="F36" s="2864"/>
      <c r="G36" s="2864"/>
      <c r="H36" s="2864"/>
      <c r="I36" s="2864"/>
      <c r="J36" s="2864"/>
      <c r="K36" s="2863"/>
      <c r="L36" s="2863"/>
      <c r="M36" s="2862"/>
      <c r="N36" s="2862"/>
      <c r="O36" s="2862"/>
      <c r="P36" s="2862"/>
      <c r="Q36" s="2862"/>
      <c r="R36" s="2862"/>
      <c r="S36" s="2862"/>
      <c r="T36" s="2862"/>
      <c r="U36" s="2862"/>
      <c r="V36" s="2862"/>
      <c r="W36" s="2862"/>
      <c r="X36" s="2862"/>
      <c r="Y36" s="2862"/>
      <c r="Z36" s="2862"/>
      <c r="AA36" s="2862"/>
      <c r="AB36" s="2862"/>
      <c r="AC36" s="2862"/>
      <c r="AD36" s="2862"/>
      <c r="AE36" s="2862"/>
      <c r="AF36" s="2862"/>
      <c r="AG36" s="2862"/>
      <c r="AH36" s="2862"/>
      <c r="AI36" s="2862"/>
      <c r="AJ36" s="2862"/>
      <c r="AK36" s="2862"/>
      <c r="AL36" s="2862"/>
      <c r="AM36" s="2862"/>
      <c r="AN36" s="2862"/>
      <c r="AO36" s="2862"/>
      <c r="AP36" s="2862"/>
      <c r="AQ36" s="2862"/>
      <c r="AR36" s="2862"/>
    </row>
    <row r="37" spans="1:67" ht="14.25">
      <c r="A37" s="1882" t="s">
        <v>1855</v>
      </c>
      <c r="B37" s="120">
        <v>0.02</v>
      </c>
      <c r="C37" s="2996" t="s">
        <v>2982</v>
      </c>
      <c r="D37" s="2867"/>
      <c r="E37" s="2864"/>
      <c r="F37" s="2864"/>
      <c r="G37" s="2864"/>
      <c r="H37" s="2864"/>
      <c r="I37" s="2864"/>
      <c r="J37" s="2864"/>
      <c r="K37" s="2863"/>
      <c r="L37" s="2863"/>
      <c r="M37" s="2862"/>
      <c r="N37" s="2862"/>
      <c r="O37" s="2862"/>
      <c r="P37" s="2862"/>
      <c r="Q37" s="2862"/>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2"/>
      <c r="AP37" s="2862"/>
      <c r="AQ37" s="2862"/>
      <c r="AR37" s="2862"/>
    </row>
    <row r="38" spans="1:67" ht="14.25">
      <c r="A38" s="1880" t="s">
        <v>1856</v>
      </c>
      <c r="B38" s="118">
        <v>0</v>
      </c>
      <c r="C38" s="2996" t="s">
        <v>2982</v>
      </c>
      <c r="D38" s="2867"/>
      <c r="E38" s="3323" t="s">
        <v>3350</v>
      </c>
      <c r="F38" s="2864"/>
      <c r="G38" s="2864"/>
      <c r="H38" s="2864"/>
      <c r="I38" s="2864"/>
      <c r="J38" s="2864"/>
      <c r="K38" s="2863"/>
      <c r="L38" s="2863"/>
      <c r="M38" s="2862"/>
      <c r="N38" s="2862"/>
      <c r="O38" s="2862"/>
      <c r="P38" s="2862"/>
      <c r="Q38" s="2862"/>
      <c r="R38" s="2862"/>
      <c r="S38" s="3323"/>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2"/>
      <c r="AP38" s="2862"/>
      <c r="AQ38" s="2862"/>
      <c r="AR38" s="2862"/>
    </row>
    <row r="39" spans="1:67" ht="14.25">
      <c r="A39" s="1883" t="s">
        <v>1857</v>
      </c>
      <c r="B39" s="323">
        <f ca="1">存贷款利率!I1</f>
        <v>1.4999999999999999E-2</v>
      </c>
      <c r="C39" s="2872"/>
      <c r="D39" s="2867"/>
      <c r="E39" s="2862"/>
      <c r="F39" s="2864"/>
      <c r="G39" s="2864"/>
      <c r="H39" s="2864"/>
      <c r="I39" s="2864"/>
      <c r="J39" s="2864"/>
      <c r="K39" s="2863"/>
      <c r="L39" s="2863"/>
      <c r="M39" s="2862"/>
      <c r="N39" s="2862"/>
      <c r="O39" s="2862"/>
      <c r="P39" s="2862"/>
      <c r="Q39" s="2862"/>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2"/>
      <c r="AP39" s="2862"/>
      <c r="AQ39" s="2862"/>
      <c r="AR39" s="2862"/>
    </row>
    <row r="40" spans="1:67" ht="15" thickBot="1">
      <c r="A40" s="3008" t="s">
        <v>2998</v>
      </c>
      <c r="B40" s="1206">
        <f ca="1">IF(A40="利息：取LPR",存贷款利率!G1,存贷款利率!G1+C40)</f>
        <v>3.7000000000000005E-2</v>
      </c>
      <c r="C40" s="3007">
        <v>5.0000000000000001E-3</v>
      </c>
      <c r="D40" s="2862"/>
      <c r="E40" s="2862"/>
      <c r="F40" s="2864"/>
      <c r="G40" s="2864"/>
      <c r="H40" s="2864"/>
      <c r="I40" s="2864"/>
      <c r="J40" s="2864"/>
      <c r="K40" s="2863"/>
      <c r="L40" s="2863"/>
      <c r="M40" s="2862"/>
      <c r="N40" s="2862"/>
      <c r="O40" s="2862"/>
      <c r="P40" s="2862"/>
      <c r="Q40" s="2862"/>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row>
    <row r="41" spans="1:67" ht="14.25">
      <c r="A41" s="1878" t="s">
        <v>1858</v>
      </c>
      <c r="B41" s="121">
        <f>B42+B43</f>
        <v>1.575E-2</v>
      </c>
      <c r="C41" s="2869"/>
      <c r="D41" s="2862"/>
      <c r="E41" s="2862"/>
      <c r="F41" s="2864"/>
      <c r="G41" s="2864"/>
      <c r="H41" s="2864"/>
      <c r="I41" s="2864"/>
      <c r="J41" s="2864"/>
      <c r="K41" s="2863"/>
      <c r="L41" s="2863"/>
      <c r="M41" s="2862"/>
      <c r="N41" s="2862"/>
      <c r="O41" s="2862"/>
      <c r="P41" s="2862"/>
      <c r="Q41" s="2862"/>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2"/>
      <c r="AP41" s="2862"/>
      <c r="AQ41" s="2862"/>
      <c r="AR41" s="2862"/>
    </row>
    <row r="42" spans="1:67" ht="14.25">
      <c r="A42" s="1884" t="s">
        <v>1859</v>
      </c>
      <c r="B42" s="122">
        <v>1.4999999999999999E-2</v>
      </c>
      <c r="C42" s="2874">
        <f>IF(B2&lt;DATE(2016,5,1),0,B42)</f>
        <v>1.4999999999999999E-2</v>
      </c>
      <c r="D42" s="2867"/>
      <c r="E42" s="2862"/>
      <c r="F42" s="2864"/>
      <c r="G42" s="2864"/>
      <c r="H42" s="2864"/>
      <c r="I42" s="2864"/>
      <c r="J42" s="2864"/>
      <c r="K42" s="2863"/>
      <c r="L42" s="2863"/>
      <c r="M42" s="2862"/>
      <c r="N42" s="2862"/>
      <c r="O42" s="2862"/>
      <c r="P42" s="2862"/>
      <c r="Q42" s="2862"/>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2"/>
      <c r="AP42" s="2862"/>
      <c r="AQ42" s="2862"/>
      <c r="AR42" s="2862"/>
    </row>
    <row r="43" spans="1:67" ht="14.25">
      <c r="A43" s="1884" t="s">
        <v>1860</v>
      </c>
      <c r="B43" s="123">
        <f>B42*(B44+B45+B46)+B47</f>
        <v>7.5000000000000002E-4</v>
      </c>
      <c r="C43" s="2869"/>
      <c r="D43" s="2867"/>
      <c r="E43" s="2862"/>
      <c r="F43" s="2864"/>
      <c r="G43" s="2864"/>
      <c r="H43" s="2864"/>
      <c r="I43" s="2864"/>
      <c r="J43" s="2864"/>
      <c r="K43" s="2863"/>
      <c r="L43" s="2863"/>
      <c r="M43" s="2862"/>
      <c r="N43" s="2862"/>
      <c r="O43" s="2862"/>
      <c r="P43" s="2862"/>
      <c r="Q43" s="2862"/>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2"/>
      <c r="AP43" s="2862"/>
      <c r="AQ43" s="2862"/>
      <c r="AR43" s="2862"/>
    </row>
    <row r="44" spans="1:67" ht="14.25">
      <c r="A44" s="1885" t="s">
        <v>1861</v>
      </c>
      <c r="B44" s="124">
        <v>0.05</v>
      </c>
      <c r="C44" s="2996" t="s">
        <v>2991</v>
      </c>
      <c r="D44" s="2867"/>
      <c r="E44" s="2862"/>
      <c r="F44" s="2864"/>
      <c r="G44" s="2864"/>
      <c r="H44" s="2864"/>
      <c r="I44" s="2864"/>
      <c r="J44" s="2864"/>
      <c r="K44" s="2863"/>
      <c r="L44" s="2863"/>
      <c r="M44" s="2862"/>
      <c r="N44" s="2862"/>
      <c r="O44" s="2862"/>
      <c r="P44" s="2862"/>
      <c r="Q44" s="2862"/>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2"/>
      <c r="AP44" s="2862"/>
      <c r="AQ44" s="2862"/>
      <c r="AR44" s="2862"/>
    </row>
    <row r="45" spans="1:67" ht="14.25">
      <c r="A45" s="1885" t="s">
        <v>1862</v>
      </c>
      <c r="B45" s="122"/>
      <c r="C45" s="2995" t="s">
        <v>2983</v>
      </c>
      <c r="D45" s="2867"/>
      <c r="E45" s="3323" t="s">
        <v>3350</v>
      </c>
      <c r="F45" s="2864"/>
      <c r="G45" s="2864"/>
      <c r="H45" s="2864"/>
      <c r="I45" s="2864"/>
      <c r="J45" s="2864"/>
      <c r="K45" s="2863"/>
      <c r="L45" s="2863"/>
      <c r="M45" s="2862"/>
      <c r="N45" s="2862"/>
      <c r="O45" s="2862"/>
      <c r="P45" s="2862"/>
      <c r="Q45" s="2862"/>
      <c r="R45" s="2862"/>
      <c r="S45" s="3323"/>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2"/>
      <c r="AP45" s="2862"/>
      <c r="AQ45" s="2862"/>
      <c r="AR45" s="2862"/>
    </row>
    <row r="46" spans="1:67" ht="14.25">
      <c r="A46" s="1885" t="s">
        <v>1863</v>
      </c>
      <c r="B46" s="122"/>
      <c r="C46" s="2995" t="s">
        <v>2984</v>
      </c>
      <c r="D46" s="2867"/>
      <c r="E46" s="3323" t="s">
        <v>3350</v>
      </c>
      <c r="F46" s="2864"/>
      <c r="G46" s="2864"/>
      <c r="H46" s="2864"/>
      <c r="I46" s="2864"/>
      <c r="J46" s="2864"/>
      <c r="K46" s="2863"/>
      <c r="L46" s="2863"/>
      <c r="M46" s="2862"/>
      <c r="N46" s="2862"/>
      <c r="O46" s="2862"/>
      <c r="P46" s="2862"/>
      <c r="Q46" s="2862"/>
      <c r="R46" s="2862"/>
      <c r="S46" s="3323"/>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2"/>
      <c r="AP46" s="2862"/>
      <c r="AQ46" s="2862"/>
      <c r="AR46" s="2862"/>
    </row>
    <row r="47" spans="1:67" ht="15" thickBot="1">
      <c r="A47" s="1886" t="s">
        <v>1864</v>
      </c>
      <c r="B47" s="125"/>
      <c r="C47" s="2998" t="s">
        <v>2992</v>
      </c>
      <c r="D47" s="2867"/>
      <c r="E47" s="2862"/>
      <c r="F47" s="2864"/>
      <c r="G47" s="2864"/>
      <c r="H47" s="2864"/>
      <c r="I47" s="2864"/>
      <c r="J47" s="2864"/>
      <c r="K47" s="2863"/>
      <c r="L47" s="2863"/>
      <c r="M47" s="2862"/>
      <c r="N47" s="2862"/>
      <c r="O47" s="2862"/>
      <c r="P47" s="2862"/>
      <c r="Q47" s="2862"/>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2"/>
      <c r="AP47" s="2862"/>
      <c r="AQ47" s="2862"/>
      <c r="AR47" s="2862"/>
    </row>
    <row r="48" spans="1:67" ht="14.25">
      <c r="A48" s="1887" t="s">
        <v>1865</v>
      </c>
      <c r="B48" s="126">
        <v>0.03</v>
      </c>
      <c r="C48" s="2995" t="s">
        <v>2983</v>
      </c>
      <c r="D48" s="2867"/>
      <c r="E48" s="2862"/>
      <c r="F48" s="2864"/>
      <c r="G48" s="2864"/>
      <c r="H48" s="2864"/>
      <c r="I48" s="2864"/>
      <c r="J48" s="2864"/>
      <c r="K48" s="2863"/>
      <c r="L48" s="2863"/>
      <c r="M48" s="2862"/>
      <c r="N48" s="2862"/>
      <c r="O48" s="2862"/>
      <c r="P48" s="2862"/>
      <c r="Q48" s="2862"/>
      <c r="R48" s="2862"/>
      <c r="S48" s="2862"/>
      <c r="T48" s="2862"/>
      <c r="U48" s="2862"/>
      <c r="V48" s="2862"/>
      <c r="W48" s="2862"/>
      <c r="X48" s="2862"/>
      <c r="Y48" s="2862"/>
      <c r="Z48" s="2862"/>
      <c r="AA48" s="2862"/>
      <c r="AB48" s="2862"/>
      <c r="AC48" s="2862"/>
      <c r="AD48" s="2862"/>
      <c r="AE48" s="2862"/>
      <c r="AF48" s="2862"/>
      <c r="AG48" s="2862"/>
      <c r="AH48" s="2862"/>
      <c r="AI48" s="2862"/>
      <c r="AJ48" s="2862"/>
      <c r="AK48" s="2862"/>
      <c r="AL48" s="2862"/>
      <c r="AM48" s="2862"/>
      <c r="AN48" s="2862"/>
      <c r="AO48" s="2862"/>
      <c r="AP48" s="2862"/>
      <c r="AQ48" s="2862"/>
      <c r="AR48" s="2862"/>
    </row>
    <row r="49" spans="1:44" ht="15" thickBot="1">
      <c r="A49" s="1883" t="s">
        <v>1866</v>
      </c>
      <c r="B49" s="122">
        <v>5.0000000000000001E-4</v>
      </c>
      <c r="C49" s="2995" t="s">
        <v>2985</v>
      </c>
      <c r="D49" s="2867"/>
      <c r="E49" s="2862"/>
      <c r="F49" s="2864"/>
      <c r="G49" s="2864"/>
      <c r="H49" s="2864"/>
      <c r="I49" s="2864"/>
      <c r="J49" s="2864"/>
      <c r="K49" s="2863"/>
      <c r="L49" s="2863"/>
      <c r="M49" s="2862"/>
      <c r="N49" s="2862"/>
      <c r="O49" s="2862"/>
      <c r="P49" s="2862"/>
      <c r="Q49" s="2862"/>
      <c r="R49" s="2862"/>
      <c r="S49" s="2862"/>
      <c r="T49" s="2862"/>
      <c r="U49" s="2862"/>
      <c r="V49" s="2862"/>
      <c r="W49" s="2862"/>
      <c r="X49" s="2862"/>
      <c r="Y49" s="2862"/>
      <c r="Z49" s="2862"/>
      <c r="AA49" s="2862"/>
      <c r="AB49" s="2862"/>
      <c r="AC49" s="2862"/>
      <c r="AD49" s="2862"/>
      <c r="AE49" s="2862"/>
      <c r="AF49" s="2862"/>
      <c r="AG49" s="2862"/>
      <c r="AH49" s="2862"/>
      <c r="AI49" s="2862"/>
      <c r="AJ49" s="2862"/>
      <c r="AK49" s="2862"/>
      <c r="AL49" s="2862"/>
      <c r="AM49" s="2862"/>
      <c r="AN49" s="2862"/>
      <c r="AO49" s="2862"/>
      <c r="AP49" s="2862"/>
      <c r="AQ49" s="2862"/>
      <c r="AR49" s="2862"/>
    </row>
    <row r="50" spans="1:44" ht="14.25">
      <c r="A50" s="1888" t="s">
        <v>1867</v>
      </c>
      <c r="B50" s="127">
        <v>1.2E-2</v>
      </c>
      <c r="C50" s="2850"/>
      <c r="D50" s="2867"/>
      <c r="E50" s="2862"/>
      <c r="F50" s="2864"/>
      <c r="G50" s="2864"/>
      <c r="H50" s="2864"/>
      <c r="I50" s="2864"/>
      <c r="J50" s="2864"/>
      <c r="K50" s="2863"/>
      <c r="L50" s="2863"/>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2"/>
      <c r="AP50" s="2862"/>
      <c r="AQ50" s="2862"/>
      <c r="AR50" s="2862"/>
    </row>
    <row r="51" spans="1:44" ht="15" thickBot="1">
      <c r="A51" s="1881" t="s">
        <v>1868</v>
      </c>
      <c r="B51" s="128">
        <v>0.12</v>
      </c>
      <c r="C51" s="2850"/>
      <c r="D51" s="2867"/>
      <c r="E51" s="2862"/>
      <c r="F51" s="2864"/>
      <c r="G51" s="2864"/>
      <c r="H51" s="2864"/>
      <c r="I51" s="2864"/>
      <c r="J51" s="2864"/>
      <c r="K51" s="2863"/>
      <c r="L51" s="2863"/>
      <c r="M51" s="2862"/>
      <c r="N51" s="2862"/>
      <c r="O51" s="2862"/>
      <c r="P51" s="2862"/>
      <c r="Q51" s="2862"/>
      <c r="R51" s="2862"/>
      <c r="S51" s="2862"/>
      <c r="T51" s="2862"/>
      <c r="U51" s="2862"/>
      <c r="V51" s="2862"/>
      <c r="W51" s="2862"/>
      <c r="X51" s="2862"/>
      <c r="Y51" s="2862"/>
      <c r="Z51" s="2862"/>
      <c r="AA51" s="2862"/>
      <c r="AB51" s="2862"/>
      <c r="AC51" s="2862"/>
      <c r="AD51" s="2862"/>
      <c r="AE51" s="2862"/>
      <c r="AF51" s="2862"/>
      <c r="AG51" s="2862"/>
      <c r="AH51" s="2862"/>
      <c r="AI51" s="2862"/>
      <c r="AJ51" s="2862"/>
      <c r="AK51" s="2862"/>
      <c r="AL51" s="2862"/>
      <c r="AM51" s="2862"/>
      <c r="AN51" s="2862"/>
      <c r="AO51" s="2862"/>
      <c r="AP51" s="2862"/>
      <c r="AQ51" s="2862"/>
      <c r="AR51" s="2862"/>
    </row>
    <row r="52" spans="1:44" ht="14.25">
      <c r="A52" s="1888" t="s">
        <v>1869</v>
      </c>
      <c r="B52" s="129">
        <f>SUMIF(A54:A63,B53,B54:B63)</f>
        <v>0</v>
      </c>
      <c r="C52" s="2850"/>
      <c r="D52" s="2867"/>
      <c r="E52" s="2862"/>
      <c r="F52" s="2864"/>
      <c r="G52" s="2864"/>
      <c r="H52" s="2864"/>
      <c r="I52" s="2864"/>
      <c r="J52" s="2864"/>
      <c r="K52" s="2863"/>
      <c r="L52" s="2863"/>
      <c r="M52" s="2862"/>
      <c r="N52" s="2862"/>
      <c r="O52" s="2862"/>
      <c r="P52" s="2862"/>
      <c r="Q52" s="2862"/>
      <c r="R52" s="2862"/>
      <c r="S52" s="2862"/>
      <c r="T52" s="2862"/>
      <c r="U52" s="2862"/>
      <c r="V52" s="2862"/>
      <c r="W52" s="2862"/>
      <c r="X52" s="2862"/>
      <c r="Y52" s="2862"/>
      <c r="Z52" s="2862"/>
      <c r="AA52" s="2862"/>
      <c r="AB52" s="2862"/>
      <c r="AC52" s="2862"/>
      <c r="AD52" s="2862"/>
      <c r="AE52" s="2862"/>
      <c r="AF52" s="2862"/>
      <c r="AG52" s="2862"/>
      <c r="AH52" s="2862"/>
      <c r="AI52" s="2862"/>
      <c r="AJ52" s="2862"/>
      <c r="AK52" s="2862"/>
      <c r="AL52" s="2862"/>
      <c r="AM52" s="2862"/>
      <c r="AN52" s="2862"/>
      <c r="AO52" s="2862"/>
      <c r="AP52" s="2862"/>
      <c r="AQ52" s="2862"/>
      <c r="AR52" s="2862"/>
    </row>
    <row r="53" spans="1:44" ht="27">
      <c r="A53" s="1880" t="s">
        <v>1870</v>
      </c>
      <c r="B53" s="1889" t="s">
        <v>56</v>
      </c>
      <c r="C53" s="2850" t="s">
        <v>1871</v>
      </c>
      <c r="D53" s="2997" t="s">
        <v>2989</v>
      </c>
      <c r="E53" s="2862"/>
      <c r="F53" s="2864"/>
      <c r="G53" s="2864"/>
      <c r="H53" s="2864"/>
      <c r="I53" s="2864"/>
      <c r="J53" s="2864"/>
      <c r="K53" s="2863"/>
      <c r="L53" s="2863"/>
      <c r="M53" s="2862"/>
      <c r="N53" s="2862"/>
      <c r="O53" s="2862"/>
      <c r="P53" s="2862"/>
      <c r="Q53" s="2862"/>
      <c r="R53" s="2862"/>
      <c r="S53" s="2862"/>
      <c r="T53" s="2862"/>
      <c r="U53" s="2862"/>
      <c r="V53" s="2862"/>
      <c r="W53" s="2862"/>
      <c r="X53" s="2862"/>
      <c r="Y53" s="2862"/>
      <c r="Z53" s="2862"/>
      <c r="AA53" s="2862"/>
      <c r="AB53" s="2862"/>
      <c r="AC53" s="2862"/>
      <c r="AD53" s="2862"/>
      <c r="AE53" s="2862"/>
      <c r="AF53" s="2862"/>
      <c r="AG53" s="2862"/>
      <c r="AH53" s="2862"/>
      <c r="AI53" s="2862"/>
      <c r="AJ53" s="2862"/>
      <c r="AK53" s="2862"/>
      <c r="AL53" s="2862"/>
      <c r="AM53" s="2862"/>
      <c r="AN53" s="2862"/>
      <c r="AO53" s="2862"/>
      <c r="AP53" s="2862"/>
      <c r="AQ53" s="2862"/>
      <c r="AR53" s="2862"/>
    </row>
    <row r="54" spans="1:44" ht="14.25">
      <c r="A54" s="1890" t="s">
        <v>1872</v>
      </c>
      <c r="B54" s="80"/>
      <c r="C54" s="2850">
        <v>30</v>
      </c>
      <c r="D54" s="2867"/>
      <c r="E54" s="3323" t="s">
        <v>3350</v>
      </c>
      <c r="F54" s="2864"/>
      <c r="G54" s="2864"/>
      <c r="H54" s="2864"/>
      <c r="I54" s="2864"/>
      <c r="J54" s="2864"/>
      <c r="K54" s="2863"/>
      <c r="L54" s="2863"/>
      <c r="M54" s="2862"/>
      <c r="N54" s="2862"/>
      <c r="O54" s="2862"/>
      <c r="P54" s="2862"/>
      <c r="Q54" s="2862"/>
      <c r="R54" s="2862"/>
      <c r="S54" s="3323"/>
      <c r="T54" s="2862"/>
      <c r="U54" s="2862"/>
      <c r="V54" s="2862"/>
      <c r="W54" s="2862"/>
      <c r="X54" s="2862"/>
      <c r="Y54" s="2862"/>
      <c r="Z54" s="2862"/>
      <c r="AA54" s="2862"/>
      <c r="AB54" s="2862"/>
      <c r="AC54" s="2862"/>
      <c r="AD54" s="2862"/>
      <c r="AE54" s="2862"/>
      <c r="AF54" s="2862"/>
      <c r="AG54" s="2862"/>
      <c r="AH54" s="2862"/>
      <c r="AI54" s="2862"/>
      <c r="AJ54" s="2862"/>
      <c r="AK54" s="2862"/>
      <c r="AL54" s="2862"/>
      <c r="AM54" s="2862"/>
      <c r="AN54" s="2862"/>
      <c r="AO54" s="2862"/>
      <c r="AP54" s="2862"/>
      <c r="AQ54" s="2862"/>
      <c r="AR54" s="2862"/>
    </row>
    <row r="55" spans="1:44" ht="14.25">
      <c r="A55" s="1890" t="s">
        <v>1873</v>
      </c>
      <c r="B55" s="80"/>
      <c r="C55" s="2850">
        <v>24</v>
      </c>
      <c r="D55" s="2867"/>
      <c r="E55" s="2862"/>
      <c r="F55" s="2864"/>
      <c r="G55" s="2864"/>
      <c r="H55" s="2864"/>
      <c r="I55" s="2865"/>
      <c r="J55" s="2864"/>
      <c r="K55" s="2863"/>
      <c r="L55" s="2863"/>
      <c r="M55" s="2862"/>
      <c r="N55" s="2862"/>
      <c r="O55" s="2862"/>
      <c r="P55" s="2862"/>
      <c r="Q55" s="2862"/>
      <c r="R55" s="2862"/>
      <c r="S55" s="2862"/>
      <c r="T55" s="2862"/>
      <c r="U55" s="2862"/>
      <c r="V55" s="2862"/>
      <c r="W55" s="2862"/>
      <c r="X55" s="2862"/>
      <c r="Y55" s="2862"/>
      <c r="Z55" s="2862"/>
      <c r="AA55" s="2862"/>
      <c r="AB55" s="2862"/>
      <c r="AC55" s="2862"/>
      <c r="AD55" s="2862"/>
      <c r="AE55" s="2862"/>
      <c r="AF55" s="2862"/>
      <c r="AG55" s="2862"/>
      <c r="AH55" s="2862"/>
      <c r="AI55" s="2862"/>
      <c r="AJ55" s="2862"/>
      <c r="AK55" s="2862"/>
      <c r="AL55" s="2862"/>
      <c r="AM55" s="2862"/>
      <c r="AN55" s="2862"/>
      <c r="AO55" s="2862"/>
      <c r="AP55" s="2862"/>
      <c r="AQ55" s="2862"/>
      <c r="AR55" s="2862"/>
    </row>
    <row r="56" spans="1:44" ht="14.25">
      <c r="A56" s="1890" t="s">
        <v>1874</v>
      </c>
      <c r="B56" s="80"/>
      <c r="C56" s="2850">
        <v>18</v>
      </c>
      <c r="D56" s="2867"/>
      <c r="E56" s="2862"/>
      <c r="F56" s="2864"/>
      <c r="G56" s="2864"/>
      <c r="H56" s="2864"/>
      <c r="I56" s="2864"/>
      <c r="J56" s="2864"/>
      <c r="K56" s="2863"/>
      <c r="L56" s="2863"/>
      <c r="M56" s="2862"/>
      <c r="N56" s="2862"/>
      <c r="O56" s="2862"/>
      <c r="P56" s="2862"/>
      <c r="Q56" s="2862"/>
      <c r="R56" s="2862"/>
      <c r="S56" s="2862"/>
      <c r="T56" s="2862"/>
      <c r="U56" s="2862"/>
      <c r="V56" s="2862"/>
      <c r="W56" s="2862"/>
      <c r="X56" s="2862"/>
      <c r="Y56" s="2862"/>
      <c r="Z56" s="2862"/>
      <c r="AA56" s="2862"/>
      <c r="AB56" s="2862"/>
      <c r="AC56" s="2862"/>
      <c r="AD56" s="2862"/>
      <c r="AE56" s="2862"/>
      <c r="AF56" s="2862"/>
      <c r="AG56" s="2862"/>
      <c r="AH56" s="2862"/>
      <c r="AI56" s="2862"/>
      <c r="AJ56" s="2862"/>
      <c r="AK56" s="2862"/>
      <c r="AL56" s="2862"/>
      <c r="AM56" s="2862"/>
      <c r="AN56" s="2862"/>
      <c r="AO56" s="2862"/>
      <c r="AP56" s="2862"/>
      <c r="AQ56" s="2862"/>
      <c r="AR56" s="2862"/>
    </row>
    <row r="57" spans="1:44" ht="14.25">
      <c r="A57" s="1890" t="s">
        <v>1875</v>
      </c>
      <c r="B57" s="80"/>
      <c r="C57" s="2850">
        <v>12</v>
      </c>
      <c r="D57" s="2867"/>
      <c r="E57" s="2864"/>
      <c r="F57" s="2864"/>
      <c r="G57" s="2864"/>
      <c r="H57" s="2864"/>
      <c r="I57" s="2864"/>
      <c r="J57" s="2864"/>
      <c r="K57" s="2863"/>
      <c r="L57" s="2863"/>
      <c r="M57" s="286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row>
    <row r="58" spans="1:44" ht="14.25">
      <c r="A58" s="1890" t="s">
        <v>1876</v>
      </c>
      <c r="B58" s="80"/>
      <c r="C58" s="2850">
        <v>3</v>
      </c>
      <c r="D58" s="2867"/>
      <c r="E58" s="2864"/>
      <c r="F58" s="2864"/>
      <c r="G58" s="2864"/>
      <c r="H58" s="2864"/>
      <c r="I58" s="2864"/>
      <c r="J58" s="2864"/>
      <c r="K58" s="2863"/>
      <c r="L58" s="2863"/>
      <c r="M58" s="286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row>
    <row r="59" spans="1:44" ht="14.25">
      <c r="A59" s="1890" t="s">
        <v>1877</v>
      </c>
      <c r="B59" s="80"/>
      <c r="C59" s="2850">
        <v>1.5</v>
      </c>
      <c r="D59" s="2867"/>
      <c r="E59" s="2864"/>
      <c r="F59" s="2864"/>
      <c r="G59" s="2864"/>
      <c r="H59" s="2864"/>
      <c r="I59" s="2864"/>
      <c r="J59" s="2864"/>
      <c r="K59" s="2863"/>
      <c r="L59" s="2863"/>
      <c r="M59" s="286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row>
    <row r="60" spans="1:44" ht="14.25">
      <c r="A60" s="1890" t="s">
        <v>1878</v>
      </c>
      <c r="B60" s="80"/>
      <c r="C60" s="2864"/>
      <c r="D60" s="2867"/>
      <c r="E60" s="2864"/>
      <c r="F60" s="2864"/>
      <c r="G60" s="2864"/>
      <c r="H60" s="2864"/>
      <c r="I60" s="2864"/>
      <c r="J60" s="2864"/>
      <c r="K60" s="2863"/>
      <c r="L60" s="2863"/>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row>
    <row r="61" spans="1:44" ht="14.25">
      <c r="A61" s="1890" t="s">
        <v>1879</v>
      </c>
      <c r="B61" s="80"/>
      <c r="C61" s="2864"/>
      <c r="D61" s="2867"/>
      <c r="E61" s="2864"/>
      <c r="F61" s="2864"/>
      <c r="G61" s="2864"/>
      <c r="H61" s="2864"/>
      <c r="I61" s="2864"/>
      <c r="J61" s="2864"/>
      <c r="K61" s="2863"/>
      <c r="L61" s="2863"/>
      <c r="M61" s="286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row>
    <row r="62" spans="1:44" ht="14.25">
      <c r="A62" s="1890" t="s">
        <v>1880</v>
      </c>
      <c r="B62" s="80"/>
      <c r="C62" s="2864"/>
      <c r="D62" s="2867"/>
      <c r="E62" s="2864"/>
      <c r="F62" s="2864"/>
      <c r="G62" s="2864"/>
      <c r="H62" s="2864"/>
      <c r="I62" s="2864"/>
      <c r="J62" s="2864"/>
      <c r="K62" s="2863"/>
      <c r="L62" s="2863"/>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row>
    <row r="63" spans="1:44" ht="15" thickBot="1">
      <c r="A63" s="1891" t="s">
        <v>1881</v>
      </c>
      <c r="B63" s="130"/>
      <c r="C63" s="2864"/>
      <c r="D63" s="2867"/>
      <c r="E63" s="2864"/>
      <c r="F63" s="2864"/>
      <c r="G63" s="2864"/>
      <c r="H63" s="2864"/>
      <c r="I63" s="2864"/>
      <c r="J63" s="2864"/>
      <c r="K63" s="2863"/>
      <c r="L63" s="2863"/>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row>
    <row r="64" spans="1:44" s="897" customFormat="1">
      <c r="A64" s="2853"/>
      <c r="B64" s="2862"/>
      <c r="C64" s="2862"/>
      <c r="D64" s="2866"/>
      <c r="E64" s="2862"/>
      <c r="F64" s="2862"/>
      <c r="G64" s="2862"/>
      <c r="H64" s="2862"/>
      <c r="I64" s="2862"/>
      <c r="J64" s="2862"/>
      <c r="K64" s="2863"/>
      <c r="L64" s="2863"/>
      <c r="M64" s="2862"/>
      <c r="N64" s="2862"/>
      <c r="O64" s="2862"/>
      <c r="P64" s="2862"/>
      <c r="Q64" s="2862"/>
      <c r="R64" s="2862"/>
      <c r="S64" s="2862"/>
      <c r="T64" s="2862"/>
      <c r="U64" s="2862"/>
      <c r="V64" s="2862"/>
      <c r="W64" s="2862"/>
      <c r="X64" s="2862"/>
      <c r="Y64" s="2862"/>
      <c r="Z64" s="2862"/>
      <c r="AA64" s="2862"/>
      <c r="AB64" s="2862"/>
      <c r="AC64" s="2862"/>
      <c r="AD64" s="2862"/>
      <c r="AE64" s="2862"/>
      <c r="AF64" s="2862"/>
      <c r="AG64" s="2862"/>
      <c r="AH64" s="2862"/>
      <c r="AI64" s="2862"/>
      <c r="AJ64" s="2862"/>
      <c r="AK64" s="2862"/>
      <c r="AL64" s="2862"/>
      <c r="AM64" s="2862"/>
      <c r="AN64" s="2862"/>
      <c r="AO64" s="2862"/>
      <c r="AP64" s="2862"/>
      <c r="AQ64" s="2862"/>
      <c r="AR64" s="2862"/>
    </row>
    <row r="65" spans="1:44" s="897" customFormat="1">
      <c r="A65" s="2853"/>
      <c r="B65" s="2862"/>
      <c r="C65" s="2862"/>
      <c r="D65" s="2866"/>
      <c r="E65" s="2862"/>
      <c r="F65" s="2862"/>
      <c r="G65" s="2862"/>
      <c r="H65" s="2862"/>
      <c r="I65" s="2862"/>
      <c r="J65" s="2862"/>
      <c r="K65" s="2863"/>
      <c r="L65" s="2863"/>
      <c r="M65" s="2862"/>
      <c r="N65" s="2862"/>
      <c r="O65" s="2862"/>
      <c r="P65" s="2862"/>
      <c r="Q65" s="2862"/>
      <c r="R65" s="2862"/>
      <c r="S65" s="2862"/>
      <c r="T65" s="2862"/>
      <c r="U65" s="2862"/>
      <c r="V65" s="2862"/>
      <c r="W65" s="2862"/>
      <c r="X65" s="2862"/>
      <c r="Y65" s="2862"/>
      <c r="Z65" s="2862"/>
      <c r="AA65" s="2862"/>
      <c r="AB65" s="2862"/>
      <c r="AC65" s="2862"/>
      <c r="AD65" s="2862"/>
      <c r="AE65" s="2862"/>
      <c r="AF65" s="2862"/>
      <c r="AG65" s="2862"/>
      <c r="AH65" s="2862"/>
      <c r="AI65" s="2862"/>
      <c r="AJ65" s="2862"/>
      <c r="AK65" s="2862"/>
      <c r="AL65" s="2862"/>
      <c r="AM65" s="2862"/>
      <c r="AN65" s="2862"/>
      <c r="AO65" s="2862"/>
      <c r="AP65" s="2862"/>
      <c r="AQ65" s="2862"/>
      <c r="AR65" s="2862"/>
    </row>
    <row r="66" spans="1:44" s="897" customFormat="1">
      <c r="A66" s="2853"/>
      <c r="B66" s="2862"/>
      <c r="C66" s="2862"/>
      <c r="D66" s="2866"/>
      <c r="E66" s="2862"/>
      <c r="F66" s="2862"/>
      <c r="G66" s="2862"/>
      <c r="H66" s="2862"/>
      <c r="I66" s="2862"/>
      <c r="J66" s="2862"/>
      <c r="K66" s="2863"/>
      <c r="L66" s="2863"/>
      <c r="M66" s="2862"/>
      <c r="N66" s="2862"/>
      <c r="O66" s="2862"/>
      <c r="P66" s="2862"/>
      <c r="Q66" s="2862"/>
      <c r="R66" s="2862"/>
      <c r="S66" s="2862"/>
      <c r="T66" s="2862"/>
      <c r="U66" s="2862"/>
      <c r="V66" s="2862"/>
      <c r="W66" s="2862"/>
      <c r="X66" s="2862"/>
      <c r="Y66" s="2862"/>
      <c r="Z66" s="2862"/>
      <c r="AA66" s="2862"/>
      <c r="AB66" s="2862"/>
      <c r="AC66" s="2862"/>
      <c r="AD66" s="2862"/>
      <c r="AE66" s="2862"/>
      <c r="AF66" s="2862"/>
      <c r="AG66" s="2862"/>
      <c r="AH66" s="2862"/>
      <c r="AI66" s="2862"/>
      <c r="AJ66" s="2862"/>
      <c r="AK66" s="2862"/>
      <c r="AL66" s="2862"/>
      <c r="AM66" s="2862"/>
      <c r="AN66" s="2862"/>
      <c r="AO66" s="2862"/>
      <c r="AP66" s="2862"/>
      <c r="AQ66" s="2862"/>
      <c r="AR66" s="2862"/>
    </row>
    <row r="67" spans="1:44" s="897" customFormat="1">
      <c r="A67" s="2853"/>
      <c r="B67" s="2862"/>
      <c r="C67" s="2862"/>
      <c r="D67" s="2866"/>
      <c r="E67" s="2862"/>
      <c r="F67" s="2862"/>
      <c r="G67" s="2862"/>
      <c r="H67" s="2862"/>
      <c r="I67" s="2862"/>
      <c r="J67" s="2862"/>
      <c r="K67" s="2863"/>
      <c r="L67" s="2863"/>
      <c r="M67" s="2862"/>
      <c r="N67" s="2862"/>
      <c r="O67" s="2862"/>
      <c r="P67" s="2862"/>
      <c r="Q67" s="2862"/>
      <c r="R67" s="2862"/>
      <c r="S67" s="2862"/>
      <c r="T67" s="2862"/>
      <c r="U67" s="2862"/>
      <c r="V67" s="2862"/>
      <c r="W67" s="2862"/>
      <c r="X67" s="2862"/>
      <c r="Y67" s="2862"/>
      <c r="Z67" s="2862"/>
      <c r="AA67" s="2862"/>
      <c r="AB67" s="2862"/>
      <c r="AC67" s="2862"/>
      <c r="AD67" s="2862"/>
      <c r="AE67" s="2862"/>
      <c r="AF67" s="2862"/>
      <c r="AG67" s="2862"/>
      <c r="AH67" s="2862"/>
      <c r="AI67" s="2862"/>
      <c r="AJ67" s="2862"/>
      <c r="AK67" s="2862"/>
      <c r="AL67" s="2862"/>
      <c r="AM67" s="2862"/>
      <c r="AN67" s="2862"/>
      <c r="AO67" s="2862"/>
      <c r="AP67" s="2862"/>
      <c r="AQ67" s="2862"/>
      <c r="AR67" s="2862"/>
    </row>
    <row r="68" spans="1:44" s="897" customFormat="1">
      <c r="A68" s="2853"/>
      <c r="B68" s="2862"/>
      <c r="C68" s="2862"/>
      <c r="D68" s="2866"/>
      <c r="E68" s="2862"/>
      <c r="F68" s="2862"/>
      <c r="G68" s="2862"/>
      <c r="H68" s="2862"/>
      <c r="I68" s="2862"/>
      <c r="J68" s="2862"/>
      <c r="K68" s="2863"/>
      <c r="L68" s="2863"/>
      <c r="M68" s="2862"/>
      <c r="N68" s="2862"/>
      <c r="O68" s="2862"/>
      <c r="P68" s="2862"/>
      <c r="Q68" s="2862"/>
      <c r="R68" s="2862"/>
      <c r="S68" s="2862"/>
      <c r="T68" s="2862"/>
      <c r="U68" s="2862"/>
      <c r="V68" s="2862"/>
      <c r="W68" s="2862"/>
      <c r="X68" s="2862"/>
      <c r="Y68" s="2862"/>
      <c r="Z68" s="2862"/>
      <c r="AA68" s="2862"/>
      <c r="AB68" s="2862"/>
      <c r="AC68" s="2862"/>
      <c r="AD68" s="2862"/>
      <c r="AE68" s="2862"/>
      <c r="AF68" s="2862"/>
      <c r="AG68" s="2862"/>
      <c r="AH68" s="2862"/>
      <c r="AI68" s="2862"/>
      <c r="AJ68" s="2862"/>
      <c r="AK68" s="2862"/>
      <c r="AL68" s="2862"/>
      <c r="AM68" s="2862"/>
      <c r="AN68" s="2862"/>
      <c r="AO68" s="2862"/>
      <c r="AP68" s="2862"/>
      <c r="AQ68" s="2862"/>
      <c r="AR68" s="2862"/>
    </row>
    <row r="69" spans="1:44" s="897" customFormat="1">
      <c r="A69" s="1892"/>
      <c r="D69" s="1893"/>
      <c r="K69" s="737"/>
      <c r="L69" s="737"/>
    </row>
    <row r="70" spans="1:44" s="897" customFormat="1">
      <c r="A70" s="1892"/>
      <c r="D70" s="1893"/>
      <c r="K70" s="737"/>
      <c r="L70" s="737"/>
    </row>
    <row r="71" spans="1:44" s="897" customFormat="1">
      <c r="A71" s="1892"/>
      <c r="D71" s="1893"/>
      <c r="K71" s="737"/>
      <c r="L71" s="737"/>
    </row>
    <row r="72" spans="1:44" s="897" customFormat="1">
      <c r="A72" s="1892"/>
      <c r="D72" s="1893"/>
      <c r="K72" s="737"/>
      <c r="L72" s="737"/>
    </row>
    <row r="73" spans="1:44" s="897" customFormat="1">
      <c r="A73" s="1892"/>
      <c r="D73" s="1893"/>
      <c r="K73" s="737"/>
      <c r="L73" s="737"/>
    </row>
    <row r="74" spans="1:44" s="897" customFormat="1">
      <c r="A74" s="1892"/>
      <c r="D74" s="1893"/>
      <c r="K74" s="737"/>
      <c r="L74" s="737"/>
    </row>
    <row r="75" spans="1:44" s="897" customFormat="1">
      <c r="A75" s="1892"/>
      <c r="D75" s="1893"/>
      <c r="K75" s="737"/>
      <c r="L75" s="737"/>
    </row>
    <row r="76" spans="1:44" s="897" customFormat="1">
      <c r="A76" s="1892"/>
      <c r="D76" s="1893"/>
      <c r="K76" s="737"/>
      <c r="L76" s="737"/>
    </row>
    <row r="77" spans="1:44" s="897" customFormat="1">
      <c r="A77" s="1892"/>
      <c r="D77" s="1893"/>
      <c r="K77" s="737"/>
      <c r="L77" s="737"/>
    </row>
    <row r="78" spans="1:44" s="897" customFormat="1">
      <c r="A78" s="1892"/>
      <c r="D78" s="1893"/>
      <c r="K78" s="737"/>
      <c r="L78" s="737"/>
    </row>
    <row r="79" spans="1:44" s="897" customFormat="1">
      <c r="A79" s="1892"/>
      <c r="D79" s="1893"/>
      <c r="K79" s="737"/>
      <c r="L79" s="737"/>
    </row>
    <row r="80" spans="1:44" s="897" customFormat="1">
      <c r="A80" s="1892"/>
      <c r="D80" s="1893"/>
      <c r="K80" s="737"/>
      <c r="L80" s="737"/>
    </row>
    <row r="81" spans="1:12" s="897" customFormat="1">
      <c r="A81" s="1892"/>
      <c r="D81" s="1893"/>
      <c r="K81" s="737"/>
      <c r="L81" s="737"/>
    </row>
    <row r="82" spans="1:12" s="897" customFormat="1">
      <c r="A82" s="1892"/>
      <c r="D82" s="1893"/>
      <c r="K82" s="737"/>
      <c r="L82" s="737"/>
    </row>
    <row r="83" spans="1:12" s="897" customFormat="1">
      <c r="A83" s="1892"/>
      <c r="D83" s="1893"/>
      <c r="K83" s="737"/>
      <c r="L83" s="737"/>
    </row>
    <row r="84" spans="1:12" s="897" customFormat="1">
      <c r="A84" s="1892"/>
      <c r="D84" s="1893"/>
      <c r="K84" s="737"/>
      <c r="L84" s="737"/>
    </row>
    <row r="85" spans="1:12" s="897" customFormat="1">
      <c r="A85" s="1892"/>
      <c r="D85" s="1893"/>
      <c r="K85" s="737"/>
      <c r="L85" s="737"/>
    </row>
    <row r="86" spans="1:12" s="897" customFormat="1">
      <c r="A86" s="1892"/>
      <c r="D86" s="1893"/>
      <c r="K86" s="737"/>
      <c r="L86" s="737"/>
    </row>
    <row r="87" spans="1:12" s="897" customFormat="1">
      <c r="A87" s="1892"/>
      <c r="D87" s="1893"/>
      <c r="K87" s="737"/>
      <c r="L87" s="737"/>
    </row>
    <row r="88" spans="1:12" s="897" customFormat="1">
      <c r="A88" s="1892"/>
      <c r="D88" s="1893"/>
      <c r="K88" s="737"/>
      <c r="L88" s="737"/>
    </row>
    <row r="89" spans="1:12" s="897" customFormat="1">
      <c r="A89" s="1892"/>
      <c r="D89" s="1893"/>
      <c r="K89" s="737"/>
      <c r="L89" s="737"/>
    </row>
    <row r="90" spans="1:12" s="897" customFormat="1">
      <c r="A90" s="1892"/>
      <c r="D90" s="1893"/>
      <c r="K90" s="737"/>
      <c r="L90" s="737"/>
    </row>
    <row r="91" spans="1:12" s="897" customFormat="1">
      <c r="A91" s="1892"/>
      <c r="D91" s="1893"/>
      <c r="K91" s="737"/>
      <c r="L91" s="737"/>
    </row>
    <row r="92" spans="1:12" s="897" customFormat="1">
      <c r="A92" s="1892"/>
      <c r="D92" s="1893"/>
      <c r="K92" s="737"/>
      <c r="L92" s="737"/>
    </row>
    <row r="93" spans="1:12" s="897" customFormat="1">
      <c r="A93" s="1892"/>
      <c r="D93" s="1893"/>
      <c r="K93" s="737"/>
      <c r="L93" s="737"/>
    </row>
    <row r="94" spans="1:12" s="897" customFormat="1">
      <c r="A94" s="1892"/>
      <c r="D94" s="1893"/>
      <c r="K94" s="737"/>
      <c r="L94" s="737"/>
    </row>
    <row r="95" spans="1:12" s="897" customFormat="1">
      <c r="A95" s="1892"/>
      <c r="D95" s="1893"/>
      <c r="K95" s="737"/>
      <c r="L95" s="737"/>
    </row>
    <row r="96" spans="1:12" s="897" customFormat="1">
      <c r="A96" s="1892"/>
      <c r="D96" s="1893"/>
      <c r="K96" s="737"/>
      <c r="L96" s="737"/>
    </row>
    <row r="97" spans="1:12" s="897" customFormat="1">
      <c r="A97" s="1892"/>
      <c r="D97" s="1893"/>
      <c r="K97" s="737"/>
      <c r="L97" s="737"/>
    </row>
    <row r="98" spans="1:12" s="897" customFormat="1">
      <c r="A98" s="1892"/>
      <c r="D98" s="1893"/>
      <c r="K98" s="737"/>
      <c r="L98" s="737"/>
    </row>
    <row r="99" spans="1:12" s="897" customFormat="1">
      <c r="A99" s="1892"/>
      <c r="D99" s="1893"/>
      <c r="K99" s="737"/>
      <c r="L99" s="737"/>
    </row>
    <row r="100" spans="1:12" s="897" customFormat="1">
      <c r="A100" s="1892"/>
      <c r="D100" s="1893"/>
      <c r="K100" s="737"/>
      <c r="L100" s="737"/>
    </row>
    <row r="101" spans="1:12" s="897" customFormat="1">
      <c r="A101" s="1892"/>
      <c r="D101" s="1893"/>
      <c r="K101" s="737"/>
      <c r="L101" s="737"/>
    </row>
    <row r="102" spans="1:12" s="897" customFormat="1">
      <c r="A102" s="1892"/>
      <c r="D102" s="1893"/>
      <c r="K102" s="737"/>
      <c r="L102" s="737"/>
    </row>
    <row r="103" spans="1:12" s="897" customFormat="1">
      <c r="A103" s="1892"/>
      <c r="D103" s="1893"/>
      <c r="K103" s="737"/>
      <c r="L103" s="737"/>
    </row>
    <row r="104" spans="1:12" s="897" customFormat="1">
      <c r="A104" s="1892"/>
      <c r="D104" s="1893"/>
      <c r="K104" s="737"/>
      <c r="L104" s="737"/>
    </row>
    <row r="105" spans="1:12" s="897" customFormat="1">
      <c r="A105" s="1892"/>
      <c r="D105" s="1893"/>
      <c r="K105" s="737"/>
      <c r="L105" s="737"/>
    </row>
    <row r="106" spans="1:12" s="897" customFormat="1">
      <c r="A106" s="1892"/>
      <c r="D106" s="1893"/>
      <c r="K106" s="737"/>
      <c r="L106" s="737"/>
    </row>
    <row r="107" spans="1:12" s="897" customFormat="1">
      <c r="A107" s="1892"/>
      <c r="D107" s="1893"/>
      <c r="K107" s="737"/>
      <c r="L107" s="737"/>
    </row>
    <row r="108" spans="1:12" s="897" customFormat="1">
      <c r="A108" s="1892"/>
      <c r="D108" s="1893"/>
      <c r="K108" s="737"/>
      <c r="L108" s="737"/>
    </row>
    <row r="109" spans="1:12" s="897" customFormat="1">
      <c r="A109" s="1892"/>
      <c r="D109" s="1893"/>
      <c r="K109" s="737"/>
      <c r="L109" s="737"/>
    </row>
    <row r="110" spans="1:12" s="897" customFormat="1">
      <c r="A110" s="1892"/>
      <c r="D110" s="1893"/>
      <c r="K110" s="737"/>
      <c r="L110" s="737"/>
    </row>
    <row r="111" spans="1:12" s="897" customFormat="1">
      <c r="A111" s="1892"/>
      <c r="D111" s="1893"/>
      <c r="K111" s="737"/>
      <c r="L111" s="737"/>
    </row>
    <row r="112" spans="1:12" s="897" customFormat="1">
      <c r="A112" s="1892"/>
      <c r="D112" s="1893"/>
      <c r="K112" s="737"/>
      <c r="L112" s="737"/>
    </row>
    <row r="113" spans="1:12" s="897" customFormat="1">
      <c r="A113" s="1892"/>
      <c r="D113" s="1893"/>
      <c r="K113" s="737"/>
      <c r="L113" s="737"/>
    </row>
    <row r="114" spans="1:12" s="897" customFormat="1">
      <c r="A114" s="1892"/>
      <c r="D114" s="1893"/>
      <c r="K114" s="737"/>
      <c r="L114" s="737"/>
    </row>
    <row r="115" spans="1:12" s="897" customFormat="1">
      <c r="A115" s="1892"/>
      <c r="D115" s="1893"/>
      <c r="K115" s="737"/>
      <c r="L115" s="737"/>
    </row>
    <row r="116" spans="1:12" s="897" customFormat="1">
      <c r="A116" s="1892"/>
      <c r="D116" s="1893"/>
      <c r="K116" s="737"/>
      <c r="L116" s="737"/>
    </row>
    <row r="117" spans="1:12" s="897" customFormat="1">
      <c r="A117" s="1892"/>
      <c r="D117" s="1893"/>
      <c r="K117" s="737"/>
      <c r="L117" s="737"/>
    </row>
    <row r="118" spans="1:12" s="897" customFormat="1">
      <c r="A118" s="1892"/>
      <c r="D118" s="1893"/>
      <c r="K118" s="737"/>
      <c r="L118" s="737"/>
    </row>
    <row r="119" spans="1:12" s="897" customFormat="1">
      <c r="A119" s="1892"/>
      <c r="D119" s="1893"/>
      <c r="K119" s="737"/>
      <c r="L119" s="737"/>
    </row>
    <row r="120" spans="1:12" s="897" customFormat="1">
      <c r="A120" s="1892"/>
      <c r="D120" s="1893"/>
      <c r="K120" s="737"/>
      <c r="L120" s="737"/>
    </row>
    <row r="121" spans="1:12" s="897" customFormat="1">
      <c r="A121" s="1892"/>
      <c r="D121" s="1893"/>
      <c r="K121" s="737"/>
      <c r="L121" s="737"/>
    </row>
    <row r="122" spans="1:12" s="897" customFormat="1">
      <c r="A122" s="1892"/>
      <c r="D122" s="1893"/>
      <c r="K122" s="737"/>
      <c r="L122" s="737"/>
    </row>
    <row r="123" spans="1:12" s="897" customFormat="1">
      <c r="A123" s="1892"/>
      <c r="D123" s="1893"/>
      <c r="K123" s="737"/>
      <c r="L123" s="737"/>
    </row>
    <row r="124" spans="1:12" s="897" customFormat="1">
      <c r="A124" s="1892"/>
      <c r="D124" s="1893"/>
      <c r="K124" s="737"/>
      <c r="L124" s="737"/>
    </row>
    <row r="125" spans="1:12" s="897" customFormat="1">
      <c r="A125" s="1892"/>
      <c r="D125" s="1893"/>
      <c r="K125" s="737"/>
      <c r="L125" s="737"/>
    </row>
    <row r="126" spans="1:12" s="897" customFormat="1">
      <c r="A126" s="1892"/>
      <c r="D126" s="1893"/>
      <c r="K126" s="737"/>
      <c r="L126" s="737"/>
    </row>
    <row r="127" spans="1:12" s="897" customFormat="1">
      <c r="A127" s="1892"/>
      <c r="D127" s="1893"/>
      <c r="K127" s="737"/>
      <c r="L127" s="737"/>
    </row>
    <row r="128" spans="1:12" s="897" customFormat="1">
      <c r="A128" s="1892"/>
      <c r="D128" s="1893"/>
      <c r="K128" s="737"/>
      <c r="L128" s="737"/>
    </row>
    <row r="129" spans="1:12" s="897" customFormat="1">
      <c r="A129" s="1892"/>
      <c r="D129" s="1893"/>
      <c r="K129" s="737"/>
      <c r="L129" s="737"/>
    </row>
    <row r="130" spans="1:12" s="897" customFormat="1">
      <c r="A130" s="1892"/>
      <c r="D130" s="1893"/>
      <c r="K130" s="737"/>
      <c r="L130" s="737"/>
    </row>
    <row r="131" spans="1:12" s="897" customFormat="1">
      <c r="A131" s="1892"/>
      <c r="D131" s="1893"/>
      <c r="K131" s="737"/>
      <c r="L131" s="737"/>
    </row>
    <row r="132" spans="1:12" s="897" customFormat="1">
      <c r="A132" s="1892"/>
      <c r="D132" s="1893"/>
      <c r="K132" s="737"/>
      <c r="L132" s="737"/>
    </row>
    <row r="133" spans="1:12" s="897" customFormat="1">
      <c r="A133" s="1892"/>
      <c r="D133" s="1893"/>
      <c r="K133" s="737"/>
      <c r="L133" s="737"/>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416" t="str">
        <f>项目基本情况!B1</f>
        <v>北京市预评估</v>
      </c>
      <c r="C37" s="3416"/>
      <c r="D37" s="3416"/>
      <c r="E37" s="3416"/>
      <c r="F37" s="3416"/>
      <c r="G37" s="3416"/>
      <c r="H37" s="3416"/>
      <c r="I37" s="3416"/>
    </row>
    <row r="38" spans="1:9">
      <c r="A38" s="949"/>
      <c r="B38" s="949"/>
    </row>
    <row r="39" spans="1:9">
      <c r="A39" s="947" t="s">
        <v>818</v>
      </c>
      <c r="B39" s="947" t="s">
        <v>820</v>
      </c>
    </row>
    <row r="40" spans="1:9">
      <c r="A40" s="947"/>
      <c r="B40" s="1625">
        <f>项目基本情况!B5</f>
        <v>0</v>
      </c>
    </row>
    <row r="41" spans="1:9">
      <c r="A41" s="947"/>
      <c r="B41" s="947"/>
    </row>
    <row r="42" spans="1:9">
      <c r="A42" s="947" t="s">
        <v>818</v>
      </c>
      <c r="B42" s="947" t="s">
        <v>821</v>
      </c>
    </row>
    <row r="43" spans="1:9">
      <c r="A43" s="947"/>
      <c r="B43" s="1625" t="s">
        <v>822</v>
      </c>
    </row>
    <row r="44" spans="1:9">
      <c r="A44" s="947"/>
      <c r="B44" s="947"/>
    </row>
    <row r="45" spans="1:9">
      <c r="A45" s="947" t="s">
        <v>818</v>
      </c>
      <c r="B45" s="947" t="s">
        <v>823</v>
      </c>
    </row>
    <row r="46" spans="1:9" s="947" customFormat="1" ht="12.75">
      <c r="B46" s="1625" t="str">
        <f>项目基本情况!K4</f>
        <v>（注册号：0)、（注册号：0)</v>
      </c>
    </row>
    <row r="47" spans="1:9">
      <c r="A47" s="947"/>
      <c r="B47" s="947" t="str">
        <f>项目基本情况!K5</f>
        <v>（注册号：0)、（注册号：0)</v>
      </c>
    </row>
    <row r="48" spans="1:9">
      <c r="A48" s="947" t="s">
        <v>818</v>
      </c>
      <c r="B48" s="947"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837" customWidth="1"/>
    <col min="2" max="2" width="24.5" style="1723" customWidth="1"/>
    <col min="3" max="3" width="24.5" style="2698" customWidth="1"/>
    <col min="4" max="4" width="2.625" style="2698" customWidth="1"/>
    <col min="5" max="5" width="5.875" style="2698" customWidth="1"/>
    <col min="6" max="6" width="27" style="1723" customWidth="1"/>
    <col min="7" max="7" width="27" style="2699"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903"/>
    <col min="30" max="16384" width="9" style="1837"/>
  </cols>
  <sheetData>
    <row r="1" spans="1:29" s="2646" customFormat="1" ht="18.75" thickBot="1">
      <c r="A1" s="3605" t="s">
        <v>2969</v>
      </c>
      <c r="B1" s="3606"/>
      <c r="C1" s="3606"/>
      <c r="D1" s="3606"/>
      <c r="E1" s="3606"/>
      <c r="F1" s="3606"/>
      <c r="G1" s="3606"/>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2965</v>
      </c>
      <c r="D2" s="2650"/>
      <c r="E2" s="2647"/>
      <c r="F2" s="2651"/>
      <c r="G2" s="2649" t="s">
        <v>2966</v>
      </c>
      <c r="H2" s="903"/>
      <c r="I2" s="903"/>
      <c r="J2" s="903"/>
      <c r="K2" s="903"/>
      <c r="L2" s="903"/>
      <c r="M2" s="903"/>
      <c r="N2" s="903"/>
      <c r="O2" s="903"/>
      <c r="P2" s="903"/>
      <c r="Q2" s="903"/>
      <c r="R2" s="903"/>
    </row>
    <row r="3" spans="1:29" ht="72">
      <c r="A3" s="2630" t="s">
        <v>2967</v>
      </c>
      <c r="B3" s="2652" t="s">
        <v>2937</v>
      </c>
      <c r="C3" s="3373" t="s">
        <v>3457</v>
      </c>
      <c r="D3" s="2653"/>
      <c r="E3" s="2631" t="s">
        <v>2967</v>
      </c>
      <c r="F3" s="2654" t="s">
        <v>2938</v>
      </c>
      <c r="G3" s="2655" t="s">
        <v>2968</v>
      </c>
      <c r="H3" s="903"/>
      <c r="I3" s="903"/>
      <c r="J3" s="903"/>
      <c r="K3" s="903"/>
      <c r="L3" s="903"/>
      <c r="M3" s="903"/>
      <c r="N3" s="903"/>
      <c r="O3" s="903"/>
      <c r="P3" s="903"/>
      <c r="Q3" s="903"/>
      <c r="R3" s="903"/>
    </row>
    <row r="4" spans="1:29" ht="36.75">
      <c r="A4" s="2631"/>
      <c r="B4" s="329" t="s">
        <v>2939</v>
      </c>
      <c r="C4" s="2656" t="s">
        <v>2940</v>
      </c>
      <c r="D4" s="2653"/>
      <c r="E4" s="2657"/>
      <c r="F4" s="1523" t="s">
        <v>2941</v>
      </c>
      <c r="G4" s="2658" t="s">
        <v>2942</v>
      </c>
      <c r="H4" s="903"/>
      <c r="I4" s="903"/>
      <c r="J4" s="903"/>
      <c r="K4" s="903"/>
      <c r="L4" s="903"/>
      <c r="M4" s="903"/>
      <c r="N4" s="903"/>
      <c r="O4" s="903"/>
      <c r="P4" s="903"/>
      <c r="Q4" s="903"/>
      <c r="R4" s="903"/>
    </row>
    <row r="5" spans="1:29" ht="36.75">
      <c r="A5" s="2631"/>
      <c r="B5" s="329" t="s">
        <v>2943</v>
      </c>
      <c r="C5" s="2656" t="s">
        <v>2944</v>
      </c>
      <c r="D5" s="2653"/>
      <c r="E5" s="2657"/>
      <c r="F5" s="329" t="s">
        <v>2945</v>
      </c>
      <c r="G5" s="2658" t="s">
        <v>2946</v>
      </c>
      <c r="H5" s="903"/>
      <c r="I5" s="903"/>
      <c r="J5" s="903"/>
      <c r="K5" s="903"/>
      <c r="L5" s="903"/>
      <c r="M5" s="903"/>
      <c r="N5" s="903"/>
      <c r="O5" s="903"/>
      <c r="P5" s="903"/>
      <c r="Q5" s="903"/>
      <c r="R5" s="903"/>
    </row>
    <row r="6" spans="1:29" ht="106.5">
      <c r="A6" s="2631"/>
      <c r="B6" s="329" t="s">
        <v>2947</v>
      </c>
      <c r="C6" s="3374" t="s">
        <v>3458</v>
      </c>
      <c r="D6" s="2653"/>
      <c r="E6" s="2657"/>
      <c r="F6" s="329" t="s">
        <v>2948</v>
      </c>
      <c r="G6" s="2658" t="s">
        <v>2949</v>
      </c>
      <c r="H6" s="903"/>
      <c r="I6" s="903"/>
      <c r="J6" s="903"/>
      <c r="K6" s="903"/>
      <c r="L6" s="903"/>
      <c r="M6" s="903"/>
      <c r="N6" s="903"/>
      <c r="O6" s="903"/>
      <c r="P6" s="903"/>
      <c r="Q6" s="903"/>
      <c r="R6" s="903"/>
    </row>
    <row r="7" spans="1:29" ht="144.75" thickBot="1">
      <c r="A7" s="2631"/>
      <c r="B7" s="329" t="s">
        <v>2945</v>
      </c>
      <c r="C7" s="3376" t="s">
        <v>3461</v>
      </c>
      <c r="D7" s="2659"/>
      <c r="E7" s="2660"/>
      <c r="F7" s="2661" t="s">
        <v>2950</v>
      </c>
      <c r="G7" s="2662" t="s">
        <v>2951</v>
      </c>
      <c r="H7" s="903"/>
      <c r="I7" s="903"/>
      <c r="J7" s="903"/>
      <c r="K7" s="903"/>
      <c r="L7" s="903"/>
      <c r="M7" s="903"/>
      <c r="N7" s="903"/>
      <c r="O7" s="903"/>
      <c r="P7" s="903"/>
      <c r="Q7" s="903"/>
      <c r="R7" s="903"/>
    </row>
    <row r="8" spans="1:29">
      <c r="A8" s="2631"/>
      <c r="B8" s="329" t="s">
        <v>2948</v>
      </c>
      <c r="C8" s="2658" t="s">
        <v>2949</v>
      </c>
      <c r="D8" s="2659"/>
      <c r="E8" s="2659"/>
      <c r="F8" s="2663"/>
      <c r="G8" s="2663"/>
      <c r="H8" s="903"/>
      <c r="I8" s="903"/>
      <c r="J8" s="903"/>
      <c r="K8" s="903"/>
      <c r="L8" s="903"/>
      <c r="M8" s="903"/>
      <c r="N8" s="903"/>
      <c r="O8" s="903"/>
      <c r="P8" s="903"/>
      <c r="Q8" s="903"/>
      <c r="R8" s="903"/>
    </row>
    <row r="9" spans="1:29" ht="64.5">
      <c r="A9" s="2631"/>
      <c r="B9" s="329" t="s">
        <v>2952</v>
      </c>
      <c r="C9" s="3375" t="s">
        <v>3459</v>
      </c>
      <c r="D9" s="2653"/>
      <c r="E9" s="2659"/>
      <c r="F9" s="2663"/>
      <c r="G9" s="2663"/>
      <c r="H9" s="903"/>
      <c r="I9" s="903"/>
      <c r="J9" s="903"/>
      <c r="K9" s="903"/>
      <c r="L9" s="903"/>
      <c r="M9" s="903"/>
      <c r="N9" s="903"/>
      <c r="O9" s="903"/>
      <c r="P9" s="903"/>
      <c r="Q9" s="903"/>
      <c r="R9" s="903"/>
    </row>
    <row r="10" spans="1:29" s="2669" customFormat="1" ht="15" thickBot="1">
      <c r="A10" s="2632"/>
      <c r="B10" s="2664" t="s">
        <v>2953</v>
      </c>
      <c r="C10" s="2665"/>
      <c r="D10" s="2653"/>
      <c r="E10" s="2653"/>
      <c r="F10" s="2663"/>
      <c r="G10" s="2663"/>
      <c r="H10" s="2666"/>
      <c r="I10" s="2667"/>
      <c r="J10" s="2668"/>
      <c r="K10" s="2666"/>
      <c r="L10" s="2667"/>
      <c r="M10" s="2668"/>
      <c r="N10" s="2666"/>
      <c r="O10" s="2667"/>
      <c r="P10" s="2668"/>
      <c r="Q10" s="2666"/>
      <c r="R10" s="2667"/>
      <c r="S10" s="903"/>
      <c r="T10" s="903"/>
      <c r="U10" s="903"/>
      <c r="V10" s="903"/>
      <c r="W10" s="903"/>
      <c r="X10" s="903"/>
      <c r="Y10" s="903"/>
      <c r="Z10" s="903"/>
      <c r="AA10" s="903"/>
      <c r="AB10" s="903"/>
      <c r="AC10" s="903"/>
    </row>
    <row r="11" spans="1:29" s="2669" customFormat="1">
      <c r="A11" s="2670"/>
      <c r="B11" s="2659"/>
      <c r="C11" s="2653"/>
      <c r="D11" s="2653"/>
      <c r="E11" s="2653"/>
      <c r="F11" s="2659"/>
      <c r="G11" s="2671"/>
      <c r="H11" s="2666"/>
      <c r="I11" s="2667"/>
      <c r="J11" s="2668"/>
      <c r="K11" s="2666"/>
      <c r="L11" s="2667"/>
      <c r="M11" s="2668"/>
      <c r="N11" s="2666"/>
      <c r="O11" s="2667"/>
      <c r="P11" s="2668"/>
      <c r="Q11" s="2666"/>
      <c r="R11" s="2667"/>
      <c r="S11" s="903"/>
      <c r="T11" s="903"/>
      <c r="U11" s="903"/>
      <c r="V11" s="903"/>
      <c r="W11" s="903"/>
      <c r="X11" s="903"/>
      <c r="Y11" s="903"/>
      <c r="Z11" s="903"/>
      <c r="AA11" s="903"/>
      <c r="AB11" s="903"/>
      <c r="AC11" s="903"/>
    </row>
    <row r="12" spans="1:29" s="2646" customFormat="1" ht="18">
      <c r="A12" s="2670"/>
      <c r="B12" s="2659"/>
      <c r="C12" s="2653"/>
      <c r="D12" s="2672"/>
      <c r="E12" s="2653"/>
      <c r="F12" s="2659"/>
      <c r="G12" s="2671"/>
      <c r="H12" s="2673"/>
      <c r="I12" s="2674"/>
      <c r="J12" s="2673"/>
      <c r="K12" s="2673"/>
      <c r="L12" s="2675"/>
      <c r="M12" s="2673"/>
      <c r="N12" s="2676"/>
      <c r="O12" s="2677"/>
      <c r="P12" s="2676"/>
      <c r="Q12" s="2676"/>
      <c r="R12" s="2644"/>
      <c r="S12" s="2645"/>
      <c r="T12" s="2645"/>
      <c r="U12" s="2645"/>
      <c r="V12" s="2645"/>
      <c r="W12" s="2645"/>
      <c r="X12" s="2645"/>
      <c r="Y12" s="2645"/>
      <c r="Z12" s="2645"/>
      <c r="AA12" s="2645"/>
      <c r="AB12" s="2645"/>
      <c r="AC12" s="2645"/>
    </row>
    <row r="13" spans="1:29" ht="15.75" thickBot="1">
      <c r="A13" s="2678" t="s">
        <v>2970</v>
      </c>
      <c r="B13" s="2672"/>
      <c r="C13" s="2672"/>
      <c r="D13" s="2670"/>
      <c r="E13" s="2672"/>
      <c r="F13" s="2672"/>
      <c r="G13" s="2672"/>
    </row>
    <row r="14" spans="1:29" ht="15" thickBot="1">
      <c r="A14" s="2682"/>
      <c r="B14" s="2682"/>
      <c r="C14" s="2683" t="s">
        <v>2954</v>
      </c>
      <c r="D14" s="2653"/>
      <c r="E14" s="2684"/>
      <c r="F14" s="2684"/>
      <c r="G14" s="2649" t="s">
        <v>2955</v>
      </c>
    </row>
    <row r="15" spans="1:29" ht="76.5">
      <c r="A15" s="2633" t="s">
        <v>2956</v>
      </c>
      <c r="B15" s="2685" t="s">
        <v>2937</v>
      </c>
      <c r="C15" s="2686" t="str">
        <f>C3</f>
        <v>周边2公里内有南平里、南平东里、南竺园、天竺家园、蓝海苑、蓝天苑、燕翔西里等居住项目项目，房屋出租使用率较高，居住环境、小区规模较适宜，居住社区成熟度较好。</v>
      </c>
      <c r="D15" s="2653"/>
      <c r="E15" s="2634" t="s">
        <v>2957</v>
      </c>
      <c r="F15" s="2685" t="s">
        <v>2958</v>
      </c>
      <c r="G15" s="2687" t="str">
        <f>G3</f>
        <v>估价对象位于XX开发区，园区建设成熟度XX，产业集聚程度XX</v>
      </c>
    </row>
    <row r="16" spans="1:29" ht="38.25">
      <c r="A16" s="2635"/>
      <c r="B16" s="2688" t="s">
        <v>2939</v>
      </c>
      <c r="C16" s="2689" t="str">
        <f>C4</f>
        <v>估价对象位于XX商圈，周边商业氛围成熟，人流量大，商业繁华度好</v>
      </c>
      <c r="D16" s="2653"/>
      <c r="E16" s="2636"/>
      <c r="F16" s="2690" t="s">
        <v>2941</v>
      </c>
      <c r="G16" s="2691" t="str">
        <f>G4</f>
        <v>估价对象周边道路状况、公共交通通达情况、停车便捷程度，综合评价交通便捷度较好</v>
      </c>
    </row>
    <row r="17" spans="1:18" ht="38.25">
      <c r="A17" s="2635"/>
      <c r="B17" s="2688" t="s">
        <v>2943</v>
      </c>
      <c r="C17" s="2689" t="str">
        <f>C5</f>
        <v>估价对象位于XX商圈，周边办公楼项目较多，入驻率高，办公集聚程度较好</v>
      </c>
      <c r="D17" s="2659"/>
      <c r="E17" s="2636"/>
      <c r="F17" s="2690" t="s">
        <v>2959</v>
      </c>
      <c r="G17" s="2692"/>
    </row>
    <row r="18" spans="1:18" ht="89.25">
      <c r="A18" s="2635"/>
      <c r="B18" s="2690" t="s">
        <v>2947</v>
      </c>
      <c r="C18" s="2691" t="str">
        <f>C6</f>
        <v>估价对象紧邻城市支路，周边有空港1路、空港10路、顺22路、顺42路、640路、850路、955路等多条公交线路，距离地铁机场线直线3号航站楼距离约1.6公里，距离北京首都国际机场约1.5公里，交通便捷度一般。</v>
      </c>
      <c r="D18" s="2659"/>
      <c r="E18" s="2636"/>
      <c r="F18" s="2690" t="s">
        <v>2950</v>
      </c>
      <c r="G18" s="2691" t="str">
        <f>G7</f>
        <v>该园区内是否有污染型企业，绿化情况，卫生条件，整体环境状况判断</v>
      </c>
    </row>
    <row r="19" spans="1:18" ht="25.5">
      <c r="A19" s="2635"/>
      <c r="B19" s="2690" t="s">
        <v>2960</v>
      </c>
      <c r="C19" s="2692"/>
      <c r="D19" s="2653"/>
      <c r="E19" s="2636"/>
      <c r="F19" s="329" t="s">
        <v>2945</v>
      </c>
      <c r="G19" s="2691" t="str">
        <f>G5</f>
        <v>估价对象所在区域公共配套设施齐备情况</v>
      </c>
    </row>
    <row r="20" spans="1:18" ht="63.75">
      <c r="A20" s="2635"/>
      <c r="B20" s="2690" t="s">
        <v>2961</v>
      </c>
      <c r="C20" s="2689" t="str">
        <f>C9</f>
        <v>自然环境有西湖园、社区文化公园等自然景观；人文环境无；距离北京首都国际机场1.5公里，机场噪音大，综合评价环境状况较差。</v>
      </c>
      <c r="D20" s="2659"/>
      <c r="E20" s="2636"/>
      <c r="F20" s="329" t="s">
        <v>2948</v>
      </c>
      <c r="G20" s="2691" t="str">
        <f>G6</f>
        <v>估价对象所在区域基础设施水平</v>
      </c>
    </row>
    <row r="21" spans="1:18" ht="153">
      <c r="A21" s="2635"/>
      <c r="B21" s="329" t="s">
        <v>2945</v>
      </c>
      <c r="C21" s="2691" t="str">
        <f>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1" s="2653"/>
      <c r="E21" s="2636"/>
      <c r="F21" s="2690" t="s">
        <v>2962</v>
      </c>
      <c r="G21" s="2693"/>
    </row>
    <row r="22" spans="1:18" ht="13.5" customHeight="1">
      <c r="A22" s="2635"/>
      <c r="B22" s="329" t="s">
        <v>2948</v>
      </c>
      <c r="C22" s="2691" t="str">
        <f>C8</f>
        <v>估价对象所在区域基础设施水平</v>
      </c>
      <c r="D22" s="2653"/>
      <c r="E22" s="2636"/>
      <c r="F22" s="2690" t="s">
        <v>2953</v>
      </c>
      <c r="G22" s="2692"/>
    </row>
    <row r="23" spans="1:18" s="903" customFormat="1" ht="15" thickBot="1">
      <c r="A23" s="2635"/>
      <c r="B23" s="2690" t="s">
        <v>2962</v>
      </c>
      <c r="C23" s="2693"/>
      <c r="D23" s="1892"/>
      <c r="E23" s="2637"/>
      <c r="F23" s="2694" t="s">
        <v>2963</v>
      </c>
      <c r="G23" s="2695"/>
      <c r="H23" s="2679"/>
      <c r="I23" s="2680"/>
      <c r="J23" s="2679"/>
      <c r="K23" s="2679"/>
      <c r="L23" s="2680"/>
      <c r="M23" s="2679"/>
      <c r="N23" s="2679"/>
      <c r="O23" s="2680"/>
      <c r="P23" s="2679"/>
      <c r="Q23" s="2679"/>
      <c r="R23" s="2681"/>
    </row>
    <row r="24" spans="1:18" s="903" customFormat="1" ht="15" thickBot="1">
      <c r="A24" s="2638"/>
      <c r="B24" s="2694" t="s">
        <v>2964</v>
      </c>
      <c r="C24" s="2696">
        <f>C10</f>
        <v>0</v>
      </c>
      <c r="D24" s="1892"/>
      <c r="E24" s="2628"/>
      <c r="F24" s="2628"/>
      <c r="G24" s="2697"/>
      <c r="H24" s="2679"/>
      <c r="I24" s="2680"/>
      <c r="J24" s="2679"/>
      <c r="K24" s="2679"/>
      <c r="L24" s="2680"/>
      <c r="M24" s="2679"/>
      <c r="N24" s="2679"/>
      <c r="O24" s="2680"/>
      <c r="P24" s="2679"/>
      <c r="Q24" s="2679"/>
      <c r="R24" s="2681"/>
    </row>
    <row r="25" spans="1:18" s="903" customFormat="1">
      <c r="B25" s="2679"/>
      <c r="C25" s="2679"/>
      <c r="D25" s="2679"/>
      <c r="H25" s="2679"/>
      <c r="I25" s="2680"/>
      <c r="J25" s="2679"/>
      <c r="K25" s="2679"/>
      <c r="L25" s="2680"/>
      <c r="M25" s="2679"/>
      <c r="N25" s="2679"/>
      <c r="O25" s="2680"/>
      <c r="P25" s="2679"/>
      <c r="Q25" s="2679"/>
      <c r="R25" s="2681"/>
    </row>
    <row r="26" spans="1:18" s="903" customFormat="1">
      <c r="B26" s="2679"/>
      <c r="C26" s="2679"/>
      <c r="D26" s="2679"/>
      <c r="H26" s="2679"/>
      <c r="I26" s="2680"/>
      <c r="J26" s="2679"/>
      <c r="K26" s="2679"/>
      <c r="L26" s="2680"/>
      <c r="M26" s="2679"/>
      <c r="N26" s="2679"/>
      <c r="O26" s="2680"/>
      <c r="P26" s="2679"/>
      <c r="Q26" s="2679"/>
      <c r="R26" s="2681"/>
    </row>
    <row r="27" spans="1:18" s="903" customFormat="1">
      <c r="B27" s="2679"/>
      <c r="C27" s="2679"/>
      <c r="D27" s="2679"/>
      <c r="H27" s="2679"/>
      <c r="I27" s="2680"/>
      <c r="J27" s="2679"/>
      <c r="K27" s="2679"/>
      <c r="L27" s="2680"/>
      <c r="M27" s="2679"/>
      <c r="N27" s="2679"/>
      <c r="O27" s="2680"/>
      <c r="P27" s="2679"/>
      <c r="Q27" s="2679"/>
      <c r="R27" s="2681"/>
    </row>
    <row r="28" spans="1:18" s="903" customFormat="1">
      <c r="B28" s="2679"/>
      <c r="C28" s="2679"/>
      <c r="D28" s="2679"/>
      <c r="H28" s="2679"/>
      <c r="I28" s="2680"/>
      <c r="J28" s="2679"/>
      <c r="K28" s="2679"/>
      <c r="L28" s="2680"/>
      <c r="M28" s="2679"/>
      <c r="N28" s="2679"/>
      <c r="O28" s="2680"/>
      <c r="P28" s="2679"/>
      <c r="Q28" s="2679"/>
      <c r="R28" s="2681"/>
    </row>
    <row r="29" spans="1:18" s="903" customFormat="1">
      <c r="B29" s="2679"/>
      <c r="C29" s="2679"/>
      <c r="D29" s="2679"/>
      <c r="H29" s="2679"/>
      <c r="I29" s="2680"/>
      <c r="J29" s="2679"/>
      <c r="K29" s="2679"/>
      <c r="L29" s="2680"/>
      <c r="M29" s="2679"/>
      <c r="N29" s="2679"/>
      <c r="O29" s="2680"/>
      <c r="P29" s="2679"/>
      <c r="Q29" s="2679"/>
      <c r="R29" s="2681"/>
    </row>
    <row r="30" spans="1:18" s="903" customFormat="1">
      <c r="B30" s="2679"/>
      <c r="C30" s="2679"/>
      <c r="D30" s="2679"/>
      <c r="H30" s="2679"/>
      <c r="I30" s="2680"/>
      <c r="J30" s="2679"/>
      <c r="K30" s="2679"/>
      <c r="L30" s="2680"/>
      <c r="M30" s="2679"/>
      <c r="N30" s="2679"/>
      <c r="O30" s="2680"/>
      <c r="P30" s="2679"/>
      <c r="Q30" s="2679"/>
      <c r="R30" s="2681"/>
    </row>
    <row r="31" spans="1:18" s="903" customFormat="1">
      <c r="B31" s="2679"/>
      <c r="C31" s="2679"/>
      <c r="D31" s="2679"/>
      <c r="H31" s="2679"/>
      <c r="I31" s="2680"/>
      <c r="J31" s="2679"/>
      <c r="K31" s="2679"/>
      <c r="L31" s="2680"/>
      <c r="M31" s="2679"/>
      <c r="N31" s="2679"/>
      <c r="O31" s="2680"/>
      <c r="P31" s="2679"/>
      <c r="Q31" s="2679"/>
      <c r="R31" s="2681"/>
    </row>
    <row r="32" spans="1:18" s="903" customFormat="1">
      <c r="B32" s="2679"/>
      <c r="C32" s="2679"/>
      <c r="D32" s="2679"/>
      <c r="H32" s="2679"/>
      <c r="I32" s="2680"/>
      <c r="J32" s="2679"/>
      <c r="K32" s="2679"/>
      <c r="L32" s="2680"/>
      <c r="M32" s="2679"/>
      <c r="N32" s="2679"/>
      <c r="O32" s="2680"/>
      <c r="P32" s="2679"/>
      <c r="Q32" s="2679"/>
      <c r="R32" s="2681"/>
    </row>
    <row r="33" spans="2:18" s="903" customFormat="1">
      <c r="B33" s="2679"/>
      <c r="C33" s="2679"/>
      <c r="D33" s="2679"/>
      <c r="H33" s="2679"/>
      <c r="I33" s="2680"/>
      <c r="J33" s="2679"/>
      <c r="K33" s="2679"/>
      <c r="L33" s="2680"/>
      <c r="M33" s="2679"/>
      <c r="N33" s="2679"/>
      <c r="O33" s="2680"/>
      <c r="P33" s="2679"/>
      <c r="Q33" s="2679"/>
      <c r="R33" s="2681"/>
    </row>
    <row r="34" spans="2:18" s="903" customFormat="1">
      <c r="B34" s="2679"/>
      <c r="C34" s="2679"/>
      <c r="D34" s="2679"/>
      <c r="H34" s="2679"/>
      <c r="I34" s="2680"/>
      <c r="J34" s="2679"/>
      <c r="K34" s="2679"/>
      <c r="L34" s="2680"/>
      <c r="M34" s="2679"/>
      <c r="N34" s="2679"/>
      <c r="O34" s="2680"/>
      <c r="P34" s="2679"/>
      <c r="Q34" s="2679"/>
      <c r="R34" s="2681"/>
    </row>
    <row r="35" spans="2:18" s="903" customFormat="1">
      <c r="B35" s="2679"/>
      <c r="C35" s="2679"/>
      <c r="D35" s="2679"/>
      <c r="H35" s="2679"/>
      <c r="I35" s="2680"/>
      <c r="J35" s="2679"/>
      <c r="K35" s="2679"/>
      <c r="L35" s="2680"/>
      <c r="M35" s="2679"/>
      <c r="N35" s="2679"/>
      <c r="O35" s="2680"/>
      <c r="P35" s="2679"/>
      <c r="Q35" s="2679"/>
      <c r="R35" s="2681"/>
    </row>
    <row r="36" spans="2:18" s="903" customFormat="1">
      <c r="B36" s="2679"/>
      <c r="C36" s="2679"/>
      <c r="D36" s="2679"/>
      <c r="H36" s="2679"/>
      <c r="I36" s="2680"/>
      <c r="J36" s="2679"/>
      <c r="K36" s="2679"/>
      <c r="L36" s="2680"/>
      <c r="M36" s="2679"/>
      <c r="N36" s="2679"/>
      <c r="O36" s="2680"/>
      <c r="P36" s="2679"/>
      <c r="Q36" s="2679"/>
      <c r="R36" s="2681"/>
    </row>
    <row r="37" spans="2:18" s="903" customFormat="1">
      <c r="B37" s="2679"/>
      <c r="C37" s="2679"/>
      <c r="D37" s="2679"/>
      <c r="H37" s="2679"/>
      <c r="I37" s="2680"/>
      <c r="J37" s="2679"/>
      <c r="K37" s="2679"/>
      <c r="L37" s="2680"/>
      <c r="M37" s="2679"/>
      <c r="N37" s="2679"/>
      <c r="O37" s="2680"/>
      <c r="P37" s="2679"/>
      <c r="Q37" s="2679"/>
      <c r="R37" s="2681"/>
    </row>
    <row r="38" spans="2:18" s="903" customFormat="1">
      <c r="B38" s="2679"/>
      <c r="C38" s="2679"/>
      <c r="D38" s="2679"/>
      <c r="E38" s="2679"/>
      <c r="F38" s="2679"/>
      <c r="G38" s="2680"/>
      <c r="H38" s="2679"/>
      <c r="I38" s="2680"/>
      <c r="J38" s="2679"/>
      <c r="K38" s="2679"/>
      <c r="L38" s="2680"/>
      <c r="M38" s="2679"/>
      <c r="N38" s="2679"/>
      <c r="O38" s="2680"/>
      <c r="P38" s="2679"/>
      <c r="Q38" s="2679"/>
      <c r="R38" s="2681"/>
    </row>
    <row r="39" spans="2:18" s="903" customFormat="1">
      <c r="B39" s="2679"/>
      <c r="C39" s="2679"/>
      <c r="D39" s="2679"/>
      <c r="E39" s="2679"/>
      <c r="F39" s="2679"/>
      <c r="G39" s="2680"/>
      <c r="H39" s="2679"/>
      <c r="I39" s="2680"/>
      <c r="J39" s="2679"/>
      <c r="K39" s="2679"/>
      <c r="L39" s="2680"/>
      <c r="M39" s="2679"/>
      <c r="N39" s="2679"/>
      <c r="O39" s="2680"/>
      <c r="P39" s="2679"/>
      <c r="Q39" s="2679"/>
      <c r="R39" s="2681"/>
    </row>
    <row r="40" spans="2:18" s="903" customFormat="1">
      <c r="B40" s="2679"/>
      <c r="C40" s="2679"/>
      <c r="D40" s="2679"/>
      <c r="E40" s="2679"/>
      <c r="F40" s="2679"/>
      <c r="G40" s="2680"/>
      <c r="H40" s="2679"/>
      <c r="I40" s="2680"/>
      <c r="J40" s="2679"/>
      <c r="K40" s="2679"/>
      <c r="L40" s="2680"/>
      <c r="M40" s="2679"/>
      <c r="N40" s="2679"/>
      <c r="O40" s="2680"/>
      <c r="P40" s="2679"/>
      <c r="Q40" s="2679"/>
      <c r="R40" s="2681"/>
    </row>
    <row r="41" spans="2:18" s="903" customFormat="1">
      <c r="B41" s="2679"/>
      <c r="C41" s="2679"/>
      <c r="D41" s="2679"/>
      <c r="E41" s="2679"/>
      <c r="F41" s="2679"/>
      <c r="G41" s="2680"/>
      <c r="H41" s="2679"/>
      <c r="I41" s="2680"/>
      <c r="J41" s="2679"/>
      <c r="K41" s="2679"/>
      <c r="L41" s="2680"/>
      <c r="M41" s="2679"/>
      <c r="N41" s="2679"/>
      <c r="O41" s="2680"/>
      <c r="P41" s="2679"/>
      <c r="Q41" s="2679"/>
      <c r="R41" s="2681"/>
    </row>
    <row r="42" spans="2:18" s="903" customFormat="1">
      <c r="B42" s="2679"/>
      <c r="C42" s="2679"/>
      <c r="D42" s="2679"/>
      <c r="E42" s="2679"/>
      <c r="F42" s="2679"/>
      <c r="G42" s="2680"/>
      <c r="H42" s="2679"/>
      <c r="I42" s="2680"/>
      <c r="J42" s="2679"/>
      <c r="K42" s="2679"/>
      <c r="L42" s="2680"/>
      <c r="M42" s="2679"/>
      <c r="N42" s="2679"/>
      <c r="O42" s="2680"/>
      <c r="P42" s="2679"/>
      <c r="Q42" s="2679"/>
      <c r="R42" s="2681"/>
    </row>
    <row r="43" spans="2:18" s="903" customFormat="1">
      <c r="B43" s="2679"/>
      <c r="C43" s="2679"/>
      <c r="D43" s="2679"/>
      <c r="E43" s="2679"/>
      <c r="F43" s="2679"/>
      <c r="G43" s="2680"/>
      <c r="H43" s="2679"/>
      <c r="I43" s="2680"/>
      <c r="J43" s="2679"/>
      <c r="K43" s="2679"/>
      <c r="L43" s="2680"/>
      <c r="M43" s="2679"/>
      <c r="N43" s="2679"/>
      <c r="O43" s="2680"/>
      <c r="P43" s="2679"/>
      <c r="Q43" s="2679"/>
      <c r="R43" s="2681"/>
    </row>
    <row r="44" spans="2:18" s="903" customFormat="1">
      <c r="B44" s="2679"/>
      <c r="C44" s="2679"/>
      <c r="D44" s="2679"/>
      <c r="E44" s="2679"/>
      <c r="F44" s="2679"/>
      <c r="G44" s="2680"/>
      <c r="H44" s="2679"/>
      <c r="I44" s="2680"/>
      <c r="J44" s="2679"/>
      <c r="K44" s="2679"/>
      <c r="L44" s="2680"/>
      <c r="M44" s="2679"/>
      <c r="N44" s="2679"/>
      <c r="O44" s="2680"/>
      <c r="P44" s="2679"/>
      <c r="Q44" s="2679"/>
      <c r="R44" s="2681"/>
    </row>
    <row r="45" spans="2:18" s="903" customFormat="1">
      <c r="B45" s="2679"/>
      <c r="C45" s="2679"/>
      <c r="D45" s="2679"/>
      <c r="E45" s="2679"/>
      <c r="F45" s="2679"/>
      <c r="G45" s="2680"/>
      <c r="H45" s="2679"/>
      <c r="I45" s="2680"/>
      <c r="J45" s="2679"/>
      <c r="K45" s="2679"/>
      <c r="L45" s="2680"/>
      <c r="M45" s="2679"/>
      <c r="N45" s="2679"/>
      <c r="O45" s="2680"/>
      <c r="P45" s="2679"/>
      <c r="Q45" s="2679"/>
      <c r="R45" s="2681"/>
    </row>
    <row r="46" spans="2:18" s="903" customFormat="1">
      <c r="B46" s="2679"/>
      <c r="C46" s="2679"/>
      <c r="D46" s="2679"/>
      <c r="E46" s="2679"/>
      <c r="F46" s="2679"/>
      <c r="G46" s="2680"/>
      <c r="H46" s="2679"/>
      <c r="I46" s="2680"/>
      <c r="J46" s="2679"/>
      <c r="K46" s="2679"/>
      <c r="L46" s="2680"/>
      <c r="M46" s="2679"/>
      <c r="N46" s="2679"/>
      <c r="O46" s="2680"/>
      <c r="P46" s="2679"/>
      <c r="Q46" s="2679"/>
      <c r="R46" s="2681"/>
    </row>
    <row r="47" spans="2:18" s="903" customFormat="1">
      <c r="B47" s="2679"/>
      <c r="C47" s="2679"/>
      <c r="D47" s="2679"/>
      <c r="E47" s="2679"/>
      <c r="F47" s="2679"/>
      <c r="G47" s="2680"/>
      <c r="H47" s="2679"/>
      <c r="I47" s="2680"/>
      <c r="J47" s="2679"/>
      <c r="K47" s="2679"/>
      <c r="L47" s="2680"/>
      <c r="M47" s="2679"/>
      <c r="N47" s="2679"/>
      <c r="O47" s="2680"/>
      <c r="P47" s="2679"/>
      <c r="Q47" s="2679"/>
      <c r="R47" s="2681"/>
    </row>
    <row r="48" spans="2:18" s="903" customFormat="1">
      <c r="B48" s="2679"/>
      <c r="C48" s="2679"/>
      <c r="D48" s="2679"/>
      <c r="E48" s="2679"/>
      <c r="F48" s="2679"/>
      <c r="G48" s="2680"/>
      <c r="H48" s="2679"/>
      <c r="I48" s="2680"/>
      <c r="J48" s="2679"/>
      <c r="K48" s="2679"/>
      <c r="L48" s="2680"/>
      <c r="M48" s="2679"/>
      <c r="N48" s="2679"/>
      <c r="O48" s="2680"/>
      <c r="P48" s="2679"/>
      <c r="Q48" s="2679"/>
      <c r="R48" s="2681"/>
    </row>
    <row r="49" spans="2:18" s="903" customFormat="1">
      <c r="B49" s="2679"/>
      <c r="C49" s="2679"/>
      <c r="D49" s="2679"/>
      <c r="E49" s="2679"/>
      <c r="F49" s="2679"/>
      <c r="G49" s="2680"/>
      <c r="H49" s="2679"/>
      <c r="I49" s="2680"/>
      <c r="J49" s="2679"/>
      <c r="K49" s="2679"/>
      <c r="L49" s="2680"/>
      <c r="M49" s="2679"/>
      <c r="N49" s="2679"/>
      <c r="O49" s="2680"/>
      <c r="P49" s="2679"/>
      <c r="Q49" s="2679"/>
      <c r="R49" s="2681"/>
    </row>
    <row r="50" spans="2:18" s="903" customFormat="1">
      <c r="B50" s="2679"/>
      <c r="C50" s="2679"/>
      <c r="D50" s="2679"/>
      <c r="E50" s="2679"/>
      <c r="F50" s="2679"/>
      <c r="G50" s="2680"/>
      <c r="H50" s="2679"/>
      <c r="I50" s="2680"/>
      <c r="J50" s="2679"/>
      <c r="K50" s="2679"/>
      <c r="L50" s="2680"/>
      <c r="M50" s="2679"/>
      <c r="N50" s="2679"/>
      <c r="O50" s="2680"/>
      <c r="P50" s="2679"/>
      <c r="Q50" s="2679"/>
      <c r="R50" s="2681"/>
    </row>
    <row r="51" spans="2:18" s="903" customFormat="1">
      <c r="B51" s="2679"/>
      <c r="C51" s="2679"/>
      <c r="D51" s="2679"/>
      <c r="E51" s="2679"/>
      <c r="F51" s="2679"/>
      <c r="G51" s="2680"/>
      <c r="H51" s="2679"/>
      <c r="I51" s="2680"/>
      <c r="J51" s="2679"/>
      <c r="K51" s="2679"/>
      <c r="L51" s="2680"/>
      <c r="M51" s="2679"/>
      <c r="N51" s="2679"/>
      <c r="O51" s="2680"/>
      <c r="P51" s="2679"/>
      <c r="Q51" s="2679"/>
      <c r="R51" s="2681"/>
    </row>
    <row r="52" spans="2:18" s="903" customFormat="1">
      <c r="B52" s="2679"/>
      <c r="C52" s="2679"/>
      <c r="D52" s="2679"/>
      <c r="E52" s="2679"/>
      <c r="F52" s="2679"/>
      <c r="G52" s="2680"/>
      <c r="H52" s="2679"/>
      <c r="I52" s="2680"/>
      <c r="J52" s="2679"/>
      <c r="K52" s="2679"/>
      <c r="L52" s="2680"/>
      <c r="M52" s="2679"/>
      <c r="N52" s="2679"/>
      <c r="O52" s="2680"/>
      <c r="P52" s="2679"/>
      <c r="Q52" s="2679"/>
      <c r="R52" s="2681"/>
    </row>
    <row r="53" spans="2:18" s="903" customFormat="1">
      <c r="B53" s="2679"/>
      <c r="C53" s="2679"/>
      <c r="D53" s="2679"/>
      <c r="E53" s="2679"/>
      <c r="F53" s="2679"/>
      <c r="G53" s="2680"/>
      <c r="H53" s="2679"/>
      <c r="I53" s="2680"/>
      <c r="J53" s="2679"/>
      <c r="K53" s="2679"/>
      <c r="L53" s="2680"/>
      <c r="M53" s="2679"/>
      <c r="N53" s="2679"/>
      <c r="O53" s="2680"/>
      <c r="P53" s="2679"/>
      <c r="Q53" s="2679"/>
      <c r="R53" s="2681"/>
    </row>
    <row r="54" spans="2:18" s="903" customFormat="1">
      <c r="B54" s="2679"/>
      <c r="C54" s="2679"/>
      <c r="D54" s="2679"/>
      <c r="E54" s="2679"/>
      <c r="F54" s="2679"/>
      <c r="G54" s="2680"/>
      <c r="H54" s="2679"/>
      <c r="I54" s="2680"/>
      <c r="J54" s="2679"/>
      <c r="K54" s="2679"/>
      <c r="L54" s="2680"/>
      <c r="M54" s="2679"/>
      <c r="N54" s="2679"/>
      <c r="O54" s="2680"/>
      <c r="P54" s="2679"/>
      <c r="Q54" s="2679"/>
      <c r="R54" s="2681"/>
    </row>
    <row r="55" spans="2:18" s="903" customFormat="1">
      <c r="B55" s="2679"/>
      <c r="C55" s="2679"/>
      <c r="D55" s="2679"/>
      <c r="E55" s="2679"/>
      <c r="F55" s="2679"/>
      <c r="G55" s="2680"/>
      <c r="H55" s="2679"/>
      <c r="I55" s="2680"/>
      <c r="J55" s="2679"/>
      <c r="K55" s="2679"/>
      <c r="L55" s="2680"/>
      <c r="M55" s="2679"/>
      <c r="N55" s="2679"/>
      <c r="O55" s="2680"/>
      <c r="P55" s="2679"/>
      <c r="Q55" s="2679"/>
      <c r="R55" s="2681"/>
    </row>
    <row r="56" spans="2:18" s="903" customFormat="1">
      <c r="B56" s="2679"/>
      <c r="C56" s="2679"/>
      <c r="D56" s="2679"/>
      <c r="E56" s="2679"/>
      <c r="F56" s="2679"/>
      <c r="G56" s="2680"/>
      <c r="H56" s="2679"/>
      <c r="I56" s="2680"/>
      <c r="J56" s="2679"/>
      <c r="K56" s="2679"/>
      <c r="L56" s="2680"/>
      <c r="M56" s="2679"/>
      <c r="N56" s="2679"/>
      <c r="O56" s="2680"/>
      <c r="P56" s="2679"/>
      <c r="Q56" s="2679"/>
      <c r="R56" s="2681"/>
    </row>
    <row r="57" spans="2:18" s="903" customFormat="1">
      <c r="B57" s="2679"/>
      <c r="C57" s="2679"/>
      <c r="D57" s="2679"/>
      <c r="E57" s="2679"/>
      <c r="F57" s="2679"/>
      <c r="G57" s="2680"/>
      <c r="H57" s="2679"/>
      <c r="I57" s="2680"/>
      <c r="J57" s="2679"/>
      <c r="K57" s="2679"/>
      <c r="L57" s="2680"/>
      <c r="M57" s="2679"/>
      <c r="N57" s="2679"/>
      <c r="O57" s="2680"/>
      <c r="P57" s="2679"/>
      <c r="Q57" s="2679"/>
      <c r="R57" s="2681"/>
    </row>
    <row r="58" spans="2:18" s="903" customFormat="1">
      <c r="B58" s="2679"/>
      <c r="C58" s="2679"/>
      <c r="D58" s="2679"/>
      <c r="E58" s="2679"/>
      <c r="F58" s="2679"/>
      <c r="G58" s="2680"/>
      <c r="H58" s="2679"/>
      <c r="I58" s="2680"/>
      <c r="J58" s="2679"/>
      <c r="K58" s="2679"/>
      <c r="L58" s="2680"/>
      <c r="M58" s="2679"/>
      <c r="N58" s="2679"/>
      <c r="O58" s="2680"/>
      <c r="P58" s="2679"/>
      <c r="Q58" s="2679"/>
      <c r="R58" s="2681"/>
    </row>
    <row r="59" spans="2:18" s="903" customFormat="1">
      <c r="B59" s="2679"/>
      <c r="C59" s="2679"/>
      <c r="D59" s="2679"/>
      <c r="E59" s="2679"/>
      <c r="F59" s="2679"/>
      <c r="G59" s="2680"/>
      <c r="H59" s="2679"/>
      <c r="I59" s="2680"/>
      <c r="J59" s="2679"/>
      <c r="K59" s="2679"/>
      <c r="L59" s="2680"/>
      <c r="M59" s="2679"/>
      <c r="N59" s="2679"/>
      <c r="O59" s="2680"/>
      <c r="P59" s="2679"/>
      <c r="Q59" s="2679"/>
      <c r="R59" s="2681"/>
    </row>
    <row r="60" spans="2:18" s="903" customFormat="1">
      <c r="B60" s="2679"/>
      <c r="C60" s="2679"/>
      <c r="D60" s="2679"/>
      <c r="E60" s="2679"/>
      <c r="F60" s="2679"/>
      <c r="G60" s="2680"/>
      <c r="H60" s="2679"/>
      <c r="I60" s="2680"/>
      <c r="J60" s="2679"/>
      <c r="K60" s="2679"/>
      <c r="L60" s="2680"/>
      <c r="M60" s="2679"/>
      <c r="N60" s="2679"/>
      <c r="O60" s="2680"/>
      <c r="P60" s="2679"/>
      <c r="Q60" s="2679"/>
      <c r="R60" s="2681"/>
    </row>
    <row r="61" spans="2:18" s="903" customFormat="1">
      <c r="B61" s="2679"/>
      <c r="C61" s="2679"/>
      <c r="D61" s="2679"/>
      <c r="E61" s="2679"/>
      <c r="F61" s="2679"/>
      <c r="G61" s="2680"/>
      <c r="H61" s="2679"/>
      <c r="I61" s="2680"/>
      <c r="J61" s="2679"/>
      <c r="K61" s="2679"/>
      <c r="L61" s="2680"/>
      <c r="M61" s="2679"/>
      <c r="N61" s="2679"/>
      <c r="O61" s="2680"/>
      <c r="P61" s="2679"/>
      <c r="Q61" s="2679"/>
      <c r="R61" s="2681"/>
    </row>
    <row r="62" spans="2:18" s="903" customFormat="1">
      <c r="B62" s="2679"/>
      <c r="C62" s="2679"/>
      <c r="D62" s="2679"/>
      <c r="E62" s="2679"/>
      <c r="F62" s="2679"/>
      <c r="G62" s="2680"/>
      <c r="H62" s="2679"/>
      <c r="I62" s="2680"/>
      <c r="J62" s="2679"/>
      <c r="K62" s="2679"/>
      <c r="L62" s="2680"/>
      <c r="M62" s="2679"/>
      <c r="N62" s="2679"/>
      <c r="O62" s="2680"/>
      <c r="P62" s="2679"/>
      <c r="Q62" s="2679"/>
      <c r="R62" s="2681"/>
    </row>
    <row r="63" spans="2:18" s="903" customFormat="1">
      <c r="B63" s="2679"/>
      <c r="C63" s="2679"/>
      <c r="D63" s="2679"/>
      <c r="E63" s="2679"/>
      <c r="F63" s="2679"/>
      <c r="G63" s="2680"/>
      <c r="H63" s="2679"/>
      <c r="I63" s="2680"/>
      <c r="J63" s="2679"/>
      <c r="K63" s="2679"/>
      <c r="L63" s="2680"/>
      <c r="M63" s="2679"/>
      <c r="N63" s="2679"/>
      <c r="O63" s="2680"/>
      <c r="P63" s="2679"/>
      <c r="Q63" s="2679"/>
      <c r="R63" s="2681"/>
    </row>
    <row r="64" spans="2:18" s="903" customFormat="1">
      <c r="B64" s="2679"/>
      <c r="C64" s="2679"/>
      <c r="D64" s="2679"/>
      <c r="E64" s="2679"/>
      <c r="F64" s="2679"/>
      <c r="G64" s="2680"/>
      <c r="H64" s="2679"/>
      <c r="I64" s="2680"/>
      <c r="J64" s="2679"/>
      <c r="K64" s="2679"/>
      <c r="L64" s="2680"/>
      <c r="M64" s="2679"/>
      <c r="N64" s="2679"/>
      <c r="O64" s="2680"/>
      <c r="P64" s="2679"/>
      <c r="Q64" s="2679"/>
      <c r="R64" s="2681"/>
    </row>
    <row r="65" spans="2:18" s="903" customFormat="1">
      <c r="B65" s="2679"/>
      <c r="C65" s="2679"/>
      <c r="D65" s="2679"/>
      <c r="E65" s="2679"/>
      <c r="F65" s="2679"/>
      <c r="G65" s="2680"/>
      <c r="H65" s="2679"/>
      <c r="I65" s="2680"/>
      <c r="J65" s="2679"/>
      <c r="K65" s="2679"/>
      <c r="L65" s="2680"/>
      <c r="M65" s="2679"/>
      <c r="N65" s="2679"/>
      <c r="O65" s="2680"/>
      <c r="P65" s="2679"/>
      <c r="Q65" s="2679"/>
      <c r="R65" s="2681"/>
    </row>
    <row r="66" spans="2:18" s="903" customFormat="1">
      <c r="B66" s="2679"/>
      <c r="C66" s="2679"/>
      <c r="D66" s="2679"/>
      <c r="E66" s="2679"/>
      <c r="F66" s="2679"/>
      <c r="G66" s="2680"/>
      <c r="H66" s="2679"/>
      <c r="I66" s="2680"/>
      <c r="J66" s="2679"/>
      <c r="K66" s="2679"/>
      <c r="L66" s="2680"/>
      <c r="M66" s="2679"/>
      <c r="N66" s="2679"/>
      <c r="O66" s="2680"/>
      <c r="P66" s="2679"/>
      <c r="Q66" s="2679"/>
      <c r="R66" s="2681"/>
    </row>
    <row r="67" spans="2:18" s="903" customFormat="1">
      <c r="B67" s="2679"/>
      <c r="C67" s="2679"/>
      <c r="D67" s="2679"/>
      <c r="E67" s="2679"/>
      <c r="F67" s="2679"/>
      <c r="G67" s="2680"/>
      <c r="H67" s="2679"/>
      <c r="I67" s="2680"/>
      <c r="J67" s="2679"/>
      <c r="K67" s="2679"/>
      <c r="L67" s="2680"/>
      <c r="M67" s="2679"/>
      <c r="N67" s="2679"/>
      <c r="O67" s="2680"/>
      <c r="P67" s="2679"/>
      <c r="Q67" s="2679"/>
      <c r="R67" s="2681"/>
    </row>
    <row r="68" spans="2:18" s="903" customFormat="1">
      <c r="B68" s="2679"/>
      <c r="C68" s="2679"/>
      <c r="D68" s="2679"/>
      <c r="E68" s="2679"/>
      <c r="F68" s="2679"/>
      <c r="G68" s="2680"/>
      <c r="H68" s="2679"/>
      <c r="I68" s="2680"/>
      <c r="J68" s="2679"/>
      <c r="K68" s="2679"/>
      <c r="L68" s="2680"/>
      <c r="M68" s="2679"/>
      <c r="N68" s="2679"/>
      <c r="O68" s="2680"/>
      <c r="P68" s="2679"/>
      <c r="Q68" s="2679"/>
      <c r="R68" s="2681"/>
    </row>
    <row r="69" spans="2:18" s="903" customFormat="1">
      <c r="B69" s="2679"/>
      <c r="C69" s="2679"/>
      <c r="D69" s="2679"/>
      <c r="E69" s="2679"/>
      <c r="F69" s="2679"/>
      <c r="G69" s="2680"/>
      <c r="H69" s="2679"/>
      <c r="I69" s="2680"/>
      <c r="J69" s="2679"/>
      <c r="K69" s="2679"/>
      <c r="L69" s="2680"/>
      <c r="M69" s="2679"/>
      <c r="N69" s="2679"/>
      <c r="O69" s="2680"/>
      <c r="P69" s="2679"/>
      <c r="Q69" s="2679"/>
      <c r="R69" s="2681"/>
    </row>
    <row r="70" spans="2:18" s="903" customFormat="1">
      <c r="B70" s="2679"/>
      <c r="C70" s="2679"/>
      <c r="D70" s="2679"/>
      <c r="E70" s="2679"/>
      <c r="F70" s="2679"/>
      <c r="G70" s="2680"/>
      <c r="H70" s="2679"/>
      <c r="I70" s="2680"/>
      <c r="J70" s="2679"/>
      <c r="K70" s="2679"/>
      <c r="L70" s="2680"/>
      <c r="M70" s="2679"/>
      <c r="N70" s="2679"/>
      <c r="O70" s="2680"/>
      <c r="P70" s="2679"/>
      <c r="Q70" s="2679"/>
      <c r="R70" s="2681"/>
    </row>
    <row r="71" spans="2:18" s="903" customFormat="1">
      <c r="B71" s="2679"/>
      <c r="C71" s="2679"/>
      <c r="D71" s="2679"/>
      <c r="E71" s="2679"/>
      <c r="F71" s="2679"/>
      <c r="G71" s="2680"/>
      <c r="H71" s="2679"/>
      <c r="I71" s="2680"/>
      <c r="J71" s="2679"/>
      <c r="K71" s="2679"/>
      <c r="L71" s="2680"/>
      <c r="M71" s="2679"/>
      <c r="N71" s="2679"/>
      <c r="O71" s="2680"/>
      <c r="P71" s="2679"/>
      <c r="Q71" s="2679"/>
      <c r="R71" s="2681"/>
    </row>
    <row r="72" spans="2:18" s="903" customFormat="1">
      <c r="B72" s="2679"/>
      <c r="C72" s="2679"/>
      <c r="D72" s="2679"/>
      <c r="E72" s="2679"/>
      <c r="F72" s="2679"/>
      <c r="G72" s="2680"/>
      <c r="H72" s="2679"/>
      <c r="I72" s="2680"/>
      <c r="J72" s="2679"/>
      <c r="K72" s="2679"/>
      <c r="L72" s="2680"/>
      <c r="M72" s="2679"/>
      <c r="N72" s="2679"/>
      <c r="O72" s="2680"/>
      <c r="P72" s="2679"/>
      <c r="Q72" s="2679"/>
      <c r="R72" s="2681"/>
    </row>
    <row r="73" spans="2:18" s="903" customFormat="1">
      <c r="B73" s="2679"/>
      <c r="C73" s="2679"/>
      <c r="D73" s="2679"/>
      <c r="E73" s="2679"/>
      <c r="F73" s="2679"/>
      <c r="G73" s="2680"/>
      <c r="H73" s="2679"/>
      <c r="I73" s="2680"/>
      <c r="J73" s="2679"/>
      <c r="K73" s="2679"/>
      <c r="L73" s="2680"/>
      <c r="M73" s="2679"/>
      <c r="N73" s="2679"/>
      <c r="O73" s="2680"/>
      <c r="P73" s="2679"/>
      <c r="Q73" s="2679"/>
      <c r="R73" s="2681"/>
    </row>
    <row r="74" spans="2:18" s="903" customFormat="1">
      <c r="B74" s="2679"/>
      <c r="C74" s="2679"/>
      <c r="D74" s="2679"/>
      <c r="E74" s="2679"/>
      <c r="F74" s="2679"/>
      <c r="G74" s="2680"/>
      <c r="H74" s="2679"/>
      <c r="I74" s="2680"/>
      <c r="J74" s="2679"/>
      <c r="K74" s="2679"/>
      <c r="L74" s="2680"/>
      <c r="M74" s="2679"/>
      <c r="N74" s="2679"/>
      <c r="O74" s="2680"/>
      <c r="P74" s="2679"/>
      <c r="Q74" s="2679"/>
      <c r="R74" s="2681"/>
    </row>
    <row r="75" spans="2:18" s="903" customFormat="1">
      <c r="B75" s="2679"/>
      <c r="C75" s="2679"/>
      <c r="D75" s="2679"/>
      <c r="E75" s="2679"/>
      <c r="F75" s="2679"/>
      <c r="G75" s="2680"/>
      <c r="H75" s="2679"/>
      <c r="I75" s="2680"/>
      <c r="J75" s="2679"/>
      <c r="K75" s="2679"/>
      <c r="L75" s="2680"/>
      <c r="M75" s="2679"/>
      <c r="N75" s="2679"/>
      <c r="O75" s="2680"/>
      <c r="P75" s="2679"/>
      <c r="Q75" s="2679"/>
      <c r="R75" s="2681"/>
    </row>
    <row r="76" spans="2:18" s="903" customFormat="1">
      <c r="B76" s="2679"/>
      <c r="C76" s="2679"/>
      <c r="D76" s="2679"/>
      <c r="E76" s="2679"/>
      <c r="F76" s="2679"/>
      <c r="G76" s="2680"/>
      <c r="H76" s="2679"/>
      <c r="I76" s="2680"/>
      <c r="J76" s="2679"/>
      <c r="K76" s="2679"/>
      <c r="L76" s="2680"/>
      <c r="M76" s="2679"/>
      <c r="N76" s="2679"/>
      <c r="O76" s="2680"/>
      <c r="P76" s="2679"/>
      <c r="Q76" s="2679"/>
      <c r="R76" s="2681"/>
    </row>
    <row r="77" spans="2:18" s="903" customFormat="1">
      <c r="B77" s="2679"/>
      <c r="C77" s="2679"/>
      <c r="D77" s="2679"/>
      <c r="E77" s="2679"/>
      <c r="F77" s="2679"/>
      <c r="G77" s="2680"/>
      <c r="H77" s="2679"/>
      <c r="I77" s="2680"/>
      <c r="J77" s="2679"/>
      <c r="K77" s="2679"/>
      <c r="L77" s="2680"/>
      <c r="M77" s="2679"/>
      <c r="N77" s="2679"/>
      <c r="O77" s="2680"/>
      <c r="P77" s="2679"/>
      <c r="Q77" s="2679"/>
      <c r="R77" s="2681"/>
    </row>
    <row r="78" spans="2:18" s="903" customFormat="1">
      <c r="B78" s="2679"/>
      <c r="C78" s="2679"/>
      <c r="D78" s="2679"/>
      <c r="E78" s="2679"/>
      <c r="F78" s="2679"/>
      <c r="G78" s="2680"/>
      <c r="H78" s="2679"/>
      <c r="I78" s="2680"/>
      <c r="J78" s="2679"/>
      <c r="K78" s="2679"/>
      <c r="L78" s="2680"/>
      <c r="M78" s="2679"/>
      <c r="N78" s="2679"/>
      <c r="O78" s="2680"/>
      <c r="P78" s="2679"/>
      <c r="Q78" s="2679"/>
      <c r="R78" s="2681"/>
    </row>
    <row r="79" spans="2:18" s="903" customFormat="1">
      <c r="B79" s="2679"/>
      <c r="C79" s="2679"/>
      <c r="D79" s="2679"/>
      <c r="E79" s="2679"/>
      <c r="F79" s="2679"/>
      <c r="G79" s="2680"/>
      <c r="H79" s="2679"/>
      <c r="I79" s="2680"/>
      <c r="J79" s="2679"/>
      <c r="K79" s="2679"/>
      <c r="L79" s="2680"/>
      <c r="M79" s="2679"/>
      <c r="N79" s="2679"/>
      <c r="O79" s="2680"/>
      <c r="P79" s="2679"/>
      <c r="Q79" s="2679"/>
      <c r="R79" s="2681"/>
    </row>
    <row r="80" spans="2:18" s="903" customFormat="1">
      <c r="B80" s="2679"/>
      <c r="C80" s="2679"/>
      <c r="D80" s="2679"/>
      <c r="E80" s="2679"/>
      <c r="F80" s="2679"/>
      <c r="G80" s="2680"/>
      <c r="H80" s="2679"/>
      <c r="I80" s="2680"/>
      <c r="J80" s="2679"/>
      <c r="K80" s="2679"/>
      <c r="L80" s="2680"/>
      <c r="M80" s="2679"/>
      <c r="N80" s="2679"/>
      <c r="O80" s="2680"/>
      <c r="P80" s="2679"/>
      <c r="Q80" s="2679"/>
      <c r="R80" s="2681"/>
    </row>
    <row r="81" spans="2:18" s="903" customFormat="1">
      <c r="B81" s="2679"/>
      <c r="C81" s="2679"/>
      <c r="D81" s="2679"/>
      <c r="E81" s="2679"/>
      <c r="F81" s="2679"/>
      <c r="G81" s="2680"/>
      <c r="H81" s="2679"/>
      <c r="I81" s="2680"/>
      <c r="J81" s="2679"/>
      <c r="K81" s="2679"/>
      <c r="L81" s="2680"/>
      <c r="M81" s="2679"/>
      <c r="N81" s="2679"/>
      <c r="O81" s="2680"/>
      <c r="P81" s="2679"/>
      <c r="Q81" s="2679"/>
      <c r="R81" s="2681"/>
    </row>
    <row r="82" spans="2:18" s="903" customFormat="1">
      <c r="B82" s="2679"/>
      <c r="C82" s="2679"/>
      <c r="D82" s="2679"/>
      <c r="E82" s="2679"/>
      <c r="F82" s="2679"/>
      <c r="G82" s="2680"/>
      <c r="H82" s="2679"/>
      <c r="I82" s="2680"/>
      <c r="J82" s="2679"/>
      <c r="K82" s="2679"/>
      <c r="L82" s="2680"/>
      <c r="M82" s="2679"/>
      <c r="N82" s="2679"/>
      <c r="O82" s="2680"/>
      <c r="P82" s="2679"/>
      <c r="Q82" s="2679"/>
      <c r="R82" s="2681"/>
    </row>
    <row r="83" spans="2:18" s="903" customFormat="1">
      <c r="B83" s="2679"/>
      <c r="C83" s="2679"/>
      <c r="D83" s="2679"/>
      <c r="E83" s="2679"/>
      <c r="F83" s="2679"/>
      <c r="G83" s="2680"/>
      <c r="H83" s="2679"/>
      <c r="I83" s="2680"/>
      <c r="J83" s="2679"/>
      <c r="K83" s="2679"/>
      <c r="L83" s="2680"/>
      <c r="M83" s="2679"/>
      <c r="N83" s="2679"/>
      <c r="O83" s="2680"/>
      <c r="P83" s="2679"/>
      <c r="Q83" s="2679"/>
      <c r="R83" s="2681"/>
    </row>
    <row r="84" spans="2:18" s="903" customFormat="1">
      <c r="B84" s="2679"/>
      <c r="C84" s="2679"/>
      <c r="D84" s="2679"/>
      <c r="E84" s="2679"/>
      <c r="F84" s="2679"/>
      <c r="G84" s="2680"/>
      <c r="H84" s="2679"/>
      <c r="I84" s="2680"/>
      <c r="J84" s="2679"/>
      <c r="K84" s="2679"/>
      <c r="L84" s="2680"/>
      <c r="M84" s="2679"/>
      <c r="N84" s="2679"/>
      <c r="O84" s="2680"/>
      <c r="P84" s="2679"/>
      <c r="Q84" s="2679"/>
      <c r="R84" s="2681"/>
    </row>
    <row r="85" spans="2:18" s="903" customFormat="1">
      <c r="B85" s="2679"/>
      <c r="C85" s="2679"/>
      <c r="D85" s="2679"/>
      <c r="E85" s="2679"/>
      <c r="F85" s="2679"/>
      <c r="G85" s="2680"/>
      <c r="H85" s="2679"/>
      <c r="I85" s="2680"/>
      <c r="J85" s="2679"/>
      <c r="K85" s="2679"/>
      <c r="L85" s="2680"/>
      <c r="M85" s="2679"/>
      <c r="N85" s="2679"/>
      <c r="O85" s="2680"/>
      <c r="P85" s="2679"/>
      <c r="Q85" s="2679"/>
      <c r="R85" s="2681"/>
    </row>
    <row r="86" spans="2:18" s="903" customFormat="1">
      <c r="B86" s="2679"/>
      <c r="C86" s="2679"/>
      <c r="D86" s="2679"/>
      <c r="E86" s="2679"/>
      <c r="F86" s="2679"/>
      <c r="G86" s="2680"/>
      <c r="H86" s="2679"/>
      <c r="I86" s="2680"/>
      <c r="J86" s="2679"/>
      <c r="K86" s="2679"/>
      <c r="L86" s="2680"/>
      <c r="M86" s="2679"/>
      <c r="N86" s="2679"/>
      <c r="O86" s="2680"/>
      <c r="P86" s="2679"/>
      <c r="Q86" s="2679"/>
      <c r="R86" s="2681"/>
    </row>
    <row r="87" spans="2:18" s="903" customFormat="1">
      <c r="B87" s="2679"/>
      <c r="C87" s="2679"/>
      <c r="D87" s="2679"/>
      <c r="E87" s="2679"/>
      <c r="F87" s="2679"/>
      <c r="G87" s="2680"/>
      <c r="H87" s="2679"/>
      <c r="I87" s="2680"/>
      <c r="J87" s="2679"/>
      <c r="K87" s="2679"/>
      <c r="L87" s="2680"/>
      <c r="M87" s="2679"/>
      <c r="N87" s="2679"/>
      <c r="O87" s="2680"/>
      <c r="P87" s="2679"/>
      <c r="Q87" s="2679"/>
      <c r="R87" s="2681"/>
    </row>
    <row r="88" spans="2:18" s="903" customFormat="1">
      <c r="B88" s="2679"/>
      <c r="C88" s="2679"/>
      <c r="D88" s="2679"/>
      <c r="E88" s="2679"/>
      <c r="F88" s="2679"/>
      <c r="G88" s="2680"/>
      <c r="H88" s="2679"/>
      <c r="I88" s="2680"/>
      <c r="J88" s="2679"/>
      <c r="K88" s="2679"/>
      <c r="L88" s="2680"/>
      <c r="M88" s="2679"/>
      <c r="N88" s="2679"/>
      <c r="O88" s="2680"/>
      <c r="P88" s="2679"/>
      <c r="Q88" s="2679"/>
      <c r="R88" s="2681"/>
    </row>
    <row r="89" spans="2:18" s="903" customFormat="1">
      <c r="B89" s="2679"/>
      <c r="C89" s="2679"/>
      <c r="D89" s="2679"/>
      <c r="E89" s="2679"/>
      <c r="F89" s="2679"/>
      <c r="G89" s="2680"/>
      <c r="H89" s="2679"/>
      <c r="I89" s="2680"/>
      <c r="J89" s="2679"/>
      <c r="K89" s="2679"/>
      <c r="L89" s="2680"/>
      <c r="M89" s="2679"/>
      <c r="N89" s="2679"/>
      <c r="O89" s="2680"/>
      <c r="P89" s="2679"/>
      <c r="Q89" s="2679"/>
      <c r="R89" s="2681"/>
    </row>
    <row r="90" spans="2:18" s="903" customFormat="1">
      <c r="B90" s="2679"/>
      <c r="C90" s="2679"/>
      <c r="D90" s="2679"/>
      <c r="E90" s="2679"/>
      <c r="F90" s="2679"/>
      <c r="G90" s="2680"/>
      <c r="H90" s="2679"/>
      <c r="I90" s="2680"/>
      <c r="J90" s="2679"/>
      <c r="K90" s="2679"/>
      <c r="L90" s="2680"/>
      <c r="M90" s="2679"/>
      <c r="N90" s="2679"/>
      <c r="O90" s="2680"/>
      <c r="P90" s="2679"/>
      <c r="Q90" s="2679"/>
      <c r="R90" s="2681"/>
    </row>
    <row r="91" spans="2:18" s="903" customFormat="1">
      <c r="B91" s="2679"/>
      <c r="C91" s="2679"/>
      <c r="D91" s="2679"/>
      <c r="E91" s="2679"/>
      <c r="F91" s="2679"/>
      <c r="G91" s="2680"/>
      <c r="H91" s="2679"/>
      <c r="I91" s="2680"/>
      <c r="J91" s="2679"/>
      <c r="K91" s="2679"/>
      <c r="L91" s="2680"/>
      <c r="M91" s="2679"/>
      <c r="N91" s="2679"/>
      <c r="O91" s="2680"/>
      <c r="P91" s="2679"/>
      <c r="Q91" s="2679"/>
      <c r="R91" s="2681"/>
    </row>
    <row r="92" spans="2:18" s="903" customFormat="1">
      <c r="B92" s="2679"/>
      <c r="C92" s="2679"/>
      <c r="D92" s="2679"/>
      <c r="E92" s="2679"/>
      <c r="F92" s="2679"/>
      <c r="G92" s="2680"/>
      <c r="H92" s="2679"/>
      <c r="I92" s="2680"/>
      <c r="J92" s="2679"/>
      <c r="K92" s="2679"/>
      <c r="L92" s="2680"/>
      <c r="M92" s="2679"/>
      <c r="N92" s="2679"/>
      <c r="O92" s="2680"/>
      <c r="P92" s="2679"/>
      <c r="Q92" s="2679"/>
      <c r="R92" s="2681"/>
    </row>
    <row r="93" spans="2:18" s="903" customFormat="1">
      <c r="B93" s="2679"/>
      <c r="C93" s="2679"/>
      <c r="D93" s="2679"/>
      <c r="E93" s="2679"/>
      <c r="F93" s="2679"/>
      <c r="G93" s="2680"/>
      <c r="H93" s="2679"/>
      <c r="I93" s="2680"/>
      <c r="J93" s="2679"/>
      <c r="K93" s="2679"/>
      <c r="L93" s="2680"/>
      <c r="M93" s="2679"/>
      <c r="N93" s="2679"/>
      <c r="O93" s="2680"/>
      <c r="P93" s="2679"/>
      <c r="Q93" s="2679"/>
      <c r="R93" s="2681"/>
    </row>
    <row r="94" spans="2:18" s="903" customFormat="1">
      <c r="B94" s="2679"/>
      <c r="C94" s="2679"/>
      <c r="D94" s="2679"/>
      <c r="E94" s="2679"/>
      <c r="F94" s="2679"/>
      <c r="G94" s="2680"/>
      <c r="H94" s="2679"/>
      <c r="I94" s="2680"/>
      <c r="J94" s="2679"/>
      <c r="K94" s="2679"/>
      <c r="L94" s="2680"/>
      <c r="M94" s="2679"/>
      <c r="N94" s="2679"/>
      <c r="O94" s="2680"/>
      <c r="P94" s="2679"/>
      <c r="Q94" s="2679"/>
      <c r="R94" s="2681"/>
    </row>
    <row r="95" spans="2:18" s="903" customFormat="1">
      <c r="B95" s="2679"/>
      <c r="C95" s="2679"/>
      <c r="D95" s="2679"/>
      <c r="E95" s="2679"/>
      <c r="F95" s="2679"/>
      <c r="G95" s="2680"/>
      <c r="H95" s="2679"/>
      <c r="I95" s="2680"/>
      <c r="J95" s="2679"/>
      <c r="K95" s="2679"/>
      <c r="L95" s="2680"/>
      <c r="M95" s="2679"/>
      <c r="N95" s="2679"/>
      <c r="O95" s="2680"/>
      <c r="P95" s="2679"/>
      <c r="Q95" s="2679"/>
      <c r="R95" s="2681"/>
    </row>
    <row r="96" spans="2:18" s="903" customFormat="1">
      <c r="B96" s="2679"/>
      <c r="C96" s="2679"/>
      <c r="D96" s="2679"/>
      <c r="E96" s="2679"/>
      <c r="F96" s="2679"/>
      <c r="G96" s="2680"/>
      <c r="H96" s="2679"/>
      <c r="I96" s="2680"/>
      <c r="J96" s="2679"/>
      <c r="K96" s="2679"/>
      <c r="L96" s="2680"/>
      <c r="M96" s="2679"/>
      <c r="N96" s="2679"/>
      <c r="O96" s="2680"/>
      <c r="P96" s="2679"/>
      <c r="Q96" s="2679"/>
      <c r="R96" s="2681"/>
    </row>
    <row r="97" spans="2:18" s="903" customFormat="1">
      <c r="B97" s="2679"/>
      <c r="C97" s="2679"/>
      <c r="D97" s="2679"/>
      <c r="E97" s="2679"/>
      <c r="F97" s="2679"/>
      <c r="G97" s="2680"/>
      <c r="H97" s="2679"/>
      <c r="I97" s="2680"/>
      <c r="J97" s="2679"/>
      <c r="K97" s="2679"/>
      <c r="L97" s="2680"/>
      <c r="M97" s="2679"/>
      <c r="N97" s="2679"/>
      <c r="O97" s="2680"/>
      <c r="P97" s="2679"/>
      <c r="Q97" s="2679"/>
      <c r="R97" s="2681"/>
    </row>
    <row r="98" spans="2:18" s="903" customFormat="1">
      <c r="B98" s="2679"/>
      <c r="C98" s="2679"/>
      <c r="D98" s="2679"/>
      <c r="E98" s="2679"/>
      <c r="F98" s="2679"/>
      <c r="G98" s="2680"/>
      <c r="H98" s="2679"/>
      <c r="I98" s="2680"/>
      <c r="J98" s="2679"/>
      <c r="K98" s="2679"/>
      <c r="L98" s="2680"/>
      <c r="M98" s="2679"/>
      <c r="N98" s="2679"/>
      <c r="O98" s="2680"/>
      <c r="P98" s="2679"/>
      <c r="Q98" s="2679"/>
      <c r="R98" s="2681"/>
    </row>
    <row r="99" spans="2:18" s="903" customFormat="1">
      <c r="B99" s="2679"/>
      <c r="C99" s="2679"/>
      <c r="D99" s="2679"/>
      <c r="E99" s="2679"/>
      <c r="F99" s="2679"/>
      <c r="G99" s="2680"/>
      <c r="H99" s="2679"/>
      <c r="I99" s="2680"/>
      <c r="J99" s="2679"/>
      <c r="K99" s="2679"/>
      <c r="L99" s="2680"/>
      <c r="M99" s="2679"/>
      <c r="N99" s="2679"/>
      <c r="O99" s="2680"/>
      <c r="P99" s="2679"/>
      <c r="Q99" s="2679"/>
      <c r="R99" s="2681"/>
    </row>
    <row r="100" spans="2:18" s="903" customFormat="1">
      <c r="B100" s="2679"/>
      <c r="C100" s="2679"/>
      <c r="D100" s="2679"/>
      <c r="E100" s="2679"/>
      <c r="F100" s="2679"/>
      <c r="G100" s="2680"/>
      <c r="H100" s="2679"/>
      <c r="I100" s="2680"/>
      <c r="J100" s="2679"/>
      <c r="K100" s="2679"/>
      <c r="L100" s="2680"/>
      <c r="M100" s="2679"/>
      <c r="N100" s="2679"/>
      <c r="O100" s="2680"/>
      <c r="P100" s="2679"/>
      <c r="Q100" s="2679"/>
      <c r="R100" s="2681"/>
    </row>
    <row r="101" spans="2:18" s="903" customFormat="1">
      <c r="B101" s="2679"/>
      <c r="C101" s="2679"/>
      <c r="D101" s="2679"/>
      <c r="E101" s="2679"/>
      <c r="F101" s="2679"/>
      <c r="G101" s="2680"/>
      <c r="H101" s="2679"/>
      <c r="I101" s="2680"/>
      <c r="J101" s="2679"/>
      <c r="K101" s="2679"/>
      <c r="L101" s="2680"/>
      <c r="M101" s="2679"/>
      <c r="N101" s="2679"/>
      <c r="O101" s="2680"/>
      <c r="P101" s="2679"/>
      <c r="Q101" s="2679"/>
      <c r="R101" s="2681"/>
    </row>
    <row r="102" spans="2:18" s="903" customFormat="1">
      <c r="B102" s="2679"/>
      <c r="C102" s="2679"/>
      <c r="D102" s="2679"/>
      <c r="E102" s="2679"/>
      <c r="F102" s="2679"/>
      <c r="G102" s="2680"/>
      <c r="H102" s="2679"/>
      <c r="I102" s="2680"/>
      <c r="J102" s="2679"/>
      <c r="K102" s="2679"/>
      <c r="L102" s="2680"/>
      <c r="M102" s="2679"/>
      <c r="N102" s="2679"/>
      <c r="O102" s="2680"/>
      <c r="P102" s="2679"/>
      <c r="Q102" s="2679"/>
      <c r="R102" s="2681"/>
    </row>
    <row r="103" spans="2:18" s="903" customFormat="1">
      <c r="B103" s="2679"/>
      <c r="C103" s="2679"/>
      <c r="D103" s="2679"/>
      <c r="E103" s="2679"/>
      <c r="F103" s="2679"/>
      <c r="G103" s="2680"/>
      <c r="H103" s="2679"/>
      <c r="I103" s="2680"/>
      <c r="J103" s="2679"/>
      <c r="K103" s="2679"/>
      <c r="L103" s="2680"/>
      <c r="M103" s="2679"/>
      <c r="N103" s="2679"/>
      <c r="O103" s="2680"/>
      <c r="P103" s="2679"/>
      <c r="Q103" s="2679"/>
      <c r="R103" s="2681"/>
    </row>
    <row r="104" spans="2:18" s="903" customFormat="1">
      <c r="B104" s="2679"/>
      <c r="C104" s="2679"/>
      <c r="D104" s="2679"/>
      <c r="E104" s="2679"/>
      <c r="F104" s="2679"/>
      <c r="G104" s="2680"/>
      <c r="H104" s="2679"/>
      <c r="I104" s="2680"/>
      <c r="J104" s="2679"/>
      <c r="K104" s="2679"/>
      <c r="L104" s="2680"/>
      <c r="M104" s="2679"/>
      <c r="N104" s="2679"/>
      <c r="O104" s="2680"/>
      <c r="P104" s="2679"/>
      <c r="Q104" s="2679"/>
      <c r="R104" s="2681"/>
    </row>
    <row r="105" spans="2:18" s="903" customFormat="1">
      <c r="B105" s="2679"/>
      <c r="C105" s="2679"/>
      <c r="D105" s="2679"/>
      <c r="E105" s="2679"/>
      <c r="F105" s="2679"/>
      <c r="G105" s="2680"/>
      <c r="H105" s="2679"/>
      <c r="I105" s="2680"/>
      <c r="J105" s="2679"/>
      <c r="K105" s="2679"/>
      <c r="L105" s="2680"/>
      <c r="M105" s="2679"/>
      <c r="N105" s="2679"/>
      <c r="O105" s="2680"/>
      <c r="P105" s="2679"/>
      <c r="Q105" s="2679"/>
      <c r="R105" s="2681"/>
    </row>
    <row r="106" spans="2:18" s="903" customFormat="1">
      <c r="B106" s="2679"/>
      <c r="C106" s="2679"/>
      <c r="D106" s="2679"/>
      <c r="E106" s="2679"/>
      <c r="F106" s="2679"/>
      <c r="G106" s="2680"/>
      <c r="H106" s="2679"/>
      <c r="I106" s="2680"/>
      <c r="J106" s="2679"/>
      <c r="K106" s="2679"/>
      <c r="L106" s="2680"/>
      <c r="M106" s="2679"/>
      <c r="N106" s="2679"/>
      <c r="O106" s="2680"/>
      <c r="P106" s="2679"/>
      <c r="Q106" s="2679"/>
      <c r="R106" s="2681"/>
    </row>
    <row r="107" spans="2:18" s="903" customFormat="1">
      <c r="B107" s="2679"/>
      <c r="C107" s="2679"/>
      <c r="D107" s="2679"/>
      <c r="E107" s="2679"/>
      <c r="F107" s="2679"/>
      <c r="G107" s="2680"/>
      <c r="H107" s="2679"/>
      <c r="I107" s="2680"/>
      <c r="J107" s="2679"/>
      <c r="K107" s="2679"/>
      <c r="L107" s="2680"/>
      <c r="M107" s="2679"/>
      <c r="N107" s="2679"/>
      <c r="O107" s="2680"/>
      <c r="P107" s="2679"/>
      <c r="Q107" s="2679"/>
      <c r="R107" s="2681"/>
    </row>
    <row r="108" spans="2:18" s="903" customFormat="1">
      <c r="B108" s="2679"/>
      <c r="C108" s="2679"/>
      <c r="D108" s="2679"/>
      <c r="E108" s="2679"/>
      <c r="F108" s="2679"/>
      <c r="G108" s="2680"/>
      <c r="H108" s="2679"/>
      <c r="I108" s="2680"/>
      <c r="J108" s="2679"/>
      <c r="K108" s="2679"/>
      <c r="L108" s="2680"/>
      <c r="M108" s="2679"/>
      <c r="N108" s="2679"/>
      <c r="O108" s="2680"/>
      <c r="P108" s="2679"/>
      <c r="Q108" s="2679"/>
      <c r="R108" s="2681"/>
    </row>
    <row r="109" spans="2:18" s="903" customFormat="1">
      <c r="B109" s="2679"/>
      <c r="C109" s="2679"/>
      <c r="D109" s="2679"/>
      <c r="E109" s="2679"/>
      <c r="F109" s="2679"/>
      <c r="G109" s="2680"/>
      <c r="H109" s="2679"/>
      <c r="I109" s="2680"/>
      <c r="J109" s="2679"/>
      <c r="K109" s="2679"/>
      <c r="L109" s="2680"/>
      <c r="M109" s="2679"/>
      <c r="N109" s="2679"/>
      <c r="O109" s="2680"/>
      <c r="P109" s="2679"/>
      <c r="Q109" s="2679"/>
      <c r="R109" s="2681"/>
    </row>
    <row r="110" spans="2:18" s="903" customFormat="1">
      <c r="B110" s="2679"/>
      <c r="C110" s="2679"/>
      <c r="D110" s="2679"/>
      <c r="E110" s="2679"/>
      <c r="F110" s="2679"/>
      <c r="G110" s="2680"/>
      <c r="H110" s="2679"/>
      <c r="I110" s="2680"/>
      <c r="J110" s="2679"/>
      <c r="K110" s="2679"/>
      <c r="L110" s="2680"/>
      <c r="M110" s="2679"/>
      <c r="N110" s="2679"/>
      <c r="O110" s="2680"/>
      <c r="P110" s="2679"/>
      <c r="Q110" s="2679"/>
      <c r="R110" s="2681"/>
    </row>
    <row r="111" spans="2:18" s="903" customFormat="1">
      <c r="B111" s="2679"/>
      <c r="C111" s="2679"/>
      <c r="D111" s="2679"/>
      <c r="E111" s="2679"/>
      <c r="F111" s="2679"/>
      <c r="G111" s="2680"/>
      <c r="H111" s="2679"/>
      <c r="I111" s="2680"/>
      <c r="J111" s="2679"/>
      <c r="K111" s="2679"/>
      <c r="L111" s="2680"/>
      <c r="M111" s="2679"/>
      <c r="N111" s="2679"/>
      <c r="O111" s="2680"/>
      <c r="P111" s="2679"/>
      <c r="Q111" s="2679"/>
      <c r="R111" s="2681"/>
    </row>
    <row r="112" spans="2:18" s="903" customFormat="1">
      <c r="B112" s="2679"/>
      <c r="C112" s="2679"/>
      <c r="D112" s="2679"/>
      <c r="E112" s="2679"/>
      <c r="F112" s="2679"/>
      <c r="G112" s="2680"/>
      <c r="H112" s="2679"/>
      <c r="I112" s="2680"/>
      <c r="J112" s="2679"/>
      <c r="K112" s="2679"/>
      <c r="L112" s="2680"/>
      <c r="M112" s="2679"/>
      <c r="N112" s="2679"/>
      <c r="O112" s="2680"/>
      <c r="P112" s="2679"/>
      <c r="Q112" s="2679"/>
      <c r="R112" s="2681"/>
    </row>
    <row r="113" spans="2:18" s="903" customFormat="1">
      <c r="B113" s="2679"/>
      <c r="C113" s="2679"/>
      <c r="D113" s="2679"/>
      <c r="E113" s="2679"/>
      <c r="F113" s="2679"/>
      <c r="G113" s="2680"/>
      <c r="H113" s="2679"/>
      <c r="I113" s="2680"/>
      <c r="J113" s="2679"/>
      <c r="K113" s="2679"/>
      <c r="L113" s="2680"/>
      <c r="M113" s="2679"/>
      <c r="N113" s="2679"/>
      <c r="O113" s="2680"/>
      <c r="P113" s="2679"/>
      <c r="Q113" s="2679"/>
      <c r="R113" s="2681"/>
    </row>
    <row r="114" spans="2:18" s="903" customFormat="1">
      <c r="B114" s="2679"/>
      <c r="C114" s="2679"/>
      <c r="D114" s="2679"/>
      <c r="E114" s="2679"/>
      <c r="F114" s="2679"/>
      <c r="G114" s="2680"/>
      <c r="H114" s="2679"/>
      <c r="I114" s="2680"/>
      <c r="J114" s="2679"/>
      <c r="K114" s="2679"/>
      <c r="L114" s="2680"/>
      <c r="M114" s="2679"/>
      <c r="N114" s="2679"/>
      <c r="O114" s="2680"/>
      <c r="P114" s="2679"/>
      <c r="Q114" s="2679"/>
      <c r="R114" s="2681"/>
    </row>
    <row r="115" spans="2:18" s="903" customFormat="1">
      <c r="B115" s="2679"/>
      <c r="C115" s="2679"/>
      <c r="D115" s="2679"/>
      <c r="E115" s="2679"/>
      <c r="F115" s="2679"/>
      <c r="G115" s="2680"/>
      <c r="H115" s="2679"/>
      <c r="I115" s="2680"/>
      <c r="J115" s="2679"/>
      <c r="K115" s="2679"/>
      <c r="L115" s="2680"/>
      <c r="M115" s="2679"/>
      <c r="N115" s="2679"/>
      <c r="O115" s="2680"/>
      <c r="P115" s="2679"/>
      <c r="Q115" s="2679"/>
      <c r="R115" s="2681"/>
    </row>
    <row r="116" spans="2:18" s="903" customFormat="1">
      <c r="B116" s="2679"/>
      <c r="C116" s="2679"/>
      <c r="D116" s="2679"/>
      <c r="E116" s="2679"/>
      <c r="F116" s="2679"/>
      <c r="G116" s="2680"/>
      <c r="H116" s="2679"/>
      <c r="I116" s="2680"/>
      <c r="J116" s="2679"/>
      <c r="K116" s="2679"/>
      <c r="L116" s="2680"/>
      <c r="M116" s="2679"/>
      <c r="N116" s="2679"/>
      <c r="O116" s="2680"/>
      <c r="P116" s="2679"/>
      <c r="Q116" s="2679"/>
      <c r="R116" s="2681"/>
    </row>
    <row r="117" spans="2:18" s="903" customFormat="1">
      <c r="B117" s="2679"/>
      <c r="C117" s="2679"/>
      <c r="D117" s="2679"/>
      <c r="E117" s="2679"/>
      <c r="F117" s="2679"/>
      <c r="G117" s="2680"/>
      <c r="H117" s="2679"/>
      <c r="I117" s="2680"/>
      <c r="J117" s="2679"/>
      <c r="K117" s="2679"/>
      <c r="L117" s="2680"/>
      <c r="M117" s="2679"/>
      <c r="N117" s="2679"/>
      <c r="O117" s="2680"/>
      <c r="P117" s="2679"/>
      <c r="Q117" s="2679"/>
      <c r="R117" s="2681"/>
    </row>
    <row r="118" spans="2:18" s="903" customFormat="1">
      <c r="B118" s="2679"/>
      <c r="C118" s="2679"/>
      <c r="D118" s="2679"/>
      <c r="E118" s="2679"/>
      <c r="F118" s="2679"/>
      <c r="G118" s="2680"/>
      <c r="H118" s="2679"/>
      <c r="I118" s="2680"/>
      <c r="J118" s="2679"/>
      <c r="K118" s="2679"/>
      <c r="L118" s="2680"/>
      <c r="M118" s="2679"/>
      <c r="N118" s="2679"/>
      <c r="O118" s="2680"/>
      <c r="P118" s="2679"/>
      <c r="Q118" s="2679"/>
      <c r="R118" s="2681"/>
    </row>
    <row r="119" spans="2:18" s="903" customFormat="1">
      <c r="B119" s="2679"/>
      <c r="C119" s="2679"/>
      <c r="D119" s="2679"/>
      <c r="E119" s="2679"/>
      <c r="F119" s="2679"/>
      <c r="G119" s="2680"/>
      <c r="H119" s="2679"/>
      <c r="I119" s="2680"/>
      <c r="J119" s="2679"/>
      <c r="K119" s="2679"/>
      <c r="L119" s="2680"/>
      <c r="M119" s="2679"/>
      <c r="N119" s="2679"/>
      <c r="O119" s="2680"/>
      <c r="P119" s="2679"/>
      <c r="Q119" s="2679"/>
      <c r="R119" s="2681"/>
    </row>
    <row r="120" spans="2:18" s="903" customFormat="1">
      <c r="B120" s="2679"/>
      <c r="C120" s="2679"/>
      <c r="D120" s="2679"/>
      <c r="E120" s="2679"/>
      <c r="F120" s="2679"/>
      <c r="G120" s="2680"/>
      <c r="H120" s="2679"/>
      <c r="I120" s="2680"/>
      <c r="J120" s="2679"/>
      <c r="K120" s="2679"/>
      <c r="L120" s="2680"/>
      <c r="M120" s="2679"/>
      <c r="N120" s="2679"/>
      <c r="O120" s="2680"/>
      <c r="P120" s="2679"/>
      <c r="Q120" s="2679"/>
      <c r="R120" s="2681"/>
    </row>
    <row r="121" spans="2:18" s="903" customFormat="1">
      <c r="B121" s="2679"/>
      <c r="C121" s="2679"/>
      <c r="D121" s="2679"/>
      <c r="E121" s="2679"/>
      <c r="F121" s="2679"/>
      <c r="G121" s="2680"/>
      <c r="H121" s="2679"/>
      <c r="I121" s="2680"/>
      <c r="J121" s="2679"/>
      <c r="K121" s="2679"/>
      <c r="L121" s="2680"/>
      <c r="M121" s="2679"/>
      <c r="N121" s="2679"/>
      <c r="O121" s="2680"/>
      <c r="P121" s="2679"/>
      <c r="Q121" s="2679"/>
      <c r="R121" s="2681"/>
    </row>
    <row r="122" spans="2:18" s="903" customFormat="1">
      <c r="B122" s="2679"/>
      <c r="C122" s="2679"/>
      <c r="D122" s="2679"/>
      <c r="E122" s="2679"/>
      <c r="F122" s="2679"/>
      <c r="G122" s="2680"/>
      <c r="H122" s="2679"/>
      <c r="I122" s="2680"/>
      <c r="J122" s="2679"/>
      <c r="K122" s="2679"/>
      <c r="L122" s="2680"/>
      <c r="M122" s="2679"/>
      <c r="N122" s="2679"/>
      <c r="O122" s="2680"/>
      <c r="P122" s="2679"/>
      <c r="Q122" s="2679"/>
      <c r="R122" s="2681"/>
    </row>
    <row r="123" spans="2:18" s="903" customFormat="1">
      <c r="B123" s="2679"/>
      <c r="C123" s="2679"/>
      <c r="D123" s="2679"/>
      <c r="E123" s="2679"/>
      <c r="F123" s="2679"/>
      <c r="G123" s="2680"/>
      <c r="H123" s="2679"/>
      <c r="I123" s="2680"/>
      <c r="J123" s="2679"/>
      <c r="K123" s="2679"/>
      <c r="L123" s="2680"/>
      <c r="M123" s="2679"/>
      <c r="N123" s="2679"/>
      <c r="O123" s="2680"/>
      <c r="P123" s="2679"/>
      <c r="Q123" s="2679"/>
      <c r="R123" s="2681"/>
    </row>
    <row r="124" spans="2:18" s="903" customFormat="1">
      <c r="B124" s="2679"/>
      <c r="C124" s="2679"/>
      <c r="D124" s="2679"/>
      <c r="E124" s="2679"/>
      <c r="F124" s="2679"/>
      <c r="G124" s="2680"/>
      <c r="H124" s="2679"/>
      <c r="I124" s="2680"/>
      <c r="J124" s="2679"/>
      <c r="K124" s="2679"/>
      <c r="L124" s="2680"/>
      <c r="M124" s="2679"/>
      <c r="N124" s="2679"/>
      <c r="O124" s="2680"/>
      <c r="P124" s="2679"/>
      <c r="Q124" s="2679"/>
      <c r="R124" s="2681"/>
    </row>
    <row r="125" spans="2:18" s="903" customFormat="1">
      <c r="B125" s="2679"/>
      <c r="C125" s="2679"/>
      <c r="D125" s="2679"/>
      <c r="E125" s="2679"/>
      <c r="F125" s="2679"/>
      <c r="G125" s="2680"/>
      <c r="H125" s="2679"/>
      <c r="I125" s="2680"/>
      <c r="J125" s="2679"/>
      <c r="K125" s="2679"/>
      <c r="L125" s="2680"/>
      <c r="M125" s="2679"/>
      <c r="N125" s="2679"/>
      <c r="O125" s="2680"/>
      <c r="P125" s="2679"/>
      <c r="Q125" s="2679"/>
      <c r="R125" s="2681"/>
    </row>
    <row r="126" spans="2:18" s="903" customFormat="1">
      <c r="B126" s="2679"/>
      <c r="C126" s="2679"/>
      <c r="D126" s="2679"/>
      <c r="E126" s="2679"/>
      <c r="F126" s="2679"/>
      <c r="G126" s="2680"/>
      <c r="H126" s="2679"/>
      <c r="I126" s="2680"/>
      <c r="J126" s="2679"/>
      <c r="K126" s="2679"/>
      <c r="L126" s="2680"/>
      <c r="M126" s="2679"/>
      <c r="N126" s="2679"/>
      <c r="O126" s="2680"/>
      <c r="P126" s="2679"/>
      <c r="Q126" s="2679"/>
      <c r="R126" s="2681"/>
    </row>
    <row r="127" spans="2:18" s="903" customFormat="1">
      <c r="B127" s="2679"/>
      <c r="C127" s="2679"/>
      <c r="D127" s="2679"/>
      <c r="E127" s="2679"/>
      <c r="F127" s="2679"/>
      <c r="G127" s="2680"/>
      <c r="H127" s="2679"/>
      <c r="I127" s="2680"/>
      <c r="J127" s="2679"/>
      <c r="K127" s="2679"/>
      <c r="L127" s="2680"/>
      <c r="M127" s="2679"/>
      <c r="N127" s="2679"/>
      <c r="O127" s="2680"/>
      <c r="P127" s="2679"/>
      <c r="Q127" s="2679"/>
      <c r="R127" s="2681"/>
    </row>
    <row r="128" spans="2:18" s="903" customFormat="1">
      <c r="B128" s="2679"/>
      <c r="C128" s="2679"/>
      <c r="D128" s="2679"/>
      <c r="E128" s="2679"/>
      <c r="F128" s="2679"/>
      <c r="G128" s="2680"/>
      <c r="H128" s="2679"/>
      <c r="I128" s="2680"/>
      <c r="J128" s="2679"/>
      <c r="K128" s="2679"/>
      <c r="L128" s="2680"/>
      <c r="M128" s="2679"/>
      <c r="N128" s="2679"/>
      <c r="O128" s="2680"/>
      <c r="P128" s="2679"/>
      <c r="Q128" s="2679"/>
      <c r="R128" s="2681"/>
    </row>
    <row r="129" spans="2:18" s="903" customFormat="1">
      <c r="B129" s="2679"/>
      <c r="C129" s="2679"/>
      <c r="D129" s="2679"/>
      <c r="E129" s="2679"/>
      <c r="F129" s="2679"/>
      <c r="G129" s="2680"/>
      <c r="H129" s="2679"/>
      <c r="I129" s="2680"/>
      <c r="J129" s="2679"/>
      <c r="K129" s="2679"/>
      <c r="L129" s="2680"/>
      <c r="M129" s="2679"/>
      <c r="N129" s="2679"/>
      <c r="O129" s="2680"/>
      <c r="P129" s="2679"/>
      <c r="Q129" s="2679"/>
      <c r="R129" s="2681"/>
    </row>
    <row r="130" spans="2:18" s="903" customFormat="1">
      <c r="B130" s="2679"/>
      <c r="C130" s="2679"/>
      <c r="D130" s="2679"/>
      <c r="E130" s="2679"/>
      <c r="F130" s="2679"/>
      <c r="G130" s="2680"/>
      <c r="H130" s="2679"/>
      <c r="I130" s="2680"/>
      <c r="J130" s="2679"/>
      <c r="K130" s="2679"/>
      <c r="L130" s="2680"/>
      <c r="M130" s="2679"/>
      <c r="N130" s="2679"/>
      <c r="O130" s="2680"/>
      <c r="P130" s="2679"/>
      <c r="Q130" s="2679"/>
      <c r="R130" s="2681"/>
    </row>
    <row r="131" spans="2:18" s="903" customFormat="1">
      <c r="B131" s="2679"/>
      <c r="C131" s="2679"/>
      <c r="D131" s="2679"/>
      <c r="E131" s="2679"/>
      <c r="F131" s="2679"/>
      <c r="G131" s="2680"/>
      <c r="H131" s="2679"/>
      <c r="I131" s="2680"/>
      <c r="J131" s="2679"/>
      <c r="K131" s="2679"/>
      <c r="L131" s="2680"/>
      <c r="M131" s="2679"/>
      <c r="N131" s="2679"/>
      <c r="O131" s="2680"/>
      <c r="P131" s="2679"/>
      <c r="Q131" s="2679"/>
      <c r="R131" s="2681"/>
    </row>
    <row r="132" spans="2:18" s="903" customFormat="1">
      <c r="B132" s="2679"/>
      <c r="C132" s="2679"/>
      <c r="D132" s="2679"/>
      <c r="E132" s="2679"/>
      <c r="F132" s="2679"/>
      <c r="G132" s="2680"/>
      <c r="H132" s="2679"/>
      <c r="I132" s="2680"/>
      <c r="J132" s="2679"/>
      <c r="K132" s="2679"/>
      <c r="L132" s="2680"/>
      <c r="M132" s="2679"/>
      <c r="N132" s="2679"/>
      <c r="O132" s="2680"/>
      <c r="P132" s="2679"/>
      <c r="Q132" s="2679"/>
      <c r="R132" s="2681"/>
    </row>
    <row r="133" spans="2:18" s="903" customFormat="1">
      <c r="B133" s="2679"/>
      <c r="C133" s="2679"/>
      <c r="D133" s="2679"/>
      <c r="E133" s="2679"/>
      <c r="F133" s="2679"/>
      <c r="G133" s="2680"/>
      <c r="H133" s="2679"/>
      <c r="I133" s="2680"/>
      <c r="J133" s="2679"/>
      <c r="K133" s="2679"/>
      <c r="L133" s="2680"/>
      <c r="M133" s="2679"/>
      <c r="N133" s="2679"/>
      <c r="O133" s="2680"/>
      <c r="P133" s="2679"/>
      <c r="Q133" s="2679"/>
      <c r="R133" s="2681"/>
    </row>
    <row r="134" spans="2:18" s="903" customFormat="1">
      <c r="B134" s="2679"/>
      <c r="C134" s="2679"/>
      <c r="D134" s="2679"/>
      <c r="E134" s="2679"/>
      <c r="F134" s="2679"/>
      <c r="G134" s="2680"/>
      <c r="H134" s="2679"/>
      <c r="I134" s="2680"/>
      <c r="J134" s="2679"/>
      <c r="K134" s="2679"/>
      <c r="L134" s="2680"/>
      <c r="M134" s="2679"/>
      <c r="N134" s="2679"/>
      <c r="O134" s="2680"/>
      <c r="P134" s="2679"/>
      <c r="Q134" s="2679"/>
      <c r="R134" s="2681"/>
    </row>
    <row r="135" spans="2:18" s="903" customFormat="1">
      <c r="B135" s="2679"/>
      <c r="C135" s="2679"/>
      <c r="D135" s="2679"/>
      <c r="E135" s="2679"/>
      <c r="F135" s="2679"/>
      <c r="G135" s="2680"/>
      <c r="H135" s="2679"/>
      <c r="I135" s="2680"/>
      <c r="J135" s="2679"/>
      <c r="K135" s="2679"/>
      <c r="L135" s="2680"/>
      <c r="M135" s="2679"/>
      <c r="N135" s="2679"/>
      <c r="O135" s="2680"/>
      <c r="P135" s="2679"/>
      <c r="Q135" s="2679"/>
      <c r="R135" s="2681"/>
    </row>
    <row r="136" spans="2:18" s="903" customFormat="1">
      <c r="B136" s="2679"/>
      <c r="C136" s="2679"/>
      <c r="D136" s="2679"/>
      <c r="E136" s="2679"/>
      <c r="F136" s="2679"/>
      <c r="G136" s="2680"/>
      <c r="H136" s="2679"/>
      <c r="I136" s="2680"/>
      <c r="J136" s="2679"/>
      <c r="K136" s="2679"/>
      <c r="L136" s="2680"/>
      <c r="M136" s="2679"/>
      <c r="N136" s="2679"/>
      <c r="O136" s="2680"/>
      <c r="P136" s="2679"/>
      <c r="Q136" s="2679"/>
      <c r="R136" s="2681"/>
    </row>
    <row r="137" spans="2:18" s="903" customFormat="1">
      <c r="B137" s="2679"/>
      <c r="C137" s="2679"/>
      <c r="D137" s="2679"/>
      <c r="E137" s="2679"/>
      <c r="F137" s="2679"/>
      <c r="G137" s="2680"/>
      <c r="H137" s="2679"/>
      <c r="I137" s="2680"/>
      <c r="J137" s="2679"/>
      <c r="K137" s="2679"/>
      <c r="L137" s="2680"/>
      <c r="M137" s="2679"/>
      <c r="N137" s="2679"/>
      <c r="O137" s="2680"/>
      <c r="P137" s="2679"/>
      <c r="Q137" s="2679"/>
      <c r="R137" s="2681"/>
    </row>
    <row r="138" spans="2:18" s="903" customFormat="1">
      <c r="B138" s="2679"/>
      <c r="C138" s="2679"/>
      <c r="D138" s="2679"/>
      <c r="E138" s="2679"/>
      <c r="F138" s="2679"/>
      <c r="G138" s="2680"/>
      <c r="H138" s="2679"/>
      <c r="I138" s="2680"/>
      <c r="J138" s="2679"/>
      <c r="K138" s="2679"/>
      <c r="L138" s="2680"/>
      <c r="M138" s="2679"/>
      <c r="N138" s="2679"/>
      <c r="O138" s="2680"/>
      <c r="P138" s="2679"/>
      <c r="Q138" s="2679"/>
      <c r="R138" s="2681"/>
    </row>
    <row r="139" spans="2:18" s="903" customFormat="1">
      <c r="B139" s="2679"/>
      <c r="C139" s="2679"/>
      <c r="D139" s="2679"/>
      <c r="E139" s="2679"/>
      <c r="F139" s="2679"/>
      <c r="G139" s="2680"/>
      <c r="H139" s="2679"/>
      <c r="I139" s="2680"/>
      <c r="J139" s="2679"/>
      <c r="K139" s="2679"/>
      <c r="L139" s="2680"/>
      <c r="M139" s="2679"/>
      <c r="N139" s="2679"/>
      <c r="O139" s="2680"/>
      <c r="P139" s="2679"/>
      <c r="Q139" s="2679"/>
      <c r="R139" s="2681"/>
    </row>
    <row r="140" spans="2:18" s="903" customFormat="1">
      <c r="B140" s="2679"/>
      <c r="C140" s="2679"/>
      <c r="D140" s="2679"/>
      <c r="E140" s="2679"/>
      <c r="F140" s="2679"/>
      <c r="G140" s="2680"/>
      <c r="H140" s="2679"/>
      <c r="I140" s="2680"/>
      <c r="J140" s="2679"/>
      <c r="K140" s="2679"/>
      <c r="L140" s="2680"/>
      <c r="M140" s="2679"/>
      <c r="N140" s="2679"/>
      <c r="O140" s="2680"/>
      <c r="P140" s="2679"/>
      <c r="Q140" s="2679"/>
      <c r="R140" s="2681"/>
    </row>
    <row r="141" spans="2:18" s="903" customFormat="1">
      <c r="B141" s="2679"/>
      <c r="C141" s="2679"/>
      <c r="D141" s="2679"/>
      <c r="E141" s="2679"/>
      <c r="F141" s="2679"/>
      <c r="G141" s="2680"/>
      <c r="H141" s="2679"/>
      <c r="I141" s="2680"/>
      <c r="J141" s="2679"/>
      <c r="K141" s="2679"/>
      <c r="L141" s="2680"/>
      <c r="M141" s="2679"/>
      <c r="N141" s="2679"/>
      <c r="O141" s="2680"/>
      <c r="P141" s="2679"/>
      <c r="Q141" s="2679"/>
      <c r="R141" s="2681"/>
    </row>
    <row r="142" spans="2:18" s="903" customFormat="1">
      <c r="B142" s="2679"/>
      <c r="C142" s="2679"/>
      <c r="D142" s="2679"/>
      <c r="E142" s="2679"/>
      <c r="F142" s="2679"/>
      <c r="G142" s="2680"/>
      <c r="H142" s="2679"/>
      <c r="I142" s="2680"/>
      <c r="J142" s="2679"/>
      <c r="K142" s="2679"/>
      <c r="L142" s="2680"/>
      <c r="M142" s="2679"/>
      <c r="N142" s="2679"/>
      <c r="O142" s="2680"/>
      <c r="P142" s="2679"/>
      <c r="Q142" s="2679"/>
      <c r="R142" s="2681"/>
    </row>
    <row r="143" spans="2:18" s="903" customFormat="1">
      <c r="B143" s="2679"/>
      <c r="C143" s="2679"/>
      <c r="D143" s="2679"/>
      <c r="E143" s="2679"/>
      <c r="F143" s="2679"/>
      <c r="G143" s="2680"/>
      <c r="H143" s="2679"/>
      <c r="I143" s="2680"/>
      <c r="J143" s="2679"/>
      <c r="K143" s="2679"/>
      <c r="L143" s="2680"/>
      <c r="M143" s="2679"/>
      <c r="N143" s="2679"/>
      <c r="O143" s="2680"/>
      <c r="P143" s="2679"/>
      <c r="Q143" s="2679"/>
      <c r="R143" s="2681"/>
    </row>
    <row r="144" spans="2:18" s="903" customFormat="1">
      <c r="B144" s="2679"/>
      <c r="C144" s="2679"/>
      <c r="D144" s="2679"/>
      <c r="E144" s="2679"/>
      <c r="F144" s="2679"/>
      <c r="G144" s="2680"/>
      <c r="H144" s="2679"/>
      <c r="I144" s="2680"/>
      <c r="J144" s="2679"/>
      <c r="K144" s="2679"/>
      <c r="L144" s="2680"/>
      <c r="M144" s="2679"/>
      <c r="N144" s="2679"/>
      <c r="O144" s="2680"/>
      <c r="P144" s="2679"/>
      <c r="Q144" s="2679"/>
      <c r="R144" s="2681"/>
    </row>
    <row r="145" spans="2:18" s="903" customFormat="1">
      <c r="B145" s="2679"/>
      <c r="C145" s="2679"/>
      <c r="D145" s="2679"/>
      <c r="E145" s="2679"/>
      <c r="F145" s="2679"/>
      <c r="G145" s="2680"/>
      <c r="H145" s="2679"/>
      <c r="I145" s="2680"/>
      <c r="J145" s="2679"/>
      <c r="K145" s="2679"/>
      <c r="L145" s="2680"/>
      <c r="M145" s="2679"/>
      <c r="N145" s="2679"/>
      <c r="O145" s="2680"/>
      <c r="P145" s="2679"/>
      <c r="Q145" s="2679"/>
      <c r="R145" s="2681"/>
    </row>
    <row r="146" spans="2:18" s="903" customFormat="1">
      <c r="B146" s="2679"/>
      <c r="C146" s="2679"/>
      <c r="D146" s="2679"/>
      <c r="E146" s="2679"/>
      <c r="F146" s="2679"/>
      <c r="G146" s="2680"/>
      <c r="H146" s="2679"/>
      <c r="I146" s="2680"/>
      <c r="J146" s="2679"/>
      <c r="K146" s="2679"/>
      <c r="L146" s="2680"/>
      <c r="M146" s="2679"/>
      <c r="N146" s="2679"/>
      <c r="O146" s="2680"/>
      <c r="P146" s="2679"/>
      <c r="Q146" s="2679"/>
      <c r="R146" s="2681"/>
    </row>
    <row r="147" spans="2:18" s="903" customFormat="1">
      <c r="B147" s="2679"/>
      <c r="C147" s="2679"/>
      <c r="D147" s="2679"/>
      <c r="E147" s="2679"/>
      <c r="F147" s="2679"/>
      <c r="G147" s="2680"/>
      <c r="H147" s="2679"/>
      <c r="I147" s="2680"/>
      <c r="J147" s="2679"/>
      <c r="K147" s="2679"/>
      <c r="L147" s="2680"/>
      <c r="M147" s="2679"/>
      <c r="N147" s="2679"/>
      <c r="O147" s="2680"/>
      <c r="P147" s="2679"/>
      <c r="Q147" s="2679"/>
      <c r="R147" s="2681"/>
    </row>
    <row r="148" spans="2:18" s="903" customFormat="1">
      <c r="B148" s="2679"/>
      <c r="C148" s="2679"/>
      <c r="D148" s="2679"/>
      <c r="E148" s="2679"/>
      <c r="F148" s="2679"/>
      <c r="G148" s="2680"/>
      <c r="H148" s="2679"/>
      <c r="I148" s="2680"/>
      <c r="J148" s="2679"/>
      <c r="K148" s="2679"/>
      <c r="L148" s="2680"/>
      <c r="M148" s="2679"/>
      <c r="N148" s="2679"/>
      <c r="O148" s="2680"/>
      <c r="P148" s="2679"/>
      <c r="Q148" s="2679"/>
      <c r="R148" s="2681"/>
    </row>
    <row r="149" spans="2:18" s="903" customFormat="1">
      <c r="B149" s="2679"/>
      <c r="C149" s="2679"/>
      <c r="D149" s="2679"/>
      <c r="E149" s="2679"/>
      <c r="F149" s="2679"/>
      <c r="G149" s="2680"/>
      <c r="H149" s="2679"/>
      <c r="I149" s="2680"/>
      <c r="J149" s="2679"/>
      <c r="K149" s="2679"/>
      <c r="L149" s="2680"/>
      <c r="M149" s="2679"/>
      <c r="N149" s="2679"/>
      <c r="O149" s="2680"/>
      <c r="P149" s="2679"/>
      <c r="Q149" s="2679"/>
      <c r="R149" s="2681"/>
    </row>
    <row r="150" spans="2:18" s="903" customFormat="1">
      <c r="B150" s="2679"/>
      <c r="C150" s="2679"/>
      <c r="D150" s="2679"/>
      <c r="E150" s="2679"/>
      <c r="F150" s="2679"/>
      <c r="G150" s="2680"/>
      <c r="H150" s="2679"/>
      <c r="I150" s="2680"/>
      <c r="J150" s="2679"/>
      <c r="K150" s="2679"/>
      <c r="L150" s="2680"/>
      <c r="M150" s="2679"/>
      <c r="N150" s="2679"/>
      <c r="O150" s="2680"/>
      <c r="P150" s="2679"/>
      <c r="Q150" s="2679"/>
      <c r="R150" s="2681"/>
    </row>
    <row r="151" spans="2:18" s="903" customFormat="1">
      <c r="B151" s="2679"/>
      <c r="C151" s="2679"/>
      <c r="D151" s="2679"/>
      <c r="E151" s="2679"/>
      <c r="F151" s="2679"/>
      <c r="G151" s="2680"/>
      <c r="H151" s="2679"/>
      <c r="I151" s="2680"/>
      <c r="J151" s="2679"/>
      <c r="K151" s="2679"/>
      <c r="L151" s="2680"/>
      <c r="M151" s="2679"/>
      <c r="N151" s="2679"/>
      <c r="O151" s="2680"/>
      <c r="P151" s="2679"/>
      <c r="Q151" s="2679"/>
      <c r="R151" s="2681"/>
    </row>
    <row r="152" spans="2:18" s="903" customFormat="1">
      <c r="B152" s="2679"/>
      <c r="C152" s="2679"/>
      <c r="D152" s="2679"/>
      <c r="E152" s="2679"/>
      <c r="F152" s="2679"/>
      <c r="G152" s="2680"/>
      <c r="H152" s="2679"/>
      <c r="I152" s="2680"/>
      <c r="J152" s="2679"/>
      <c r="K152" s="2679"/>
      <c r="L152" s="2680"/>
      <c r="M152" s="2679"/>
      <c r="N152" s="2679"/>
      <c r="O152" s="2680"/>
      <c r="P152" s="2679"/>
      <c r="Q152" s="2679"/>
      <c r="R152" s="2681"/>
    </row>
    <row r="153" spans="2:18" s="903" customFormat="1">
      <c r="B153" s="2679"/>
      <c r="C153" s="2679"/>
      <c r="D153" s="2679"/>
      <c r="E153" s="2679"/>
      <c r="F153" s="2679"/>
      <c r="G153" s="2680"/>
      <c r="H153" s="2679"/>
      <c r="I153" s="2680"/>
      <c r="J153" s="2679"/>
      <c r="K153" s="2679"/>
      <c r="L153" s="2680"/>
      <c r="M153" s="2679"/>
      <c r="N153" s="2679"/>
      <c r="O153" s="2680"/>
      <c r="P153" s="2679"/>
      <c r="Q153" s="2679"/>
      <c r="R153" s="2681"/>
    </row>
    <row r="154" spans="2:18" s="903" customFormat="1">
      <c r="B154" s="2679"/>
      <c r="C154" s="2679"/>
      <c r="D154" s="2679"/>
      <c r="E154" s="2679"/>
      <c r="F154" s="2679"/>
      <c r="G154" s="2680"/>
      <c r="H154" s="2679"/>
      <c r="I154" s="2680"/>
      <c r="J154" s="2679"/>
      <c r="K154" s="2679"/>
      <c r="L154" s="2680"/>
      <c r="M154" s="2679"/>
      <c r="N154" s="2679"/>
      <c r="O154" s="2680"/>
      <c r="P154" s="2679"/>
      <c r="Q154" s="2679"/>
      <c r="R154" s="2681"/>
    </row>
    <row r="155" spans="2:18" s="903" customFormat="1">
      <c r="B155" s="2679"/>
      <c r="C155" s="2679"/>
      <c r="D155" s="2679"/>
      <c r="E155" s="2679"/>
      <c r="F155" s="2679"/>
      <c r="G155" s="2680"/>
      <c r="H155" s="2679"/>
      <c r="I155" s="2680"/>
      <c r="J155" s="2679"/>
      <c r="K155" s="2679"/>
      <c r="L155" s="2680"/>
      <c r="M155" s="2679"/>
      <c r="N155" s="2679"/>
      <c r="O155" s="2680"/>
      <c r="P155" s="2679"/>
      <c r="Q155" s="2679"/>
      <c r="R155" s="2681"/>
    </row>
    <row r="156" spans="2:18" s="903" customFormat="1">
      <c r="B156" s="2679"/>
      <c r="C156" s="2679"/>
      <c r="D156" s="2679"/>
      <c r="E156" s="2679"/>
      <c r="F156" s="2679"/>
      <c r="G156" s="2680"/>
      <c r="H156" s="2679"/>
      <c r="I156" s="2680"/>
      <c r="J156" s="2679"/>
      <c r="K156" s="2679"/>
      <c r="L156" s="2680"/>
      <c r="M156" s="2679"/>
      <c r="N156" s="2679"/>
      <c r="O156" s="2680"/>
      <c r="P156" s="2679"/>
      <c r="Q156" s="2679"/>
      <c r="R156" s="2681"/>
    </row>
    <row r="157" spans="2:18" s="903" customFormat="1">
      <c r="B157" s="2679"/>
      <c r="C157" s="2679"/>
      <c r="D157" s="2679"/>
      <c r="E157" s="2679"/>
      <c r="F157" s="2679"/>
      <c r="G157" s="2680"/>
      <c r="H157" s="2679"/>
      <c r="I157" s="2680"/>
      <c r="J157" s="2679"/>
      <c r="K157" s="2679"/>
      <c r="L157" s="2680"/>
      <c r="M157" s="2679"/>
      <c r="N157" s="2679"/>
      <c r="O157" s="2680"/>
      <c r="P157" s="2679"/>
      <c r="Q157" s="2679"/>
      <c r="R157" s="2681"/>
    </row>
    <row r="158" spans="2:18" s="903" customFormat="1">
      <c r="B158" s="2679"/>
      <c r="C158" s="2679"/>
      <c r="D158" s="2679"/>
      <c r="E158" s="2679"/>
      <c r="F158" s="2679"/>
      <c r="G158" s="2680"/>
      <c r="H158" s="2679"/>
      <c r="I158" s="2680"/>
      <c r="J158" s="2679"/>
      <c r="K158" s="2679"/>
      <c r="L158" s="2680"/>
      <c r="M158" s="2679"/>
      <c r="N158" s="2679"/>
      <c r="O158" s="2680"/>
      <c r="P158" s="2679"/>
      <c r="Q158" s="2679"/>
      <c r="R158" s="2681"/>
    </row>
    <row r="159" spans="2:18" s="903" customFormat="1">
      <c r="B159" s="2679"/>
      <c r="C159" s="2679"/>
      <c r="D159" s="2679"/>
      <c r="E159" s="2679"/>
      <c r="F159" s="2679"/>
      <c r="G159" s="2680"/>
      <c r="H159" s="2679"/>
      <c r="I159" s="2680"/>
      <c r="J159" s="2679"/>
      <c r="K159" s="2679"/>
      <c r="L159" s="2680"/>
      <c r="M159" s="2679"/>
      <c r="N159" s="2679"/>
      <c r="O159" s="2680"/>
      <c r="P159" s="2679"/>
      <c r="Q159" s="2679"/>
      <c r="R159" s="2681"/>
    </row>
    <row r="160" spans="2:18" s="903" customFormat="1">
      <c r="B160" s="2679"/>
      <c r="C160" s="2679"/>
      <c r="D160" s="2679"/>
      <c r="E160" s="2679"/>
      <c r="F160" s="2679"/>
      <c r="G160" s="2680"/>
      <c r="H160" s="2679"/>
      <c r="I160" s="2680"/>
      <c r="J160" s="2679"/>
      <c r="K160" s="2679"/>
      <c r="L160" s="2680"/>
      <c r="M160" s="2679"/>
      <c r="N160" s="2679"/>
      <c r="O160" s="2680"/>
      <c r="P160" s="2679"/>
      <c r="Q160" s="2679"/>
      <c r="R160" s="2681"/>
    </row>
    <row r="161" spans="2:18" s="903" customFormat="1">
      <c r="B161" s="2679"/>
      <c r="C161" s="2679"/>
      <c r="D161" s="2679"/>
      <c r="E161" s="2679"/>
      <c r="F161" s="2679"/>
      <c r="G161" s="2680"/>
      <c r="H161" s="2679"/>
      <c r="I161" s="2680"/>
      <c r="J161" s="2679"/>
      <c r="K161" s="2679"/>
      <c r="L161" s="2680"/>
      <c r="M161" s="2679"/>
      <c r="N161" s="2679"/>
      <c r="O161" s="2680"/>
      <c r="P161" s="2679"/>
      <c r="Q161" s="2679"/>
      <c r="R161" s="2681"/>
    </row>
    <row r="162" spans="2:18" s="903" customFormat="1">
      <c r="B162" s="2679"/>
      <c r="C162" s="2679"/>
      <c r="D162" s="2679"/>
      <c r="E162" s="2679"/>
      <c r="F162" s="2679"/>
      <c r="G162" s="2680"/>
      <c r="H162" s="2679"/>
      <c r="I162" s="2680"/>
      <c r="J162" s="2679"/>
      <c r="K162" s="2679"/>
      <c r="L162" s="2680"/>
      <c r="M162" s="2679"/>
      <c r="N162" s="2679"/>
      <c r="O162" s="2680"/>
      <c r="P162" s="2679"/>
      <c r="Q162" s="2679"/>
      <c r="R162" s="2681"/>
    </row>
    <row r="163" spans="2:18" s="903" customFormat="1">
      <c r="B163" s="2679"/>
      <c r="C163" s="2679"/>
      <c r="D163" s="2679"/>
      <c r="E163" s="2679"/>
      <c r="F163" s="2679"/>
      <c r="G163" s="2680"/>
      <c r="H163" s="2679"/>
      <c r="I163" s="2680"/>
      <c r="J163" s="2679"/>
      <c r="K163" s="2679"/>
      <c r="L163" s="2680"/>
      <c r="M163" s="2679"/>
      <c r="N163" s="2679"/>
      <c r="O163" s="2680"/>
      <c r="P163" s="2679"/>
      <c r="Q163" s="2679"/>
      <c r="R163" s="2681"/>
    </row>
    <row r="164" spans="2:18" s="903" customFormat="1">
      <c r="B164" s="2679"/>
      <c r="C164" s="2679"/>
      <c r="D164" s="2679"/>
      <c r="E164" s="2679"/>
      <c r="F164" s="2679"/>
      <c r="G164" s="2680"/>
      <c r="H164" s="2679"/>
      <c r="I164" s="2680"/>
      <c r="J164" s="2679"/>
      <c r="K164" s="2679"/>
      <c r="L164" s="2680"/>
      <c r="M164" s="2679"/>
      <c r="N164" s="2679"/>
      <c r="O164" s="2680"/>
      <c r="P164" s="2679"/>
      <c r="Q164" s="2679"/>
      <c r="R164" s="2681"/>
    </row>
    <row r="165" spans="2:18" s="903" customFormat="1">
      <c r="B165" s="2679"/>
      <c r="C165" s="2679"/>
      <c r="D165" s="2679"/>
      <c r="E165" s="2679"/>
      <c r="F165" s="2679"/>
      <c r="G165" s="2680"/>
      <c r="H165" s="2679"/>
      <c r="I165" s="2680"/>
      <c r="J165" s="2679"/>
      <c r="K165" s="2679"/>
      <c r="L165" s="2680"/>
      <c r="M165" s="2679"/>
      <c r="N165" s="2679"/>
      <c r="O165" s="2680"/>
      <c r="P165" s="2679"/>
      <c r="Q165" s="2679"/>
      <c r="R165" s="2681"/>
    </row>
    <row r="166" spans="2:18" s="903" customFormat="1">
      <c r="B166" s="2679"/>
      <c r="C166" s="2679"/>
      <c r="D166" s="2679"/>
      <c r="E166" s="2679"/>
      <c r="F166" s="2679"/>
      <c r="G166" s="2680"/>
      <c r="H166" s="2679"/>
      <c r="I166" s="2680"/>
      <c r="J166" s="2679"/>
      <c r="K166" s="2679"/>
      <c r="L166" s="2680"/>
      <c r="M166" s="2679"/>
      <c r="N166" s="2679"/>
      <c r="O166" s="2680"/>
      <c r="P166" s="2679"/>
      <c r="Q166" s="2679"/>
      <c r="R166" s="2681"/>
    </row>
    <row r="167" spans="2:18" s="903" customFormat="1">
      <c r="B167" s="2679"/>
      <c r="C167" s="2679"/>
      <c r="D167" s="2679"/>
      <c r="E167" s="2679"/>
      <c r="F167" s="2679"/>
      <c r="G167" s="2680"/>
      <c r="H167" s="2679"/>
      <c r="I167" s="2680"/>
      <c r="J167" s="2679"/>
      <c r="K167" s="2679"/>
      <c r="L167" s="2680"/>
      <c r="M167" s="2679"/>
      <c r="N167" s="2679"/>
      <c r="O167" s="2680"/>
      <c r="P167" s="2679"/>
      <c r="Q167" s="2679"/>
      <c r="R167" s="2681"/>
    </row>
    <row r="168" spans="2:18" s="903" customFormat="1">
      <c r="B168" s="2679"/>
      <c r="C168" s="2679"/>
      <c r="D168" s="2679"/>
      <c r="E168" s="2679"/>
      <c r="F168" s="2679"/>
      <c r="G168" s="2680"/>
      <c r="H168" s="2679"/>
      <c r="I168" s="2680"/>
      <c r="J168" s="2679"/>
      <c r="K168" s="2679"/>
      <c r="L168" s="2680"/>
      <c r="M168" s="2679"/>
      <c r="N168" s="2679"/>
      <c r="O168" s="2680"/>
      <c r="P168" s="2679"/>
      <c r="Q168" s="2679"/>
      <c r="R168" s="2681"/>
    </row>
    <row r="169" spans="2:18" s="903" customFormat="1">
      <c r="B169" s="2679"/>
      <c r="C169" s="2679"/>
      <c r="D169" s="2679"/>
      <c r="E169" s="2679"/>
      <c r="F169" s="2679"/>
      <c r="G169" s="2680"/>
      <c r="H169" s="2679"/>
      <c r="I169" s="2680"/>
      <c r="J169" s="2679"/>
      <c r="K169" s="2679"/>
      <c r="L169" s="2680"/>
      <c r="M169" s="2679"/>
      <c r="N169" s="2679"/>
      <c r="O169" s="2680"/>
      <c r="P169" s="2679"/>
      <c r="Q169" s="2679"/>
      <c r="R169" s="2681"/>
    </row>
    <row r="170" spans="2:18" s="903" customFormat="1">
      <c r="B170" s="2679"/>
      <c r="C170" s="2679"/>
      <c r="D170" s="2679"/>
      <c r="E170" s="2679"/>
      <c r="F170" s="2679"/>
      <c r="G170" s="2680"/>
      <c r="H170" s="2679"/>
      <c r="I170" s="2680"/>
      <c r="J170" s="2679"/>
      <c r="K170" s="2679"/>
      <c r="L170" s="2680"/>
      <c r="M170" s="2679"/>
      <c r="N170" s="2679"/>
      <c r="O170" s="2680"/>
      <c r="P170" s="2679"/>
      <c r="Q170" s="2679"/>
      <c r="R170" s="2681"/>
    </row>
    <row r="171" spans="2:18" s="903" customFormat="1">
      <c r="B171" s="2679"/>
      <c r="C171" s="2679"/>
      <c r="D171" s="2679"/>
      <c r="E171" s="2679"/>
      <c r="F171" s="2679"/>
      <c r="G171" s="2680"/>
      <c r="H171" s="2679"/>
      <c r="I171" s="2680"/>
      <c r="J171" s="2679"/>
      <c r="K171" s="2679"/>
      <c r="L171" s="2680"/>
      <c r="M171" s="2679"/>
      <c r="N171" s="2679"/>
      <c r="O171" s="2680"/>
      <c r="P171" s="2679"/>
      <c r="Q171" s="2679"/>
      <c r="R171" s="2681"/>
    </row>
    <row r="172" spans="2:18" s="903" customFormat="1">
      <c r="B172" s="2679"/>
      <c r="C172" s="2679"/>
      <c r="D172" s="2679"/>
      <c r="E172" s="2679"/>
      <c r="F172" s="2679"/>
      <c r="G172" s="2680"/>
      <c r="H172" s="2679"/>
      <c r="I172" s="2680"/>
      <c r="J172" s="2679"/>
      <c r="K172" s="2679"/>
      <c r="L172" s="2680"/>
      <c r="M172" s="2679"/>
      <c r="N172" s="2679"/>
      <c r="O172" s="2680"/>
      <c r="P172" s="2679"/>
      <c r="Q172" s="2679"/>
      <c r="R172" s="2681"/>
    </row>
    <row r="173" spans="2:18" s="903" customFormat="1">
      <c r="B173" s="2679"/>
      <c r="C173" s="2679"/>
      <c r="D173" s="2679"/>
      <c r="E173" s="2679"/>
      <c r="F173" s="2679"/>
      <c r="G173" s="2680"/>
      <c r="H173" s="2679"/>
      <c r="I173" s="2680"/>
      <c r="J173" s="2679"/>
      <c r="K173" s="2679"/>
      <c r="L173" s="2680"/>
      <c r="M173" s="2679"/>
      <c r="N173" s="2679"/>
      <c r="O173" s="2680"/>
      <c r="P173" s="2679"/>
      <c r="Q173" s="2679"/>
      <c r="R173" s="2681"/>
    </row>
    <row r="174" spans="2:18" s="903" customFormat="1">
      <c r="B174" s="2679"/>
      <c r="C174" s="2679"/>
      <c r="D174" s="2679"/>
      <c r="E174" s="2679"/>
      <c r="F174" s="2679"/>
      <c r="G174" s="2680"/>
      <c r="H174" s="2679"/>
      <c r="I174" s="2680"/>
      <c r="J174" s="2679"/>
      <c r="K174" s="2679"/>
      <c r="L174" s="2680"/>
      <c r="M174" s="2679"/>
      <c r="N174" s="2679"/>
      <c r="O174" s="2680"/>
      <c r="P174" s="2679"/>
      <c r="Q174" s="2679"/>
      <c r="R174" s="2681"/>
    </row>
    <row r="175" spans="2:18" s="903" customFormat="1">
      <c r="B175" s="2679"/>
      <c r="C175" s="2679"/>
      <c r="D175" s="2679"/>
      <c r="E175" s="2679"/>
      <c r="F175" s="2679"/>
      <c r="G175" s="2680"/>
      <c r="H175" s="2679"/>
      <c r="I175" s="2680"/>
      <c r="J175" s="2679"/>
      <c r="K175" s="2679"/>
      <c r="L175" s="2680"/>
      <c r="M175" s="2679"/>
      <c r="N175" s="2679"/>
      <c r="O175" s="2680"/>
      <c r="P175" s="2679"/>
      <c r="Q175" s="2679"/>
      <c r="R175" s="2681"/>
    </row>
    <row r="176" spans="2:18" s="903" customFormat="1">
      <c r="B176" s="2679"/>
      <c r="C176" s="2679"/>
      <c r="D176" s="2679"/>
      <c r="E176" s="2679"/>
      <c r="F176" s="2679"/>
      <c r="G176" s="2680"/>
      <c r="H176" s="2679"/>
      <c r="I176" s="2680"/>
      <c r="J176" s="2679"/>
      <c r="K176" s="2679"/>
      <c r="L176" s="2680"/>
      <c r="M176" s="2679"/>
      <c r="N176" s="2679"/>
      <c r="O176" s="2680"/>
      <c r="P176" s="2679"/>
      <c r="Q176" s="2679"/>
      <c r="R176" s="2681"/>
    </row>
    <row r="177" spans="1:18" s="903" customFormat="1">
      <c r="B177" s="2679"/>
      <c r="C177" s="2679"/>
      <c r="D177" s="2679"/>
      <c r="E177" s="2679"/>
      <c r="F177" s="2679"/>
      <c r="G177" s="2680"/>
      <c r="H177" s="2679"/>
      <c r="I177" s="2680"/>
      <c r="J177" s="2679"/>
      <c r="K177" s="2679"/>
      <c r="L177" s="2680"/>
      <c r="M177" s="2679"/>
      <c r="N177" s="2679"/>
      <c r="O177" s="2680"/>
      <c r="P177" s="2679"/>
      <c r="Q177" s="2679"/>
      <c r="R177" s="2681"/>
    </row>
    <row r="178" spans="1:18" s="903" customFormat="1">
      <c r="B178" s="2679"/>
      <c r="C178" s="2679"/>
      <c r="D178" s="2679"/>
      <c r="E178" s="2679"/>
      <c r="F178" s="2679"/>
      <c r="G178" s="2680"/>
      <c r="H178" s="2679"/>
      <c r="I178" s="2680"/>
      <c r="J178" s="2679"/>
      <c r="K178" s="2679"/>
      <c r="L178" s="2680"/>
      <c r="M178" s="2679"/>
      <c r="N178" s="2679"/>
      <c r="O178" s="2680"/>
      <c r="P178" s="2679"/>
      <c r="Q178" s="2679"/>
      <c r="R178" s="2681"/>
    </row>
    <row r="179" spans="1:18" s="903" customFormat="1">
      <c r="B179" s="2679"/>
      <c r="C179" s="2679"/>
      <c r="D179" s="2679"/>
      <c r="E179" s="2679"/>
      <c r="F179" s="2679"/>
      <c r="G179" s="2680"/>
      <c r="H179" s="2679"/>
      <c r="I179" s="2680"/>
      <c r="J179" s="2679"/>
      <c r="K179" s="2679"/>
      <c r="L179" s="2680"/>
      <c r="M179" s="2679"/>
      <c r="N179" s="2679"/>
      <c r="O179" s="2680"/>
      <c r="P179" s="2679"/>
      <c r="Q179" s="2679"/>
      <c r="R179" s="2681"/>
    </row>
    <row r="180" spans="1:18" s="903" customFormat="1">
      <c r="B180" s="2679"/>
      <c r="C180" s="2679"/>
      <c r="D180" s="2679"/>
      <c r="E180" s="2679"/>
      <c r="F180" s="2679"/>
      <c r="G180" s="2680"/>
      <c r="H180" s="2679"/>
      <c r="I180" s="2680"/>
      <c r="J180" s="2679"/>
      <c r="K180" s="2679"/>
      <c r="L180" s="2680"/>
      <c r="M180" s="2679"/>
      <c r="N180" s="2679"/>
      <c r="O180" s="2680"/>
      <c r="P180" s="2679"/>
      <c r="Q180" s="2679"/>
      <c r="R180" s="2681"/>
    </row>
    <row r="181" spans="1:18" s="903" customFormat="1">
      <c r="B181" s="2679"/>
      <c r="C181" s="2679"/>
      <c r="D181" s="2679"/>
      <c r="E181" s="2679"/>
      <c r="F181" s="2679"/>
      <c r="G181" s="2680"/>
      <c r="H181" s="2679"/>
      <c r="I181" s="2680"/>
      <c r="J181" s="2679"/>
      <c r="K181" s="2679"/>
      <c r="L181" s="2680"/>
      <c r="M181" s="2679"/>
      <c r="N181" s="2679"/>
      <c r="O181" s="2680"/>
      <c r="P181" s="2679"/>
      <c r="Q181" s="2679"/>
      <c r="R181" s="2681"/>
    </row>
    <row r="182" spans="1:18" s="903" customFormat="1">
      <c r="B182" s="2679"/>
      <c r="C182" s="2679"/>
      <c r="D182" s="2679"/>
      <c r="E182" s="2679"/>
      <c r="F182" s="2679"/>
      <c r="G182" s="2680"/>
      <c r="H182" s="2679"/>
      <c r="I182" s="2680"/>
      <c r="J182" s="2679"/>
      <c r="K182" s="2679"/>
      <c r="L182" s="2680"/>
      <c r="M182" s="2679"/>
      <c r="N182" s="2679"/>
      <c r="O182" s="2680"/>
      <c r="P182" s="2679"/>
      <c r="Q182" s="2679"/>
      <c r="R182" s="2681"/>
    </row>
    <row r="183" spans="1:18" s="903" customFormat="1">
      <c r="B183" s="2679"/>
      <c r="C183" s="2679"/>
      <c r="D183" s="2679"/>
      <c r="E183" s="2679"/>
      <c r="F183" s="2679"/>
      <c r="G183" s="2680"/>
      <c r="H183" s="2679"/>
      <c r="I183" s="2680"/>
      <c r="J183" s="2679"/>
      <c r="K183" s="2679"/>
      <c r="L183" s="2680"/>
      <c r="M183" s="2679"/>
      <c r="N183" s="2679"/>
      <c r="O183" s="2680"/>
      <c r="P183" s="2679"/>
      <c r="Q183" s="2679"/>
      <c r="R183" s="2681"/>
    </row>
    <row r="184" spans="1:18" s="903" customFormat="1">
      <c r="B184" s="2679"/>
      <c r="C184" s="2679"/>
      <c r="D184" s="2679"/>
      <c r="E184" s="2679"/>
      <c r="F184" s="2679"/>
      <c r="G184" s="2680"/>
      <c r="H184" s="2679"/>
      <c r="I184" s="2680"/>
      <c r="J184" s="2679"/>
      <c r="K184" s="2679"/>
      <c r="L184" s="2680"/>
      <c r="M184" s="2679"/>
      <c r="N184" s="2679"/>
      <c r="O184" s="2680"/>
      <c r="P184" s="2679"/>
      <c r="Q184" s="2679"/>
      <c r="R184" s="2681"/>
    </row>
    <row r="185" spans="1:18" s="903"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903"/>
      <c r="B186" s="2679"/>
      <c r="C186" s="2679"/>
      <c r="E186" s="2679"/>
      <c r="F186" s="2679"/>
      <c r="G186" s="2680"/>
    </row>
    <row r="187" spans="1:18">
      <c r="A187" s="903"/>
      <c r="B187" s="2679"/>
      <c r="C187" s="2679"/>
      <c r="E187" s="2679"/>
      <c r="F187" s="2679"/>
      <c r="G187" s="268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topLeftCell="A6" zoomScale="80" zoomScaleNormal="80" zoomScaleSheetLayoutView="80" workbookViewId="0">
      <selection activeCell="D15" sqref="D15"/>
    </sheetView>
  </sheetViews>
  <sheetFormatPr defaultColWidth="9" defaultRowHeight="13.5"/>
  <cols>
    <col min="1" max="1" width="25" style="2701" customWidth="1"/>
    <col min="2" max="9" width="15.75" style="2701" customWidth="1"/>
    <col min="10" max="16384" width="9" style="2701"/>
  </cols>
  <sheetData>
    <row r="1" spans="1:11" ht="16.5">
      <c r="A1" s="2700" t="s">
        <v>1271</v>
      </c>
      <c r="B1" s="2700">
        <f>SUM(B14:B23)</f>
        <v>63823.659999999953</v>
      </c>
      <c r="C1" s="2877"/>
      <c r="D1" s="2877"/>
      <c r="E1" s="2877"/>
      <c r="F1" s="2877"/>
      <c r="G1" s="2878"/>
      <c r="H1" s="2879"/>
      <c r="I1" s="2879"/>
      <c r="J1" s="2879"/>
      <c r="K1" s="2879"/>
    </row>
    <row r="2" spans="1:11" ht="16.5">
      <c r="A2" s="2700" t="s">
        <v>1259</v>
      </c>
      <c r="B2" s="2700">
        <f>SUM(C14:C23)</f>
        <v>15403.06</v>
      </c>
      <c r="C2" s="2877"/>
      <c r="D2" s="2877"/>
      <c r="E2" s="2877"/>
      <c r="F2" s="2877"/>
      <c r="G2" s="2878"/>
      <c r="H2" s="2879"/>
      <c r="I2" s="2879"/>
      <c r="J2" s="2879"/>
      <c r="K2" s="2879"/>
    </row>
    <row r="3" spans="1:11" ht="16.5">
      <c r="A3" s="2700" t="s">
        <v>1268</v>
      </c>
      <c r="B3" s="2702">
        <f>项目基本情况!D3</f>
        <v>44652</v>
      </c>
      <c r="C3" s="2877"/>
      <c r="D3" s="2877"/>
      <c r="E3" s="2877"/>
      <c r="F3" s="2877"/>
      <c r="G3" s="2878"/>
      <c r="H3" s="2879"/>
      <c r="I3" s="2879"/>
      <c r="J3" s="2879"/>
      <c r="K3" s="2879"/>
    </row>
    <row r="4" spans="1:11" ht="33">
      <c r="A4" s="2700" t="s">
        <v>1267</v>
      </c>
      <c r="B4" s="2700" t="s">
        <v>1266</v>
      </c>
      <c r="C4" s="2700" t="s">
        <v>1265</v>
      </c>
      <c r="D4" s="2700" t="s">
        <v>1264</v>
      </c>
      <c r="E4" s="2877"/>
      <c r="F4" s="2878"/>
      <c r="G4" s="2878"/>
      <c r="H4" s="2879"/>
      <c r="I4" s="2879"/>
      <c r="J4" s="2879"/>
      <c r="K4" s="2879"/>
    </row>
    <row r="5" spans="1:11" ht="16.5">
      <c r="A5" s="2700" t="s">
        <v>1263</v>
      </c>
      <c r="B5" s="2700">
        <f ca="1">SUM(D14:D23)</f>
        <v>66675</v>
      </c>
      <c r="C5" s="2700">
        <f ca="1">ROUND(B5*10000/$B$1,0)</f>
        <v>10447</v>
      </c>
      <c r="D5" s="2700">
        <f ca="1">ROUND(B5*10000/$B$2,0)</f>
        <v>43287</v>
      </c>
      <c r="E5" s="2877"/>
      <c r="F5" s="2878"/>
      <c r="G5" s="2878"/>
      <c r="H5" s="2879"/>
      <c r="I5" s="2879"/>
      <c r="J5" s="2879"/>
      <c r="K5" s="2879"/>
    </row>
    <row r="6" spans="1:11" ht="16.5">
      <c r="A6" s="2700" t="s">
        <v>1262</v>
      </c>
      <c r="B6" s="2700" t="e">
        <f ca="1">SUM(G14:G23)</f>
        <v>#REF!</v>
      </c>
      <c r="C6" s="2700" t="e">
        <f ca="1">ROUND(B6*10000/$B$1,0)</f>
        <v>#REF!</v>
      </c>
      <c r="D6" s="2700" t="e">
        <f ca="1">ROUND(B6*10000/$B$2,0)</f>
        <v>#REF!</v>
      </c>
      <c r="E6" s="2877"/>
      <c r="F6" s="2878"/>
      <c r="G6" s="2878"/>
      <c r="H6" s="2879"/>
      <c r="I6" s="2879"/>
      <c r="J6" s="2879"/>
      <c r="K6" s="2879"/>
    </row>
    <row r="7" spans="1:11" ht="16.5">
      <c r="A7" s="2700" t="s">
        <v>1270</v>
      </c>
      <c r="B7" s="2700">
        <f>SUM(H14:H23)</f>
        <v>0</v>
      </c>
      <c r="C7" s="2700">
        <f>ROUND(B7*10000/$B$1,0)</f>
        <v>0</v>
      </c>
      <c r="D7" s="2700">
        <f>ROUND(B7*10000/$B$2,0)</f>
        <v>0</v>
      </c>
      <c r="E7" s="2877"/>
      <c r="F7" s="2878"/>
      <c r="G7" s="2878"/>
      <c r="H7" s="2879"/>
      <c r="I7" s="2879"/>
      <c r="J7" s="2879"/>
      <c r="K7" s="2879"/>
    </row>
    <row r="8" spans="1:11" ht="16.5">
      <c r="A8" s="2700" t="s">
        <v>1193</v>
      </c>
      <c r="B8" s="2700">
        <f>SUM(I14:I23)</f>
        <v>0</v>
      </c>
      <c r="C8" s="2700">
        <f>ROUND(B8*10000/$B$1,0)</f>
        <v>0</v>
      </c>
      <c r="D8" s="2700">
        <f>ROUND(B8*10000/$B$2,0)</f>
        <v>0</v>
      </c>
      <c r="E8" s="2877"/>
      <c r="F8" s="2878"/>
      <c r="G8" s="2878"/>
      <c r="H8" s="2879"/>
      <c r="I8" s="2879"/>
      <c r="J8" s="2879"/>
      <c r="K8" s="2879"/>
    </row>
    <row r="9" spans="1:11" ht="16.5">
      <c r="A9" s="2700" t="s">
        <v>1261</v>
      </c>
      <c r="B9" s="2708"/>
      <c r="C9" s="2877"/>
      <c r="D9" s="2877"/>
      <c r="E9" s="2877"/>
      <c r="F9" s="2878"/>
      <c r="G9" s="2878"/>
      <c r="H9" s="2879"/>
      <c r="I9" s="2879"/>
      <c r="J9" s="2879"/>
      <c r="K9" s="2879"/>
    </row>
    <row r="10" spans="1:11" ht="16.5">
      <c r="A10" s="2700" t="s">
        <v>1260</v>
      </c>
      <c r="B10" s="2708"/>
      <c r="C10" s="2877"/>
      <c r="D10" s="2877"/>
      <c r="E10" s="2877"/>
      <c r="F10" s="2878"/>
      <c r="G10" s="2878"/>
      <c r="H10" s="2879"/>
      <c r="I10" s="2879"/>
      <c r="J10" s="2879"/>
      <c r="K10" s="2879"/>
    </row>
    <row r="11" spans="1:11" ht="16.5">
      <c r="A11" s="2700" t="s">
        <v>1276</v>
      </c>
      <c r="B11" s="2708"/>
      <c r="C11" s="2877"/>
      <c r="D11" s="2877"/>
      <c r="E11" s="2877"/>
      <c r="F11" s="2878"/>
      <c r="G11" s="2878"/>
      <c r="H11" s="2879"/>
      <c r="I11" s="2879"/>
      <c r="J11" s="2879"/>
      <c r="K11" s="2879"/>
    </row>
    <row r="12" spans="1:11" ht="16.5">
      <c r="A12" s="2877"/>
      <c r="B12" s="2877"/>
      <c r="C12" s="2877"/>
      <c r="D12" s="2877"/>
      <c r="E12" s="2877"/>
      <c r="F12" s="2878"/>
      <c r="G12" s="2878"/>
      <c r="H12" s="2879"/>
      <c r="I12" s="2879"/>
      <c r="J12" s="2879"/>
      <c r="K12" s="2879"/>
    </row>
    <row r="13" spans="1:11" ht="33">
      <c r="A13" s="2703" t="s">
        <v>1275</v>
      </c>
      <c r="B13" s="2704" t="s">
        <v>1272</v>
      </c>
      <c r="C13" s="2704" t="s">
        <v>1274</v>
      </c>
      <c r="D13" s="2704" t="s">
        <v>1273</v>
      </c>
      <c r="E13" s="2700" t="s">
        <v>1265</v>
      </c>
      <c r="F13" s="2700" t="s">
        <v>1264</v>
      </c>
      <c r="G13" s="2704" t="s">
        <v>1258</v>
      </c>
      <c r="H13" s="2704" t="s">
        <v>1269</v>
      </c>
      <c r="I13" s="2704" t="s">
        <v>1257</v>
      </c>
      <c r="J13" s="2878"/>
      <c r="K13" s="2879"/>
    </row>
    <row r="14" spans="1:11" ht="16.5">
      <c r="A14" s="2705" t="s">
        <v>1256</v>
      </c>
      <c r="B14" s="2706">
        <f>结果表!B118</f>
        <v>63823.659999999953</v>
      </c>
      <c r="C14" s="2706">
        <f>结果表!C118</f>
        <v>15403.06</v>
      </c>
      <c r="D14" s="2706">
        <f ca="1">结果表!G19</f>
        <v>66675</v>
      </c>
      <c r="E14" s="2706">
        <f ca="1">ROUND(D14*10000/B14,0)</f>
        <v>10447</v>
      </c>
      <c r="F14" s="2706">
        <f ca="1">ROUND(D14*10000/C14,0)</f>
        <v>43287</v>
      </c>
      <c r="G14" s="2706" t="e">
        <f ca="1">结果表!D122</f>
        <v>#REF!</v>
      </c>
      <c r="H14" s="2706" t="str">
        <f>结果表!D124</f>
        <v>——</v>
      </c>
      <c r="I14" s="2706" t="str">
        <f>结果表!D126</f>
        <v>——</v>
      </c>
      <c r="J14" s="2878"/>
      <c r="K14" s="2879"/>
    </row>
    <row r="15" spans="1:11" ht="16.5">
      <c r="A15" s="2705" t="s">
        <v>1255</v>
      </c>
      <c r="B15" s="2707"/>
      <c r="C15" s="2707"/>
      <c r="D15" s="2707"/>
      <c r="E15" s="2706" t="e">
        <f t="shared" ref="E15:E23" si="0">ROUND(D15*10000/B15,0)</f>
        <v>#DIV/0!</v>
      </c>
      <c r="F15" s="2706" t="e">
        <f t="shared" ref="F15:F23" si="1">ROUND(D15*10000/C15,0)</f>
        <v>#DIV/0!</v>
      </c>
      <c r="G15" s="1467"/>
      <c r="H15" s="1467"/>
      <c r="I15" s="2707"/>
      <c r="J15" s="2878"/>
      <c r="K15" s="2879"/>
    </row>
    <row r="16" spans="1:11" ht="16.5">
      <c r="A16" s="2705" t="s">
        <v>1254</v>
      </c>
      <c r="B16" s="2707"/>
      <c r="C16" s="2707"/>
      <c r="D16" s="2707"/>
      <c r="E16" s="2706" t="e">
        <f t="shared" si="0"/>
        <v>#DIV/0!</v>
      </c>
      <c r="F16" s="2706" t="e">
        <f t="shared" si="1"/>
        <v>#DIV/0!</v>
      </c>
      <c r="G16" s="1467"/>
      <c r="H16" s="1467"/>
      <c r="I16" s="2707"/>
      <c r="J16" s="2879"/>
      <c r="K16" s="2879"/>
    </row>
    <row r="17" spans="1:11" ht="16.5">
      <c r="A17" s="2705" t="s">
        <v>1253</v>
      </c>
      <c r="B17" s="2707"/>
      <c r="C17" s="2707"/>
      <c r="D17" s="2707"/>
      <c r="E17" s="2706" t="e">
        <f t="shared" si="0"/>
        <v>#DIV/0!</v>
      </c>
      <c r="F17" s="2706" t="e">
        <f t="shared" si="1"/>
        <v>#DIV/0!</v>
      </c>
      <c r="G17" s="1467"/>
      <c r="H17" s="1467"/>
      <c r="I17" s="2707"/>
      <c r="J17" s="2879"/>
      <c r="K17" s="2879"/>
    </row>
    <row r="18" spans="1:11" ht="16.5">
      <c r="A18" s="2705" t="s">
        <v>1252</v>
      </c>
      <c r="B18" s="2707"/>
      <c r="C18" s="2707"/>
      <c r="D18" s="2707"/>
      <c r="E18" s="2706" t="e">
        <f t="shared" si="0"/>
        <v>#DIV/0!</v>
      </c>
      <c r="F18" s="2706" t="e">
        <f t="shared" si="1"/>
        <v>#DIV/0!</v>
      </c>
      <c r="G18" s="2707"/>
      <c r="H18" s="2707"/>
      <c r="I18" s="2707"/>
      <c r="J18" s="2879"/>
      <c r="K18" s="2879"/>
    </row>
    <row r="19" spans="1:11" ht="16.5">
      <c r="A19" s="2705" t="s">
        <v>1251</v>
      </c>
      <c r="B19" s="2707"/>
      <c r="C19" s="2707"/>
      <c r="D19" s="2707"/>
      <c r="E19" s="2706" t="e">
        <f t="shared" si="0"/>
        <v>#DIV/0!</v>
      </c>
      <c r="F19" s="2706" t="e">
        <f t="shared" si="1"/>
        <v>#DIV/0!</v>
      </c>
      <c r="G19" s="2707"/>
      <c r="H19" s="2707"/>
      <c r="I19" s="2707"/>
      <c r="J19" s="2879"/>
      <c r="K19" s="2879"/>
    </row>
    <row r="20" spans="1:11" ht="16.5">
      <c r="A20" s="2705" t="s">
        <v>1250</v>
      </c>
      <c r="B20" s="2707"/>
      <c r="C20" s="2707"/>
      <c r="D20" s="2707"/>
      <c r="E20" s="2706" t="e">
        <f t="shared" si="0"/>
        <v>#DIV/0!</v>
      </c>
      <c r="F20" s="2706" t="e">
        <f t="shared" si="1"/>
        <v>#DIV/0!</v>
      </c>
      <c r="G20" s="2707"/>
      <c r="H20" s="2707"/>
      <c r="I20" s="2707"/>
      <c r="J20" s="2879"/>
      <c r="K20" s="2879"/>
    </row>
    <row r="21" spans="1:11" ht="16.5">
      <c r="A21" s="2705" t="s">
        <v>1249</v>
      </c>
      <c r="B21" s="2707"/>
      <c r="C21" s="2707"/>
      <c r="D21" s="2707"/>
      <c r="E21" s="2706" t="e">
        <f t="shared" si="0"/>
        <v>#DIV/0!</v>
      </c>
      <c r="F21" s="2706" t="e">
        <f t="shared" si="1"/>
        <v>#DIV/0!</v>
      </c>
      <c r="G21" s="2707"/>
      <c r="H21" s="2707"/>
      <c r="I21" s="2707"/>
      <c r="J21" s="2879"/>
      <c r="K21" s="2879"/>
    </row>
    <row r="22" spans="1:11" ht="16.5">
      <c r="A22" s="2705" t="s">
        <v>1248</v>
      </c>
      <c r="B22" s="2707"/>
      <c r="C22" s="2707"/>
      <c r="D22" s="2707"/>
      <c r="E22" s="2706" t="e">
        <f t="shared" si="0"/>
        <v>#DIV/0!</v>
      </c>
      <c r="F22" s="2706" t="e">
        <f t="shared" si="1"/>
        <v>#DIV/0!</v>
      </c>
      <c r="G22" s="2707"/>
      <c r="H22" s="2707"/>
      <c r="I22" s="2707"/>
      <c r="J22" s="2879"/>
      <c r="K22" s="2879"/>
    </row>
    <row r="23" spans="1:11" ht="16.5">
      <c r="A23" s="2705" t="s">
        <v>1247</v>
      </c>
      <c r="B23" s="2707"/>
      <c r="C23" s="2707"/>
      <c r="D23" s="2707"/>
      <c r="E23" s="2708" t="e">
        <f t="shared" si="0"/>
        <v>#DIV/0!</v>
      </c>
      <c r="F23" s="2708" t="e">
        <f t="shared" si="1"/>
        <v>#DIV/0!</v>
      </c>
      <c r="G23" s="2707"/>
      <c r="H23" s="2707"/>
      <c r="I23" s="2707"/>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904"/>
    <col min="3" max="4" width="12.625" style="1904" customWidth="1"/>
    <col min="5" max="9" width="12.625" style="1904"/>
    <col min="10" max="11" width="12.625" style="734" customWidth="1"/>
    <col min="12" max="12" width="12.625" style="734"/>
    <col min="13" max="13" width="14.125" style="734" bestFit="1" customWidth="1"/>
    <col min="14" max="26" width="12.625" style="734"/>
    <col min="27" max="35" width="12.625" style="1903"/>
    <col min="36" max="16384" width="12.625" style="1904"/>
  </cols>
  <sheetData>
    <row r="1" spans="1:12" ht="21.75" customHeight="1" thickBot="1">
      <c r="A1" s="1788" t="s">
        <v>1887</v>
      </c>
      <c r="B1" s="1898"/>
      <c r="C1" s="1899"/>
      <c r="D1" s="1898"/>
      <c r="E1" s="1898"/>
      <c r="F1" s="1900" t="s">
        <v>1888</v>
      </c>
      <c r="G1" s="1712"/>
      <c r="H1" s="1901" t="str">
        <f>IF(G1="现房","——","估价对象范围")</f>
        <v>估价对象范围</v>
      </c>
      <c r="I1" s="1902"/>
    </row>
    <row r="2" spans="1:12" ht="21.75" customHeight="1" thickBot="1">
      <c r="A2" s="3641" t="str">
        <f>项目基本情况!S2</f>
        <v>北京市房地产</v>
      </c>
      <c r="B2" s="3642"/>
      <c r="C2" s="3642"/>
      <c r="D2" s="3642"/>
      <c r="E2" s="3642"/>
      <c r="F2" s="3642"/>
      <c r="G2" s="3642"/>
      <c r="H2" s="3642"/>
      <c r="I2" s="3643"/>
    </row>
    <row r="3" spans="1:12" ht="12.75">
      <c r="A3" s="3645" t="s">
        <v>1889</v>
      </c>
      <c r="B3" s="3646"/>
      <c r="C3" s="3646"/>
      <c r="D3" s="3646"/>
      <c r="E3" s="3646"/>
      <c r="F3" s="3646"/>
      <c r="G3" s="3646"/>
      <c r="H3" s="3646"/>
      <c r="I3" s="3646"/>
    </row>
    <row r="4" spans="1:12" ht="14.25">
      <c r="A4" s="1905" t="s">
        <v>1890</v>
      </c>
      <c r="B4" s="1906" t="s">
        <v>1891</v>
      </c>
      <c r="C4" s="1907" t="s">
        <v>3270</v>
      </c>
      <c r="D4" s="1907" t="s">
        <v>3493</v>
      </c>
      <c r="E4" s="3647" t="s">
        <v>1892</v>
      </c>
      <c r="F4" s="3648"/>
      <c r="G4" s="3648"/>
      <c r="H4" s="3648"/>
      <c r="I4" s="36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621" t="s">
        <v>1893</v>
      </c>
      <c r="B5" s="3608">
        <v>25</v>
      </c>
      <c r="C5" s="3624"/>
      <c r="D5" s="3644"/>
      <c r="E5" s="136" t="s">
        <v>1894</v>
      </c>
      <c r="F5" s="1908"/>
      <c r="G5" s="1908"/>
      <c r="H5" s="1908"/>
      <c r="I5" s="1523"/>
    </row>
    <row r="6" spans="1:12" ht="12.75">
      <c r="A6" s="3621"/>
      <c r="B6" s="3608"/>
      <c r="C6" s="3625"/>
      <c r="D6" s="3644"/>
      <c r="E6" s="136" t="s">
        <v>1895</v>
      </c>
      <c r="F6" s="1908"/>
      <c r="G6" s="1908"/>
      <c r="H6" s="1908"/>
      <c r="I6" s="1523"/>
    </row>
    <row r="7" spans="1:12" ht="12.75">
      <c r="A7" s="3621"/>
      <c r="B7" s="3608"/>
      <c r="C7" s="3626"/>
      <c r="D7" s="3644"/>
      <c r="E7" s="136" t="s">
        <v>1896</v>
      </c>
      <c r="F7" s="1908"/>
      <c r="G7" s="1908"/>
      <c r="H7" s="1908"/>
      <c r="I7" s="1523"/>
    </row>
    <row r="8" spans="1:12" ht="12.75">
      <c r="A8" s="3621" t="s">
        <v>1897</v>
      </c>
      <c r="B8" s="3608">
        <v>15</v>
      </c>
      <c r="C8" s="3624"/>
      <c r="D8" s="3644"/>
      <c r="E8" s="136" t="s">
        <v>1898</v>
      </c>
      <c r="F8" s="1908"/>
      <c r="G8" s="1908"/>
      <c r="H8" s="1908"/>
      <c r="I8" s="1523"/>
    </row>
    <row r="9" spans="1:12" ht="12.75">
      <c r="A9" s="3621"/>
      <c r="B9" s="3608"/>
      <c r="C9" s="3626"/>
      <c r="D9" s="3644"/>
      <c r="E9" s="136" t="s">
        <v>1899</v>
      </c>
      <c r="F9" s="1908"/>
      <c r="G9" s="1908"/>
      <c r="H9" s="1908"/>
      <c r="I9" s="1523"/>
    </row>
    <row r="10" spans="1:12" ht="12.75">
      <c r="A10" s="3621" t="s">
        <v>1900</v>
      </c>
      <c r="B10" s="3608">
        <v>15</v>
      </c>
      <c r="C10" s="3624"/>
      <c r="D10" s="3644"/>
      <c r="E10" s="136" t="s">
        <v>1901</v>
      </c>
      <c r="F10" s="1908"/>
      <c r="G10" s="1908"/>
      <c r="H10" s="1908"/>
      <c r="I10" s="1523"/>
    </row>
    <row r="11" spans="1:12" ht="12.75">
      <c r="A11" s="3621"/>
      <c r="B11" s="3608"/>
      <c r="C11" s="3626"/>
      <c r="D11" s="3644"/>
      <c r="E11" s="136" t="s">
        <v>1902</v>
      </c>
      <c r="F11" s="1908"/>
      <c r="G11" s="1908"/>
      <c r="H11" s="1908"/>
      <c r="I11" s="1523"/>
    </row>
    <row r="12" spans="1:12" ht="12.75">
      <c r="A12" s="3621" t="s">
        <v>1903</v>
      </c>
      <c r="B12" s="3608">
        <v>15</v>
      </c>
      <c r="C12" s="3624"/>
      <c r="D12" s="3644"/>
      <c r="E12" s="136" t="s">
        <v>1904</v>
      </c>
      <c r="F12" s="1908"/>
      <c r="G12" s="1908"/>
      <c r="H12" s="1908"/>
      <c r="I12" s="1523"/>
    </row>
    <row r="13" spans="1:12" ht="12.75">
      <c r="A13" s="3621"/>
      <c r="B13" s="3608"/>
      <c r="C13" s="3626"/>
      <c r="D13" s="3644"/>
      <c r="E13" s="136" t="s">
        <v>1905</v>
      </c>
      <c r="F13" s="1908"/>
      <c r="G13" s="1908"/>
      <c r="H13" s="1908"/>
      <c r="I13" s="1523"/>
    </row>
    <row r="14" spans="1:12" ht="12.75">
      <c r="A14" s="3621" t="s">
        <v>1906</v>
      </c>
      <c r="B14" s="3608">
        <v>30</v>
      </c>
      <c r="C14" s="3624">
        <v>5.5</v>
      </c>
      <c r="D14" s="3644">
        <f>10-C14</f>
        <v>4.5</v>
      </c>
      <c r="E14" s="136" t="s">
        <v>1907</v>
      </c>
      <c r="F14" s="1908"/>
      <c r="G14" s="1908"/>
      <c r="H14" s="1908"/>
      <c r="I14" s="1523"/>
    </row>
    <row r="15" spans="1:12" ht="12.75">
      <c r="A15" s="3621"/>
      <c r="B15" s="3608"/>
      <c r="C15" s="3625"/>
      <c r="D15" s="3644"/>
      <c r="E15" s="136" t="s">
        <v>1908</v>
      </c>
      <c r="F15" s="1908"/>
      <c r="G15" s="1908"/>
      <c r="H15" s="1908"/>
      <c r="I15" s="1523"/>
    </row>
    <row r="16" spans="1:12" ht="12.75">
      <c r="A16" s="3621"/>
      <c r="B16" s="3608"/>
      <c r="C16" s="3626"/>
      <c r="D16" s="3644"/>
      <c r="E16" s="136" t="s">
        <v>1909</v>
      </c>
      <c r="F16" s="1908"/>
      <c r="G16" s="1908"/>
      <c r="H16" s="1908"/>
      <c r="I16" s="1523"/>
    </row>
    <row r="17" spans="1:36" ht="15">
      <c r="A17" s="1909" t="s">
        <v>1910</v>
      </c>
      <c r="B17" s="60"/>
      <c r="C17" s="137">
        <f>SUM(C5:C16)</f>
        <v>5.5</v>
      </c>
      <c r="D17" s="137">
        <f>SUM(D5:D16)</f>
        <v>4.5</v>
      </c>
      <c r="E17" s="134"/>
      <c r="F17" s="134"/>
      <c r="G17" s="134"/>
      <c r="H17" s="134"/>
      <c r="I17" s="134"/>
      <c r="K17" s="308"/>
      <c r="L17" s="308" t="s">
        <v>1911</v>
      </c>
      <c r="M17" s="308" t="s">
        <v>1912</v>
      </c>
    </row>
    <row r="18" spans="1:36" ht="31.9" customHeight="1" thickBot="1">
      <c r="A18" s="1910" t="s">
        <v>1913</v>
      </c>
      <c r="B18" s="1911"/>
      <c r="C18" s="138">
        <f>ROUND(C17/SUM(C17:D17),2)</f>
        <v>0.55000000000000004</v>
      </c>
      <c r="D18" s="138">
        <f>1-C18</f>
        <v>0.44999999999999996</v>
      </c>
      <c r="E18" s="3631" t="s">
        <v>2812</v>
      </c>
      <c r="F18" s="3632"/>
      <c r="G18" s="3632"/>
      <c r="H18" s="3632"/>
      <c r="I18" s="3632"/>
      <c r="K18" s="308" t="s">
        <v>1914</v>
      </c>
      <c r="L18" s="308">
        <f>IF(C1="",'数据-汇总表'!E3,SUMIF(项目类型,C1,'数据-汇总表'!E17:E26)+SUMIF(项目类型,C1,'数据-汇总表'!I17:I26))</f>
        <v>63823.659999999953</v>
      </c>
      <c r="M18" s="308">
        <f>IF(C1="",'数据-汇总表'!E3,SUMIF(项目类型,C1,'数据-汇总表'!E17:E26))</f>
        <v>63823.659999999953</v>
      </c>
    </row>
    <row r="19" spans="1:36" ht="15">
      <c r="A19" s="1912" t="s">
        <v>1915</v>
      </c>
      <c r="B19" s="1913" t="s">
        <v>1916</v>
      </c>
      <c r="C19" s="139">
        <f ca="1">SUMIF(INDIRECT("'"&amp;C4&amp;"'"&amp;"!A:A"),结果表!B19,INDIRECT("'"&amp;C4&amp;"'"&amp;"!B:B"))</f>
        <v>82096</v>
      </c>
      <c r="D19" s="140">
        <f ca="1">SUMIF(INDIRECT("'"&amp;D4&amp;"'"&amp;"!A:A"),结果表!B19,INDIRECT("'"&amp;D4&amp;"'"&amp;"!B:B"))</f>
        <v>47828</v>
      </c>
      <c r="E19" s="1912" t="s">
        <v>1917</v>
      </c>
      <c r="F19" s="1913" t="s">
        <v>1916</v>
      </c>
      <c r="G19" s="141">
        <f ca="1">ROUND(C19*$C$18+D19*$D$18,0)</f>
        <v>66675</v>
      </c>
      <c r="H19" s="1914" t="s">
        <v>1918</v>
      </c>
      <c r="I19" s="134"/>
      <c r="K19" s="308" t="s">
        <v>1919</v>
      </c>
      <c r="L19" s="308">
        <f>IF(C1="",'数据-汇总表'!D3,SUMIF(项目类型,C1,'数据-汇总表'!D17:D26)+SUMIF(项目类型,C1,'数据-汇总表'!H17:H27))</f>
        <v>15403.06</v>
      </c>
      <c r="M19" s="308">
        <f>IF(C1="",'数据-汇总表'!D3,SUMIF(项目类型,C1,'数据-汇总表'!D17:D26))</f>
        <v>15403.06</v>
      </c>
    </row>
    <row r="20" spans="1:36" ht="15">
      <c r="A20" s="1915"/>
      <c r="B20" s="1153" t="s">
        <v>1920</v>
      </c>
      <c r="C20" s="142">
        <f ca="1">SUMIF(INDIRECT("'"&amp;C4&amp;"'"&amp;"!A:A"),结果表!B20,INDIRECT("'"&amp;C4&amp;"'"&amp;"!B:B"))</f>
        <v>12863</v>
      </c>
      <c r="D20" s="143">
        <f ca="1">SUMIF(INDIRECT("'"&amp;D4&amp;"'"&amp;"!A:A"),结果表!B20,INDIRECT("'"&amp;D4&amp;"'"&amp;"!B:B"))</f>
        <v>7494</v>
      </c>
      <c r="E20" s="1915"/>
      <c r="F20" s="1153" t="s">
        <v>1920</v>
      </c>
      <c r="G20" s="144">
        <f ca="1">ROUND(C20*$C$18+D20*$D$18,0)</f>
        <v>10447</v>
      </c>
      <c r="H20" s="913" t="s">
        <v>1921</v>
      </c>
      <c r="I20" s="134"/>
    </row>
    <row r="21" spans="1:36" ht="15" customHeight="1" thickBot="1">
      <c r="A21" s="933"/>
      <c r="B21" s="1916" t="s">
        <v>1922</v>
      </c>
      <c r="C21" s="728">
        <f ca="1">ROUND(C19*10000/L19,0)</f>
        <v>53299</v>
      </c>
      <c r="D21" s="729">
        <f ca="1">ROUND(D19*10000/L19,0)</f>
        <v>31051</v>
      </c>
      <c r="E21" s="933"/>
      <c r="F21" s="1916" t="s">
        <v>1922</v>
      </c>
      <c r="G21" s="145">
        <f ca="1">ROUND(G19*10000/L19,0)</f>
        <v>43287</v>
      </c>
      <c r="H21" s="1917" t="s">
        <v>1921</v>
      </c>
      <c r="I21" s="134"/>
    </row>
    <row r="22" spans="1:36" ht="15" thickBot="1">
      <c r="A22" s="1839" t="s">
        <v>1923</v>
      </c>
      <c r="B22" s="1918"/>
      <c r="C22" s="1919"/>
      <c r="D22" s="730">
        <f ca="1">IF(C19&lt;D19,D19/C19-1,C19/D19-1)</f>
        <v>0.71648406791001085</v>
      </c>
      <c r="E22" s="134"/>
      <c r="F22" s="134"/>
      <c r="G22" s="134"/>
      <c r="H22" s="134"/>
      <c r="I22" s="134"/>
    </row>
    <row r="23" spans="1:36" ht="13.5" thickBot="1">
      <c r="A23" s="1898"/>
      <c r="B23" s="1898"/>
      <c r="C23" s="1898"/>
      <c r="D23" s="1898"/>
      <c r="E23" s="134"/>
      <c r="F23" s="134"/>
      <c r="G23" s="134"/>
      <c r="H23" s="134"/>
      <c r="I23" s="134"/>
    </row>
    <row r="24" spans="1:36" ht="14.25">
      <c r="A24" s="3615" t="s">
        <v>1924</v>
      </c>
      <c r="B24" s="1913" t="s">
        <v>1916</v>
      </c>
      <c r="C24" s="141">
        <f>IF(B30=0,0,D30)</f>
        <v>0</v>
      </c>
      <c r="D24" s="1920"/>
      <c r="E24" s="134"/>
      <c r="F24" s="134"/>
      <c r="G24" s="134"/>
      <c r="H24" s="134"/>
      <c r="I24" s="134"/>
    </row>
    <row r="25" spans="1:36" ht="14.25">
      <c r="A25" s="3616"/>
      <c r="B25" s="1153" t="s">
        <v>1920</v>
      </c>
      <c r="C25" s="146">
        <f>IF(B30=0,0,C30)</f>
        <v>0</v>
      </c>
      <c r="D25" s="1921"/>
      <c r="E25" s="134"/>
      <c r="F25" s="134"/>
      <c r="G25" s="134"/>
      <c r="H25" s="134"/>
      <c r="I25" s="134"/>
    </row>
    <row r="26" spans="1:36" ht="13.5" customHeight="1">
      <c r="A26" s="1922" t="s">
        <v>1925</v>
      </c>
      <c r="B26" s="147" t="s">
        <v>1926</v>
      </c>
      <c r="C26" s="147" t="s">
        <v>1927</v>
      </c>
      <c r="D26" s="148" t="s">
        <v>1928</v>
      </c>
      <c r="E26" s="134"/>
      <c r="F26" s="134"/>
      <c r="G26" s="134"/>
      <c r="H26" s="134"/>
      <c r="I26" s="134"/>
    </row>
    <row r="27" spans="1:36" ht="14.25">
      <c r="A27" s="1922"/>
      <c r="B27" s="147">
        <v>0</v>
      </c>
      <c r="C27" s="147">
        <v>0</v>
      </c>
      <c r="D27" s="148">
        <f>ROUND(C27*B27/10000,0)</f>
        <v>0</v>
      </c>
      <c r="E27" s="134"/>
      <c r="F27" s="134"/>
      <c r="G27" s="134"/>
      <c r="H27" s="134"/>
      <c r="I27" s="134"/>
    </row>
    <row r="28" spans="1:36" ht="14.25">
      <c r="A28" s="1922"/>
      <c r="B28" s="147"/>
      <c r="C28" s="147"/>
      <c r="D28" s="148"/>
      <c r="E28" s="134"/>
      <c r="F28" s="134"/>
      <c r="G28" s="134"/>
      <c r="H28" s="134"/>
      <c r="I28" s="134"/>
    </row>
    <row r="29" spans="1:36" ht="14.25">
      <c r="A29" s="1922"/>
      <c r="B29" s="147"/>
      <c r="C29" s="147"/>
      <c r="D29" s="148"/>
      <c r="E29" s="134"/>
      <c r="F29" s="134"/>
      <c r="G29" s="134"/>
      <c r="H29" s="134"/>
      <c r="I29" s="134"/>
    </row>
    <row r="30" spans="1:36" ht="15" thickBot="1">
      <c r="A30" s="147" t="s">
        <v>1929</v>
      </c>
      <c r="B30" s="147"/>
      <c r="C30" s="147"/>
      <c r="D30" s="147"/>
      <c r="E30" s="2484" t="s">
        <v>2813</v>
      </c>
      <c r="F30" s="134"/>
      <c r="G30" s="134"/>
      <c r="H30" s="134"/>
      <c r="I30" s="134"/>
    </row>
    <row r="31" spans="1:36" s="2490" customFormat="1" ht="26.45" customHeight="1" thickTop="1" thickBot="1">
      <c r="A31" s="2485"/>
      <c r="B31" s="2486"/>
      <c r="C31" s="2486"/>
      <c r="D31" s="2486"/>
      <c r="E31" s="2486"/>
      <c r="F31" s="2486"/>
      <c r="G31" s="2486"/>
      <c r="H31" s="2486"/>
      <c r="I31" s="2487" t="s">
        <v>2814</v>
      </c>
      <c r="J31" s="2880"/>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4" t="s">
        <v>1930</v>
      </c>
      <c r="B32" s="1925"/>
      <c r="C32" s="149">
        <f ca="1">IF(D32="总价",G19-C24,G20-C25)</f>
        <v>10447</v>
      </c>
      <c r="D32" s="1926"/>
      <c r="E32" s="134"/>
      <c r="F32" s="134"/>
      <c r="G32" s="134"/>
      <c r="H32" s="134"/>
      <c r="I32" s="134"/>
    </row>
    <row r="33" spans="1:15" ht="15">
      <c r="A33" s="890" t="s">
        <v>1931</v>
      </c>
      <c r="B33" s="1927"/>
      <c r="C33" s="1928"/>
      <c r="D33" s="1929"/>
      <c r="E33" s="1930" t="s">
        <v>1932</v>
      </c>
      <c r="F33" s="1931" t="str">
        <f>IF(D32="楼面单价","取值（单价）","取值（总价）")</f>
        <v>取值（总价）</v>
      </c>
      <c r="G33" s="134"/>
      <c r="H33" s="134"/>
      <c r="I33" s="134"/>
    </row>
    <row r="34" spans="1:15" ht="15">
      <c r="A34" s="1932"/>
      <c r="B34" s="1933" t="s">
        <v>1933</v>
      </c>
      <c r="C34" s="153" t="e">
        <f ca="1">IF(C33="自定义",F34,C32-C35)</f>
        <v>#REF!</v>
      </c>
      <c r="D34" s="966" t="e">
        <f ca="1">IF(C33="自定义",ROUND(C34/C32,3),IF(C33="收益比率",SUMIF(INDIRECT("'"&amp;D33&amp;"'"&amp;"!b:b"),"土地收益比率",INDIRECT("'"&amp;D33&amp;"'"&amp;"!c:c")),SUMIF(INDIRECT("'"&amp;D33&amp;"'"&amp;"!b:b"),"土地成本比率",INDIRECT("'"&amp;D33&amp;"'"&amp;"!c:c"))))</f>
        <v>#REF!</v>
      </c>
      <c r="E34" s="1934" t="s">
        <v>1934</v>
      </c>
      <c r="F34" s="1466"/>
      <c r="G34" s="134"/>
      <c r="H34" s="134"/>
      <c r="I34" s="134"/>
    </row>
    <row r="35" spans="1:15" ht="15.75" thickBot="1">
      <c r="A35" s="1935"/>
      <c r="B35" s="1936" t="s">
        <v>1935</v>
      </c>
      <c r="C35" s="1300" t="e">
        <f ca="1">IF(C33="自定义",F35,ROUND(C32*D35,0))</f>
        <v>#REF!</v>
      </c>
      <c r="D35" s="1301" t="e">
        <f ca="1">IF(C33="自定义",ROUND(C35/C32,3),IF(C33="收益比率",SUMIF(INDIRECT("'"&amp;D33&amp;"'"&amp;"!b:b"),"建筑物收益比率",INDIRECT("'"&amp;D33&amp;"'"&amp;"!c:c")),SUMIF(INDIRECT("'"&amp;D33&amp;"'"&amp;"!b:b"),"建筑物成本比率",INDIRECT("'"&amp;D33&amp;"'"&amp;"!c:c"))))</f>
        <v>#REF!</v>
      </c>
      <c r="E35" s="1937" t="s">
        <v>1936</v>
      </c>
      <c r="F35" s="159"/>
      <c r="G35" s="134"/>
      <c r="H35" s="134"/>
      <c r="I35" s="134"/>
    </row>
    <row r="36" spans="1:15" ht="15.75" thickBot="1">
      <c r="A36" s="3635" t="s">
        <v>1937</v>
      </c>
      <c r="B36" s="1938" t="s">
        <v>1938</v>
      </c>
      <c r="C36" s="150"/>
      <c r="D36" s="1939"/>
      <c r="E36" s="1940"/>
      <c r="F36" s="1941"/>
      <c r="G36" s="134"/>
      <c r="H36" s="134"/>
      <c r="I36" s="134"/>
    </row>
    <row r="37" spans="1:15" ht="15.75" thickBot="1">
      <c r="A37" s="3636"/>
      <c r="B37" s="1825" t="s">
        <v>1939</v>
      </c>
      <c r="C37" s="152"/>
      <c r="D37" s="1269"/>
      <c r="E37" s="1269"/>
      <c r="F37" s="1941"/>
      <c r="G37" s="134"/>
      <c r="H37" s="134"/>
      <c r="I37" s="134"/>
    </row>
    <row r="38" spans="1:15" ht="15.75" thickBot="1">
      <c r="A38" s="3637"/>
      <c r="B38" s="1942" t="s">
        <v>1940</v>
      </c>
      <c r="C38" s="683"/>
      <c r="D38" s="1943" t="s">
        <v>1941</v>
      </c>
      <c r="E38" s="1269"/>
      <c r="F38" s="1941"/>
      <c r="G38" s="134"/>
      <c r="H38" s="134"/>
      <c r="I38" s="134"/>
    </row>
    <row r="39" spans="1:15" ht="15">
      <c r="A39" s="1915" t="s">
        <v>1942</v>
      </c>
      <c r="B39" s="1944" t="s">
        <v>1943</v>
      </c>
      <c r="C39" s="1945" t="s">
        <v>1944</v>
      </c>
      <c r="D39" s="1945" t="s">
        <v>1945</v>
      </c>
      <c r="E39" s="1946" t="s">
        <v>1946</v>
      </c>
      <c r="F39" s="1941"/>
      <c r="G39" s="134"/>
      <c r="H39" s="134"/>
      <c r="I39" s="134"/>
    </row>
    <row r="40" spans="1:15" ht="14.25">
      <c r="A40" s="1947" t="s">
        <v>1947</v>
      </c>
      <c r="B40" s="154"/>
      <c r="C40" s="155"/>
      <c r="D40" s="155"/>
      <c r="E40" s="156"/>
      <c r="F40" s="1941"/>
      <c r="G40" s="134"/>
      <c r="H40" s="134"/>
      <c r="I40" s="134"/>
    </row>
    <row r="41" spans="1:15" ht="14.25">
      <c r="A41" s="1947" t="s">
        <v>1948</v>
      </c>
      <c r="B41" s="154"/>
      <c r="C41" s="155"/>
      <c r="D41" s="155"/>
      <c r="E41" s="156"/>
      <c r="F41" s="1941"/>
      <c r="G41" s="134"/>
      <c r="H41" s="134"/>
      <c r="I41" s="134"/>
    </row>
    <row r="42" spans="1:15" ht="15" thickBot="1">
      <c r="A42" s="1948"/>
      <c r="B42" s="157"/>
      <c r="C42" s="158"/>
      <c r="D42" s="158"/>
      <c r="E42" s="159"/>
      <c r="F42" s="1941"/>
      <c r="G42" s="134"/>
      <c r="H42" s="134"/>
      <c r="I42" s="134"/>
    </row>
    <row r="43" spans="1:15" ht="12.75">
      <c r="A43" s="1728"/>
      <c r="B43" s="1728"/>
      <c r="C43" s="1728"/>
      <c r="D43" s="1728"/>
      <c r="E43" s="1728"/>
      <c r="F43" s="1949"/>
      <c r="G43" s="1949"/>
      <c r="H43" s="1949"/>
      <c r="I43" s="1950"/>
    </row>
    <row r="44" spans="1:15" ht="18.75">
      <c r="A44" s="1951" t="s">
        <v>1949</v>
      </c>
      <c r="B44" s="1952"/>
      <c r="C44" s="1952"/>
      <c r="D44" s="1953"/>
      <c r="E44" s="1953"/>
      <c r="F44" s="1954"/>
      <c r="G44" s="1954"/>
      <c r="H44" s="1954"/>
      <c r="I44" s="1954"/>
      <c r="J44" s="1955" t="s">
        <v>1950</v>
      </c>
      <c r="K44" s="1956"/>
      <c r="L44" s="1956"/>
      <c r="M44" s="1956"/>
      <c r="N44" s="1956"/>
      <c r="O44" s="1956"/>
    </row>
    <row r="45" spans="1:15" ht="14.25" customHeight="1" thickBot="1">
      <c r="A45" s="3612" t="s">
        <v>1951</v>
      </c>
      <c r="B45" s="3613"/>
      <c r="C45" s="3614"/>
      <c r="D45" s="160" t="e">
        <f ca="1">ROUND(H101*F45,0)</f>
        <v>#REF!</v>
      </c>
      <c r="E45" s="161" t="s">
        <v>1952</v>
      </c>
      <c r="F45" s="162">
        <v>1</v>
      </c>
      <c r="G45" s="163" t="s">
        <v>1953</v>
      </c>
      <c r="H45" s="134"/>
      <c r="I45" s="134"/>
      <c r="J45" s="3693" t="s">
        <v>1954</v>
      </c>
      <c r="K45" s="3693"/>
      <c r="L45" s="3693"/>
      <c r="M45" s="3693"/>
      <c r="N45" s="3693"/>
      <c r="O45" s="3693"/>
    </row>
    <row r="46" spans="1:15" ht="14.25" customHeight="1">
      <c r="A46" s="3609" t="s">
        <v>1955</v>
      </c>
      <c r="B46" s="3610"/>
      <c r="C46" s="3610"/>
      <c r="D46" s="3610"/>
      <c r="E46" s="3610"/>
      <c r="F46" s="3610"/>
      <c r="G46" s="3611"/>
      <c r="H46" s="1957"/>
      <c r="I46" s="164"/>
      <c r="J46" s="2711">
        <v>1</v>
      </c>
      <c r="K46" s="3674" t="s">
        <v>1956</v>
      </c>
      <c r="L46" s="3674"/>
      <c r="M46" s="3694"/>
      <c r="N46" s="3694"/>
      <c r="O46" s="3694"/>
    </row>
    <row r="47" spans="1:15" ht="12" customHeight="1">
      <c r="A47" s="165" t="s">
        <v>1957</v>
      </c>
      <c r="B47" s="166"/>
      <c r="C47" s="167"/>
      <c r="D47" s="1215" t="s">
        <v>1958</v>
      </c>
      <c r="E47" s="308" t="s">
        <v>1959</v>
      </c>
      <c r="F47" s="168" t="s">
        <v>1960</v>
      </c>
      <c r="G47" s="2734" t="s">
        <v>1961</v>
      </c>
      <c r="H47" s="2735"/>
      <c r="I47" s="164"/>
      <c r="J47" s="2711">
        <v>2</v>
      </c>
      <c r="K47" s="3674" t="s">
        <v>1962</v>
      </c>
      <c r="L47" s="3674"/>
      <c r="M47" s="3695">
        <f>'数据-取费表'!B2</f>
        <v>44652</v>
      </c>
      <c r="N47" s="3695"/>
      <c r="O47" s="3695"/>
    </row>
    <row r="48" spans="1:15" ht="25.5">
      <c r="A48" s="3640" t="s">
        <v>1963</v>
      </c>
      <c r="B48" s="3623"/>
      <c r="C48" s="3623"/>
      <c r="D48" s="2510" t="b">
        <f>IF(H48="情况1",0,IF(H48="情况2",D52,IF(H48="情况3",D53,IF(H48="情况4",D54))))</f>
        <v>0</v>
      </c>
      <c r="E48" s="2520" t="str">
        <f>IF(H48="情况4","(销售额-原购置价)×税（费）率","销售额×税（费）率")</f>
        <v>销售额×税（费）率</v>
      </c>
      <c r="F48" s="2736">
        <f>IF(H48="情况1","免征",'数据-取费表'!B41)</f>
        <v>1.575E-2</v>
      </c>
      <c r="G48" s="2737" t="s">
        <v>1964</v>
      </c>
      <c r="H48" s="2738"/>
      <c r="I48" s="1957"/>
      <c r="J48" s="2711">
        <v>3</v>
      </c>
      <c r="K48" s="3674" t="s">
        <v>1965</v>
      </c>
      <c r="L48" s="3674"/>
      <c r="M48" s="3696" t="e">
        <f ca="1">H101</f>
        <v>#REF!</v>
      </c>
      <c r="N48" s="3696"/>
      <c r="O48" s="3696"/>
    </row>
    <row r="49" spans="1:35" ht="25.5" customHeight="1">
      <c r="A49" s="2519" t="s">
        <v>1966</v>
      </c>
      <c r="B49" s="3607" t="s">
        <v>1967</v>
      </c>
      <c r="C49" s="3607"/>
      <c r="D49" s="1741">
        <v>0</v>
      </c>
      <c r="E49" s="330" t="s">
        <v>1968</v>
      </c>
      <c r="F49" s="2613" t="s">
        <v>34</v>
      </c>
      <c r="G49" s="3680"/>
      <c r="H49" s="2491" t="s">
        <v>2815</v>
      </c>
      <c r="I49" s="2492"/>
      <c r="J49" s="2711">
        <v>4</v>
      </c>
      <c r="K49" s="3674" t="str">
        <f>IF(项目基本情况!E8="房地产抵押价值","房地产抵押价值","抵押担保权已注销时的房地产抵押价值")</f>
        <v>抵押担保权已注销时的房地产抵押价值</v>
      </c>
      <c r="L49" s="3674"/>
      <c r="M49" s="3696" t="str">
        <f>IF(项目基本情况!E8="房地产抵押价值",H107,H109)</f>
        <v>——</v>
      </c>
      <c r="N49" s="3696"/>
      <c r="O49" s="3696"/>
    </row>
    <row r="50" spans="1:35" ht="25.5" customHeight="1">
      <c r="A50" s="2739"/>
      <c r="B50" s="3607" t="s">
        <v>1969</v>
      </c>
      <c r="C50" s="3607"/>
      <c r="D50" s="2740"/>
      <c r="E50" s="338"/>
      <c r="F50" s="2613"/>
      <c r="G50" s="3681"/>
      <c r="H50" s="2493" t="s">
        <v>2816</v>
      </c>
      <c r="I50" s="2492"/>
      <c r="J50" s="3693" t="s">
        <v>1970</v>
      </c>
      <c r="K50" s="3693"/>
      <c r="L50" s="3693"/>
      <c r="M50" s="3693"/>
      <c r="N50" s="3693"/>
      <c r="O50" s="3693"/>
    </row>
    <row r="51" spans="1:35" ht="20.45" customHeight="1">
      <c r="A51" s="2741"/>
      <c r="B51" s="3607" t="s">
        <v>1971</v>
      </c>
      <c r="C51" s="3607"/>
      <c r="D51" s="1215"/>
      <c r="E51" s="333"/>
      <c r="F51" s="2613"/>
      <c r="G51" s="3682"/>
      <c r="H51" s="2493" t="s">
        <v>2817</v>
      </c>
      <c r="I51" s="2492"/>
      <c r="J51" s="2712" t="s">
        <v>1972</v>
      </c>
      <c r="K51" s="3674" t="s">
        <v>1973</v>
      </c>
      <c r="L51" s="3674"/>
      <c r="M51" s="2712" t="s">
        <v>1974</v>
      </c>
      <c r="N51" s="2712" t="s">
        <v>1975</v>
      </c>
      <c r="O51" s="2712" t="s">
        <v>1976</v>
      </c>
    </row>
    <row r="52" spans="1:35" ht="24" customHeight="1">
      <c r="A52" s="2521" t="s">
        <v>1977</v>
      </c>
      <c r="B52" s="3607" t="s">
        <v>1978</v>
      </c>
      <c r="C52" s="3607"/>
      <c r="D52" s="1215" t="e">
        <f ca="1">ROUND(D45*'数据-取费表'!B41/(1+'数据-取费表'!C42),0)</f>
        <v>#REF!</v>
      </c>
      <c r="E52" s="2520" t="s">
        <v>1979</v>
      </c>
      <c r="F52" s="2742">
        <f>'数据-取费表'!B41</f>
        <v>1.575E-2</v>
      </c>
      <c r="G52" s="2743"/>
      <c r="H52" s="2732"/>
      <c r="I52" s="1958"/>
      <c r="J52" s="2711">
        <v>1</v>
      </c>
      <c r="K52" s="3675" t="s">
        <v>1980</v>
      </c>
      <c r="L52" s="3675"/>
      <c r="M52" s="2713" t="b">
        <f>D48</f>
        <v>0</v>
      </c>
      <c r="N52" s="2711" t="str">
        <f>E48</f>
        <v>销售额×税（费）率</v>
      </c>
      <c r="O52" s="2714">
        <f>F48</f>
        <v>1.575E-2</v>
      </c>
    </row>
    <row r="53" spans="1:35" ht="12" customHeight="1">
      <c r="A53" s="2521" t="s">
        <v>1981</v>
      </c>
      <c r="B53" s="3633" t="s">
        <v>2974</v>
      </c>
      <c r="C53" s="3634"/>
      <c r="D53" s="1215" t="e">
        <f ca="1">ROUND(D45*'数据-取费表'!B41/(1+'数据-取费表'!C42),0)</f>
        <v>#REF!</v>
      </c>
      <c r="E53" s="2520" t="s">
        <v>1979</v>
      </c>
      <c r="F53" s="2742">
        <f>'数据-取费表'!B41</f>
        <v>1.575E-2</v>
      </c>
      <c r="G53" s="2743"/>
      <c r="H53" s="2732"/>
      <c r="I53" s="1958"/>
      <c r="J53" s="2711">
        <v>2</v>
      </c>
      <c r="K53" s="3675" t="s">
        <v>1982</v>
      </c>
      <c r="L53" s="3675"/>
      <c r="M53" s="2713" t="e">
        <f t="shared" ref="M53:O54" ca="1" si="0">D55</f>
        <v>#REF!</v>
      </c>
      <c r="N53" s="2711" t="str">
        <f t="shared" si="0"/>
        <v>销售额×税（费）率</v>
      </c>
      <c r="O53" s="2714" t="str">
        <f t="shared" si="0"/>
        <v>免征</v>
      </c>
    </row>
    <row r="54" spans="1:35" ht="12" customHeight="1">
      <c r="A54" s="2521" t="s">
        <v>1983</v>
      </c>
      <c r="B54" s="3633" t="s">
        <v>2975</v>
      </c>
      <c r="C54" s="3634"/>
      <c r="D54" s="1215" t="e">
        <f ca="1">C68</f>
        <v>#REF!</v>
      </c>
      <c r="E54" s="333" t="s">
        <v>1984</v>
      </c>
      <c r="F54" s="2742">
        <f>'数据-取费表'!B41</f>
        <v>1.575E-2</v>
      </c>
      <c r="G54" s="2743"/>
      <c r="H54" s="2744"/>
      <c r="I54" s="1958"/>
      <c r="J54" s="2711">
        <v>3</v>
      </c>
      <c r="K54" s="3675" t="s">
        <v>1985</v>
      </c>
      <c r="L54" s="3675"/>
      <c r="M54" s="2713" t="e">
        <f t="shared" ca="1" si="0"/>
        <v>#REF!</v>
      </c>
      <c r="N54" s="2711" t="str">
        <f t="shared" si="0"/>
        <v>增值额×税（费）率</v>
      </c>
      <c r="O54" s="2715" t="str">
        <f t="shared" si="0"/>
        <v>免征</v>
      </c>
    </row>
    <row r="55" spans="1:35" ht="24" customHeight="1">
      <c r="A55" s="3622" t="s">
        <v>1986</v>
      </c>
      <c r="B55" s="3623"/>
      <c r="C55" s="3623"/>
      <c r="D55" s="2510" t="e">
        <f ca="1">IF(H55="个人住宅",0,ROUND(D45*I55,0))</f>
        <v>#REF!</v>
      </c>
      <c r="E55" s="2520" t="s">
        <v>1987</v>
      </c>
      <c r="F55" s="2742" t="str">
        <f>IF(H55="正常",I55,"免征")</f>
        <v>免征</v>
      </c>
      <c r="G55" s="2743"/>
      <c r="H55" s="2738"/>
      <c r="I55" s="170">
        <f>'数据-取费表'!B49</f>
        <v>5.0000000000000001E-4</v>
      </c>
      <c r="J55" s="2711">
        <f>IF(H59="非个人房产","",4)</f>
        <v>4</v>
      </c>
      <c r="K55" s="3675" t="str">
        <f>IF(H59="非个人房产","——","个人所得税")</f>
        <v>个人所得税</v>
      </c>
      <c r="L55" s="3675"/>
      <c r="M55" s="2716" t="e">
        <f ca="1">D59</f>
        <v>#REF!</v>
      </c>
      <c r="N55" s="2191" t="str">
        <f>E59</f>
        <v>差额计税</v>
      </c>
      <c r="O55" s="2717">
        <f>F59</f>
        <v>0.01</v>
      </c>
    </row>
    <row r="56" spans="1:35" ht="24.75">
      <c r="A56" s="3622" t="s">
        <v>1988</v>
      </c>
      <c r="B56" s="3623"/>
      <c r="C56" s="3623"/>
      <c r="D56" s="2510" t="e">
        <f ca="1">IF(H56="个人住宅",D57,D58)</f>
        <v>#REF!</v>
      </c>
      <c r="E56" s="2520" t="s">
        <v>1989</v>
      </c>
      <c r="F56" s="2742" t="str">
        <f>IF(H56="正常",F58,"免征")</f>
        <v>免征</v>
      </c>
      <c r="G56" s="2745" t="s">
        <v>1990</v>
      </c>
      <c r="H56" s="2746"/>
      <c r="I56" s="1959"/>
      <c r="J56" s="2711" t="str">
        <f>IF(项目基本情况!K6="上海银行",IF(J55="",4,J55+1),"")</f>
        <v/>
      </c>
      <c r="K56" s="3698" t="str">
        <f>IF(项目基本情况!K6="上海银行","其他处置费用","")</f>
        <v/>
      </c>
      <c r="L56" s="3699"/>
      <c r="M56" s="2713" t="str">
        <f>IF(项目基本情况!K6="上海银行",M69,"")</f>
        <v/>
      </c>
      <c r="N56" s="3698" t="str">
        <f>IF(项目基本情况!K6="上海银行","包含处置中涉及的律师、诉讼、拍卖、评估等费用","")</f>
        <v/>
      </c>
      <c r="O56" s="3701"/>
    </row>
    <row r="57" spans="1:35" ht="12.75">
      <c r="A57" s="2521" t="s">
        <v>1966</v>
      </c>
      <c r="B57" s="3633" t="s">
        <v>1991</v>
      </c>
      <c r="C57" s="3634"/>
      <c r="D57" s="1741">
        <v>0</v>
      </c>
      <c r="E57" s="330" t="s">
        <v>1968</v>
      </c>
      <c r="F57" s="308"/>
      <c r="G57" s="2743"/>
      <c r="H57" s="2747"/>
      <c r="I57" s="1959"/>
      <c r="J57" s="3675">
        <f>IF(AND(J55="",J56=""),4,IF(项目基本情况!K6="上海银行",结果表!J56+1,结果表!J55+1))</f>
        <v>5</v>
      </c>
      <c r="K57" s="3675" t="s">
        <v>1992</v>
      </c>
      <c r="L57" s="2718" t="s">
        <v>1993</v>
      </c>
      <c r="M57" s="2719"/>
      <c r="N57" s="2720">
        <f ca="1">SUMIF(M52:M56,"&lt;9e307")</f>
        <v>0</v>
      </c>
      <c r="O57" s="2721"/>
      <c r="P57" s="2881" t="e">
        <f ca="1">N57/M49</f>
        <v>#VALUE!</v>
      </c>
    </row>
    <row r="58" spans="1:35" ht="24.75">
      <c r="A58" s="2521" t="s">
        <v>1977</v>
      </c>
      <c r="B58" s="3633" t="s">
        <v>1994</v>
      </c>
      <c r="C58" s="3607"/>
      <c r="D58" s="2510" t="e">
        <f ca="1">IF(H58="转让取得",C81,C97)</f>
        <v>#REF!</v>
      </c>
      <c r="E58" s="2520" t="s">
        <v>1989</v>
      </c>
      <c r="F58" s="308" t="s">
        <v>34</v>
      </c>
      <c r="G58" s="2743"/>
      <c r="H58" s="2746"/>
      <c r="I58" s="1959"/>
      <c r="J58" s="3675"/>
      <c r="K58" s="3675"/>
      <c r="L58" s="2718" t="s">
        <v>1995</v>
      </c>
      <c r="M58" s="2722"/>
      <c r="N58" s="2723" t="str">
        <f ca="1">NUMBERSTRING(INT(N57*10000),2)&amp;"元整"</f>
        <v>零元整</v>
      </c>
      <c r="O58" s="2724"/>
    </row>
    <row r="59" spans="1:35" ht="24.75" thickBot="1">
      <c r="A59" s="3678" t="s">
        <v>1996</v>
      </c>
      <c r="B59" s="3679"/>
      <c r="C59" s="3679"/>
      <c r="D59" s="2748" t="e">
        <f ca="1">IF(H59="非个人房产","——",IF(H59="个人住宅（满五唯一有凭证）",0,IF(H59="个人其他（无凭证）",ROUND(D45*F59,0),ROUND(C67*F59,0))))</f>
        <v>#REF!</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1990</v>
      </c>
      <c r="H59" s="2495"/>
      <c r="I59" s="2494" t="s">
        <v>2818</v>
      </c>
      <c r="J59" s="3676">
        <f>J57+1</f>
        <v>6</v>
      </c>
      <c r="K59" s="3675" t="s">
        <v>1997</v>
      </c>
      <c r="L59" s="2711" t="s">
        <v>1993</v>
      </c>
      <c r="M59" s="2725"/>
      <c r="N59" s="2726" t="e">
        <f ca="1">M49-N57</f>
        <v>#VALUE!</v>
      </c>
      <c r="O59" s="2727"/>
    </row>
    <row r="60" spans="1:35" ht="12" customHeight="1">
      <c r="A60" s="1960"/>
      <c r="B60" s="1898"/>
      <c r="C60" s="1898"/>
      <c r="D60" s="1898"/>
      <c r="E60" s="1729"/>
      <c r="F60" s="1959"/>
      <c r="G60" s="1959"/>
      <c r="H60" s="1961"/>
      <c r="I60" s="134"/>
      <c r="J60" s="3677"/>
      <c r="K60" s="3675"/>
      <c r="L60" s="2718" t="s">
        <v>1995</v>
      </c>
      <c r="M60" s="2722"/>
      <c r="N60" s="2723" t="e">
        <f ca="1">NUMBERSTRING(INT(N59*10000),2)&amp;"元整"</f>
        <v>#VALUE!</v>
      </c>
      <c r="O60" s="2724"/>
    </row>
    <row r="61" spans="1:35" ht="13.5" thickBot="1">
      <c r="A61" s="3620" t="s">
        <v>1998</v>
      </c>
      <c r="B61" s="3620"/>
      <c r="C61" s="3620"/>
      <c r="D61" s="3620"/>
      <c r="E61" s="3620"/>
      <c r="F61" s="1959"/>
      <c r="G61" s="1959"/>
      <c r="H61" s="1961"/>
      <c r="I61" s="134"/>
      <c r="J61" s="2711">
        <f>J59+1</f>
        <v>7</v>
      </c>
      <c r="K61" s="3675" t="s">
        <v>1999</v>
      </c>
      <c r="L61" s="3675"/>
      <c r="M61" s="2728"/>
      <c r="N61" s="2729" t="e">
        <f ca="1">ROUND(N59*10000/'数据-汇总表'!E3,0)</f>
        <v>#VALUE!</v>
      </c>
      <c r="O61" s="2730"/>
    </row>
    <row r="62" spans="1:35" ht="12.75">
      <c r="A62" s="3638" t="s">
        <v>2000</v>
      </c>
      <c r="B62" s="3639"/>
      <c r="C62" s="2172"/>
      <c r="D62" s="2172" t="s">
        <v>2001</v>
      </c>
      <c r="E62" s="171" t="s">
        <v>2002</v>
      </c>
      <c r="F62" s="1959"/>
      <c r="G62" s="1959"/>
      <c r="H62" s="1961"/>
      <c r="I62" s="134"/>
    </row>
    <row r="63" spans="1:35" ht="12.75">
      <c r="A63" s="178" t="s">
        <v>775</v>
      </c>
      <c r="B63" s="172" t="s">
        <v>2003</v>
      </c>
      <c r="C63" s="2752" t="e">
        <f ca="1">ROUND((C64+C65)/(1+'数据-取费表'!C42),0)</f>
        <v>#REF!</v>
      </c>
      <c r="D63" s="172"/>
      <c r="E63" s="173"/>
      <c r="F63" s="1959"/>
      <c r="G63" s="1959"/>
      <c r="H63" s="1961"/>
      <c r="I63" s="134"/>
      <c r="J63" s="3700" t="s">
        <v>2004</v>
      </c>
      <c r="K63" s="1468" t="s">
        <v>2005</v>
      </c>
      <c r="L63" s="1468" t="e">
        <f>IF(M49&gt;10000,M49*0.5%,IF(AND(M49&gt;1000,M49&lt;=10000),M49*1%,IF(AND(M49&gt;100,M49&lt;=1000),M49*3%,IF(AND(M49&gt;10,M49&lt;=100),M49*5%,M49*8%))))</f>
        <v>#VALUE!</v>
      </c>
      <c r="M63" s="308" t="e">
        <f>ROUND(L63,1)</f>
        <v>#VALUE!</v>
      </c>
      <c r="N63" s="2731"/>
      <c r="Z63" s="1903"/>
      <c r="AI63" s="1904"/>
    </row>
    <row r="64" spans="1:35" ht="14.25" customHeight="1">
      <c r="A64" s="174" t="s">
        <v>770</v>
      </c>
      <c r="B64" s="175" t="s">
        <v>2006</v>
      </c>
      <c r="C64" s="2753" t="e">
        <f ca="1">D45</f>
        <v>#REF!</v>
      </c>
      <c r="D64" s="175" t="s">
        <v>32</v>
      </c>
      <c r="E64" s="177"/>
      <c r="F64" s="1959"/>
      <c r="G64" s="1959"/>
      <c r="H64" s="1961"/>
      <c r="I64" s="134"/>
      <c r="J64" s="3700"/>
      <c r="K64" s="1468" t="s">
        <v>2007</v>
      </c>
      <c r="L64" s="1468"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32" t="s">
        <v>2008</v>
      </c>
      <c r="Z64" s="1903"/>
      <c r="AI64" s="1904"/>
    </row>
    <row r="65" spans="1:35" ht="14.25" customHeight="1">
      <c r="A65" s="174" t="s">
        <v>771</v>
      </c>
      <c r="B65" s="175" t="s">
        <v>2009</v>
      </c>
      <c r="C65" s="2754"/>
      <c r="D65" s="175"/>
      <c r="E65" s="177"/>
      <c r="F65" s="1959"/>
      <c r="G65" s="1959"/>
      <c r="H65" s="1961"/>
      <c r="I65" s="134"/>
      <c r="J65" s="3700"/>
      <c r="K65" s="1468" t="s">
        <v>2010</v>
      </c>
      <c r="L65" s="1468" t="e">
        <f>IF(M49&gt;1000,M49*0.1%,IF(AND(M49&gt;500,M49&lt;=1000),M49*0.5%,IF(AND(M49&gt;50,M49&lt;=500),M49*1%,IF(AND(M49&gt;1,M49&lt;=50),M49*1.5%))))</f>
        <v>#VALUE!</v>
      </c>
      <c r="M65" s="308" t="e">
        <f t="shared" si="1"/>
        <v>#VALUE!</v>
      </c>
      <c r="N65" s="2732" t="s">
        <v>2008</v>
      </c>
      <c r="Z65" s="1903"/>
      <c r="AI65" s="1904"/>
    </row>
    <row r="66" spans="1:35" ht="14.25" customHeight="1">
      <c r="A66" s="178" t="s">
        <v>772</v>
      </c>
      <c r="B66" s="179" t="s">
        <v>2011</v>
      </c>
      <c r="C66" s="2755"/>
      <c r="D66" s="179" t="s">
        <v>32</v>
      </c>
      <c r="E66" s="1475" t="s">
        <v>1277</v>
      </c>
      <c r="F66" s="1959"/>
      <c r="G66" s="1959"/>
      <c r="H66" s="1961"/>
      <c r="I66" s="134"/>
      <c r="J66" s="3700"/>
      <c r="K66" s="1468" t="s">
        <v>2012</v>
      </c>
      <c r="L66" s="1468" t="e">
        <f>M49*0.5%</f>
        <v>#VALUE!</v>
      </c>
      <c r="M66" s="308" t="e">
        <f>IF(L66&gt;0.5,0.5,ROUND(L66,0))</f>
        <v>#VALUE!</v>
      </c>
      <c r="N66" s="2732" t="s">
        <v>2013</v>
      </c>
      <c r="Z66" s="1903"/>
      <c r="AI66" s="1904"/>
    </row>
    <row r="67" spans="1:35" ht="14.25" customHeight="1">
      <c r="A67" s="178" t="s">
        <v>773</v>
      </c>
      <c r="B67" s="179" t="s">
        <v>2014</v>
      </c>
      <c r="C67" s="2756" t="e">
        <f ca="1">C63-C66</f>
        <v>#REF!</v>
      </c>
      <c r="D67" s="175" t="s">
        <v>32</v>
      </c>
      <c r="E67" s="177"/>
      <c r="F67" s="1959"/>
      <c r="G67" s="1959"/>
      <c r="H67" s="1961"/>
      <c r="I67" s="134"/>
      <c r="J67" s="3700"/>
      <c r="K67" s="1468" t="s">
        <v>2015</v>
      </c>
      <c r="L67" s="1468"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1"/>
      <c r="Z67" s="1903"/>
      <c r="AI67" s="1904"/>
    </row>
    <row r="68" spans="1:35" ht="14.25" customHeight="1" thickBot="1">
      <c r="A68" s="181" t="s">
        <v>774</v>
      </c>
      <c r="B68" s="182" t="s">
        <v>2016</v>
      </c>
      <c r="C68" s="2757" t="e">
        <f ca="1">IF(C67&lt;=0,0,ROUND(C67*D68,0))</f>
        <v>#REF!</v>
      </c>
      <c r="D68" s="2758">
        <f>'数据-取费表'!B41</f>
        <v>1.575E-2</v>
      </c>
      <c r="E68" s="184"/>
      <c r="F68" s="1959"/>
      <c r="G68" s="1959"/>
      <c r="H68" s="1961"/>
      <c r="I68" s="134"/>
      <c r="J68" s="3700"/>
      <c r="K68" s="1468" t="s">
        <v>2017</v>
      </c>
      <c r="L68" s="1468" t="e">
        <f>IF(M49&gt;10000,M49*0.5%,IF(AND(M49&gt;5000,M49&lt;=10000),M49*1%,IF(AND(M49&gt;1000,M49&lt;=5000),M49*2%,IF(AND(M49&gt;200,M49&lt;=1000),M49*3%,M49*5%))))</f>
        <v>#VALUE!</v>
      </c>
      <c r="M68" s="308" t="e">
        <f>ROUND(L68,1)</f>
        <v>#VALUE!</v>
      </c>
      <c r="N68" s="2731"/>
      <c r="Z68" s="1903"/>
      <c r="AI68" s="1904"/>
    </row>
    <row r="69" spans="1:35" s="1923" customFormat="1" ht="16.5" customHeight="1">
      <c r="A69" s="1962"/>
      <c r="B69" s="1963"/>
      <c r="C69" s="1964"/>
      <c r="D69" s="1965"/>
      <c r="E69" s="1966"/>
      <c r="F69" s="1729"/>
      <c r="G69" s="1729"/>
      <c r="H69" s="1728"/>
      <c r="I69" s="1898"/>
      <c r="J69" s="3700"/>
      <c r="K69" s="1468" t="s">
        <v>2018</v>
      </c>
      <c r="L69" s="1468"/>
      <c r="M69" s="308" t="e">
        <f>ROUND(SUM(M63:M68),0)</f>
        <v>#VALUE!</v>
      </c>
      <c r="N69" s="2733" t="e">
        <f>M69/M49</f>
        <v>#VALUE!</v>
      </c>
      <c r="O69" s="734"/>
      <c r="P69" s="734"/>
      <c r="Q69" s="734"/>
      <c r="R69" s="734"/>
      <c r="S69" s="734"/>
      <c r="T69" s="734"/>
      <c r="U69" s="734"/>
      <c r="V69" s="734"/>
      <c r="W69" s="734"/>
      <c r="X69" s="734"/>
      <c r="Y69" s="734"/>
      <c r="Z69" s="1903"/>
      <c r="AA69" s="1903"/>
      <c r="AB69" s="1903"/>
      <c r="AC69" s="1903"/>
      <c r="AD69" s="1903"/>
      <c r="AE69" s="1903"/>
      <c r="AF69" s="1903"/>
      <c r="AG69" s="1903"/>
      <c r="AH69" s="1903"/>
    </row>
    <row r="70" spans="1:35" s="1968" customFormat="1" ht="15" thickBot="1">
      <c r="A70" s="3659" t="s">
        <v>2019</v>
      </c>
      <c r="B70" s="3660"/>
      <c r="C70" s="3660"/>
      <c r="D70" s="3660"/>
      <c r="E70" s="3660"/>
      <c r="F70" s="3660"/>
      <c r="G70" s="3660"/>
      <c r="H70" s="3660"/>
      <c r="I70" s="1967"/>
      <c r="J70" s="2882"/>
      <c r="K70" s="2882"/>
      <c r="L70" s="2882"/>
      <c r="M70" s="2882"/>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638" t="s">
        <v>2000</v>
      </c>
      <c r="B71" s="3639"/>
      <c r="C71" s="2172"/>
      <c r="D71" s="2172" t="s">
        <v>2001</v>
      </c>
      <c r="E71" s="185" t="s">
        <v>2002</v>
      </c>
      <c r="F71" s="186"/>
      <c r="G71" s="186"/>
      <c r="H71" s="187"/>
      <c r="I71" s="1971"/>
      <c r="J71" s="2882"/>
      <c r="K71" s="2882"/>
      <c r="L71" s="2882"/>
      <c r="M71" s="2882"/>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8" t="s">
        <v>775</v>
      </c>
      <c r="B72" s="179" t="s">
        <v>2020</v>
      </c>
      <c r="C72" s="2756" t="e">
        <f ca="1">ROUND(D45/(1+'数据-取费表'!C42),0)</f>
        <v>#REF!</v>
      </c>
      <c r="D72" s="175" t="s">
        <v>32</v>
      </c>
      <c r="E72" s="2517"/>
      <c r="F72" s="2516"/>
      <c r="G72" s="2516"/>
      <c r="H72" s="188"/>
      <c r="I72" s="1971"/>
      <c r="J72" s="2882"/>
      <c r="K72" s="2882"/>
      <c r="L72" s="2882"/>
      <c r="M72" s="2882"/>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8" t="s">
        <v>772</v>
      </c>
      <c r="B73" s="168" t="s">
        <v>2021</v>
      </c>
      <c r="C73" s="2756" t="e">
        <f ca="1">C74+C78</f>
        <v>#REF!</v>
      </c>
      <c r="D73" s="175" t="s">
        <v>32</v>
      </c>
      <c r="E73" s="2517"/>
      <c r="F73" s="2516"/>
      <c r="G73" s="2516"/>
      <c r="H73" s="188"/>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4" t="s">
        <v>770</v>
      </c>
      <c r="B74" s="175" t="s">
        <v>2022</v>
      </c>
      <c r="C74" s="175">
        <f>ROUND(IF(G77="2016年5月1日后购买",C75/(1+'数据-取费表'!C42)+C76+C77,C75+C76+C77),0)</f>
        <v>0</v>
      </c>
      <c r="D74" s="175" t="s">
        <v>32</v>
      </c>
      <c r="E74" s="2517"/>
      <c r="F74" s="2516"/>
      <c r="G74" s="2516"/>
      <c r="H74" s="188"/>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4" t="s">
        <v>776</v>
      </c>
      <c r="B75" s="175" t="s">
        <v>2023</v>
      </c>
      <c r="C75" s="2759"/>
      <c r="D75" s="175" t="s">
        <v>32</v>
      </c>
      <c r="E75" s="190" t="s">
        <v>2024</v>
      </c>
      <c r="F75" s="2760"/>
      <c r="G75" s="190" t="s">
        <v>2025</v>
      </c>
      <c r="H75" s="2761"/>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4" t="s">
        <v>777</v>
      </c>
      <c r="B76" s="191" t="s">
        <v>2026</v>
      </c>
      <c r="C76" s="175">
        <f>IF(F75="购房发票",ROUND(C75*H75*D76,0),0)</f>
        <v>0</v>
      </c>
      <c r="D76" s="2762">
        <v>0.05</v>
      </c>
      <c r="E76" s="3633" t="s">
        <v>2027</v>
      </c>
      <c r="F76" s="3607"/>
      <c r="G76" s="3607"/>
      <c r="H76" s="3658"/>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4" t="s">
        <v>778</v>
      </c>
      <c r="B77" s="175" t="s">
        <v>2028</v>
      </c>
      <c r="C77" s="175">
        <f>ROUND(IF(G77="个人住宅",0,IF(G77="2016年5月1日前购买",C75*D77,C75*D77/(1+'数据-取费表'!C42))),0)</f>
        <v>0</v>
      </c>
      <c r="D77" s="2763">
        <f>'数据-取费表'!B48+'数据-取费表'!B49</f>
        <v>3.0499999999999999E-2</v>
      </c>
      <c r="E77" s="2510" t="s">
        <v>2029</v>
      </c>
      <c r="F77" s="192"/>
      <c r="G77" s="1973"/>
      <c r="H77" s="2518"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4" t="s">
        <v>771</v>
      </c>
      <c r="B78" s="175" t="s">
        <v>2030</v>
      </c>
      <c r="C78" s="2764" t="e">
        <f ca="1">ROUND(D45*D78/(1+'数据-取费表'!C42),0)</f>
        <v>#REF!</v>
      </c>
      <c r="D78" s="2765">
        <f>'数据-取费表'!B43</f>
        <v>7.5000000000000002E-4</v>
      </c>
      <c r="E78" s="3617" t="s">
        <v>2031</v>
      </c>
      <c r="F78" s="3618"/>
      <c r="G78" s="3618"/>
      <c r="H78" s="3627"/>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8" t="s">
        <v>779</v>
      </c>
      <c r="B79" s="179" t="s">
        <v>2032</v>
      </c>
      <c r="C79" s="2756" t="e">
        <f ca="1">C72-C73</f>
        <v>#REF!</v>
      </c>
      <c r="D79" s="175" t="s">
        <v>32</v>
      </c>
      <c r="E79" s="2517"/>
      <c r="F79" s="2516"/>
      <c r="G79" s="2516"/>
      <c r="H79" s="188"/>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8" t="s">
        <v>780</v>
      </c>
      <c r="B80" s="179" t="s">
        <v>2033</v>
      </c>
      <c r="C80" s="2766" t="e">
        <f ca="1">IF(C79&lt;=0,0,C79/C73)</f>
        <v>#REF!</v>
      </c>
      <c r="D80" s="175" t="s">
        <v>32</v>
      </c>
      <c r="E80" s="2510" t="e">
        <f ca="1">IF(C80&gt;=200%,"增值额超过扣除项目金额200%",IF(C80&gt;=100%,"增值额超过扣除项目金额100%，未超过200%",IF(C80&gt;=50%,"增值额超过扣除项目金额50%，未超过100%",IF(C80&lt;50%,"增值额未超过扣除项目金额50%"))))</f>
        <v>#REF!</v>
      </c>
      <c r="F80" s="2516"/>
      <c r="G80" s="2516"/>
      <c r="H80" s="188"/>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81" t="s">
        <v>781</v>
      </c>
      <c r="B81" s="182" t="s">
        <v>2034</v>
      </c>
      <c r="C81" s="2767" t="e">
        <f ca="1">ROUND(IF(C79&lt;=0,0,IF(C80&gt;=200%,C79*60%-C73*35%,IF(C80&gt;=100%,C79*50%-C73*15%,IF(C80&gt;=50%,C79*40%-C73*5%,IF(C80&lt;50%,C79*30%,0))))),0)</f>
        <v>#REF!</v>
      </c>
      <c r="D81" s="276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9"/>
      <c r="B82" s="690"/>
      <c r="C82" s="7"/>
      <c r="D82" s="7"/>
      <c r="E82" s="690"/>
      <c r="F82" s="690"/>
      <c r="G82" s="690"/>
      <c r="H82" s="691"/>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659" t="s">
        <v>2035</v>
      </c>
      <c r="B83" s="3660"/>
      <c r="C83" s="3660"/>
      <c r="D83" s="3660"/>
      <c r="E83" s="3660"/>
      <c r="F83" s="3660"/>
      <c r="G83" s="3660"/>
      <c r="H83" s="3660"/>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638" t="s">
        <v>2000</v>
      </c>
      <c r="B84" s="3639"/>
      <c r="C84" s="2172"/>
      <c r="D84" s="2172" t="s">
        <v>2001</v>
      </c>
      <c r="E84" s="185" t="s">
        <v>2002</v>
      </c>
      <c r="F84" s="186"/>
      <c r="G84" s="186"/>
      <c r="H84" s="197"/>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8" t="s">
        <v>775</v>
      </c>
      <c r="B85" s="179" t="s">
        <v>2020</v>
      </c>
      <c r="C85" s="2756" t="e">
        <f ca="1">ROUND(D45/(1+'数据-取费表'!C42),0)</f>
        <v>#REF!</v>
      </c>
      <c r="D85" s="175" t="s">
        <v>32</v>
      </c>
      <c r="E85" s="2517"/>
      <c r="F85" s="2516"/>
      <c r="G85" s="2516"/>
      <c r="H85" s="198"/>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8" t="s">
        <v>772</v>
      </c>
      <c r="B86" s="168" t="s">
        <v>2021</v>
      </c>
      <c r="C86" s="2756" t="e">
        <f ca="1">IF(H88="仅含出让金",C87+C90+C91+C92+C93+C94,C87+C91+C92+C93+C94)</f>
        <v>#REF!</v>
      </c>
      <c r="D86" s="2769"/>
      <c r="E86" s="2517"/>
      <c r="F86" s="2516"/>
      <c r="G86" s="2516"/>
      <c r="H86" s="198"/>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4" t="s">
        <v>770</v>
      </c>
      <c r="B87" s="175" t="s">
        <v>2036</v>
      </c>
      <c r="C87" s="2764">
        <f>C88+C89</f>
        <v>0</v>
      </c>
      <c r="D87" s="2765"/>
      <c r="E87" s="2512"/>
      <c r="F87" s="2513"/>
      <c r="G87" s="2513"/>
      <c r="H87" s="2514"/>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4" t="s">
        <v>776</v>
      </c>
      <c r="B88" s="175" t="s">
        <v>2037</v>
      </c>
      <c r="C88" s="2770"/>
      <c r="D88" s="2765"/>
      <c r="E88" s="199" t="s">
        <v>2038</v>
      </c>
      <c r="F88" s="2513"/>
      <c r="G88" s="200" t="s">
        <v>2039</v>
      </c>
      <c r="H88" s="1975"/>
      <c r="I88" s="1972"/>
      <c r="J88" s="2709" t="s">
        <v>2971</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4" t="s">
        <v>777</v>
      </c>
      <c r="B89" s="175" t="s">
        <v>2028</v>
      </c>
      <c r="C89" s="2764">
        <f>ROUND(C88*D89,0)</f>
        <v>0</v>
      </c>
      <c r="D89" s="2765">
        <f>'数据-取费表'!B48+'数据-取费表'!B49</f>
        <v>3.0499999999999999E-2</v>
      </c>
      <c r="E89" s="199" t="s">
        <v>2040</v>
      </c>
      <c r="F89" s="2513"/>
      <c r="G89" s="2513"/>
      <c r="H89" s="2514"/>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4" t="s">
        <v>771</v>
      </c>
      <c r="B90" s="175" t="s">
        <v>2041</v>
      </c>
      <c r="C90" s="2770"/>
      <c r="D90" s="2765"/>
      <c r="E90" s="199" t="str">
        <f>IF(H88="-","土地取得成本中已包含该笔费用"," ")</f>
        <v xml:space="preserve"> </v>
      </c>
      <c r="F90" s="2513"/>
      <c r="G90" s="3702" t="s">
        <v>2810</v>
      </c>
      <c r="H90" s="3703"/>
      <c r="I90" s="1972"/>
      <c r="J90" s="2709" t="s">
        <v>2972</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4" t="s">
        <v>2042</v>
      </c>
      <c r="B91" s="175" t="s">
        <v>2043</v>
      </c>
      <c r="C91" s="2764">
        <f>IF(H91="——",成本法!C33,I91)</f>
        <v>0</v>
      </c>
      <c r="D91" s="2765"/>
      <c r="E91" s="3617" t="s">
        <v>2044</v>
      </c>
      <c r="F91" s="3618"/>
      <c r="G91" s="3618"/>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4" t="s">
        <v>2045</v>
      </c>
      <c r="B92" s="175" t="s">
        <v>2046</v>
      </c>
      <c r="C92" s="2764">
        <f>ROUND((C87+C90+C91)*D92,0)</f>
        <v>0</v>
      </c>
      <c r="D92" s="2771"/>
      <c r="E92" s="3617" t="s">
        <v>2047</v>
      </c>
      <c r="F92" s="3618"/>
      <c r="G92" s="3618"/>
      <c r="H92" s="3627"/>
      <c r="I92" s="1972"/>
      <c r="J92" s="2710" t="s">
        <v>2973</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4" t="s">
        <v>2048</v>
      </c>
      <c r="B93" s="175" t="s">
        <v>2030</v>
      </c>
      <c r="C93" s="2764" t="e">
        <f ca="1">ROUND(D45*D93/(1+'数据-取费表'!C42),0)</f>
        <v>#REF!</v>
      </c>
      <c r="D93" s="2765">
        <f>'数据-取费表'!B43</f>
        <v>7.5000000000000002E-4</v>
      </c>
      <c r="E93" s="3617" t="s">
        <v>2031</v>
      </c>
      <c r="F93" s="3618"/>
      <c r="G93" s="3618"/>
      <c r="H93" s="3627"/>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4" t="s">
        <v>2049</v>
      </c>
      <c r="B94" s="175" t="s">
        <v>2050</v>
      </c>
      <c r="C94" s="2770">
        <f>ROUND((C87+C90+C91)*D94,0)</f>
        <v>0</v>
      </c>
      <c r="D94" s="2765">
        <v>0.2</v>
      </c>
      <c r="E94" s="3628" t="s">
        <v>2051</v>
      </c>
      <c r="F94" s="3629"/>
      <c r="G94" s="3629"/>
      <c r="H94" s="3630"/>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8" t="s">
        <v>779</v>
      </c>
      <c r="B95" s="179" t="s">
        <v>2032</v>
      </c>
      <c r="C95" s="2756" t="e">
        <f ca="1">ROUND(C85-C86,0)</f>
        <v>#REF!</v>
      </c>
      <c r="D95" s="175" t="s">
        <v>32</v>
      </c>
      <c r="E95" s="2517"/>
      <c r="F95" s="2516"/>
      <c r="G95" s="2516"/>
      <c r="H95" s="198"/>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8" t="s">
        <v>780</v>
      </c>
      <c r="B96" s="179" t="s">
        <v>2033</v>
      </c>
      <c r="C96" s="2766" t="e">
        <f ca="1">IF(C95&lt;=0,0,C95/C86)</f>
        <v>#REF!</v>
      </c>
      <c r="D96" s="175" t="s">
        <v>32</v>
      </c>
      <c r="E96" s="2510" t="e">
        <f ca="1">IF(C96&gt;=200%,"增值额超过扣除项目金额200%",IF(C96&gt;=100%,"增值额超过扣除项目金额100%，未超过200%",IF(C96&gt;=50%,"增值额超过扣除项目金额50%，未超过100%",IF(C96&lt;50%,"增值额未超过扣除项目金额50%"))))</f>
        <v>#REF!</v>
      </c>
      <c r="F96" s="2516"/>
      <c r="G96" s="2516"/>
      <c r="H96" s="198"/>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81" t="s">
        <v>781</v>
      </c>
      <c r="B97" s="182" t="s">
        <v>2034</v>
      </c>
      <c r="C97" s="2767" t="e">
        <f ca="1">ROUND(IF(C95&lt;=0,0,IF(C96&gt;=200%,C95*60%-C86*35%,IF(C96&gt;=100%,C95*50%-C86*15%,IF(C96&gt;=50%,C95*40%-C86*5%,IF(C96&lt;50%,C95*30%,0))))),0)</f>
        <v>#REF!</v>
      </c>
      <c r="D97" s="276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9"/>
      <c r="F98" s="1729"/>
      <c r="G98" s="1729"/>
      <c r="H98" s="1728"/>
      <c r="I98" s="134"/>
    </row>
    <row r="99" spans="1:35" ht="21.75" customHeight="1" thickBot="1">
      <c r="A99" s="1951" t="s">
        <v>2052</v>
      </c>
      <c r="B99" s="1898"/>
      <c r="C99" s="1898"/>
      <c r="D99" s="1898"/>
      <c r="E99" s="1729"/>
      <c r="F99" s="1729"/>
      <c r="G99" s="1729"/>
      <c r="H99" s="1728"/>
      <c r="I99" s="134"/>
    </row>
    <row r="100" spans="1:35" ht="18.75" customHeight="1">
      <c r="A100" s="3601" t="s">
        <v>2053</v>
      </c>
      <c r="B100" s="3602"/>
      <c r="C100" s="3602"/>
      <c r="D100" s="3619"/>
      <c r="E100" s="3602" t="s">
        <v>2054</v>
      </c>
      <c r="F100" s="3602"/>
      <c r="G100" s="3602"/>
      <c r="H100" s="3619"/>
      <c r="I100" s="134"/>
    </row>
    <row r="101" spans="1:35" ht="18.75" customHeight="1">
      <c r="A101" s="3683" t="s">
        <v>2055</v>
      </c>
      <c r="B101" s="3684"/>
      <c r="C101" s="2773" t="str">
        <f>C4</f>
        <v>成本法</v>
      </c>
      <c r="D101" s="2774" t="str">
        <f>D4</f>
        <v>收益法（汇总）</v>
      </c>
      <c r="E101" s="3697" t="s">
        <v>2056</v>
      </c>
      <c r="F101" s="3651"/>
      <c r="G101" s="1978" t="s">
        <v>2057</v>
      </c>
      <c r="H101" s="2783" t="e">
        <f ca="1">H118</f>
        <v>#REF!</v>
      </c>
      <c r="I101" s="134"/>
    </row>
    <row r="102" spans="1:35" ht="18.75" customHeight="1">
      <c r="A102" s="3653" t="s">
        <v>2058</v>
      </c>
      <c r="B102" s="2772" t="s">
        <v>2057</v>
      </c>
      <c r="C102" s="2773">
        <f ca="1">C19</f>
        <v>82096</v>
      </c>
      <c r="D102" s="2774">
        <f ca="1">D19</f>
        <v>47828</v>
      </c>
      <c r="E102" s="3697"/>
      <c r="F102" s="3651"/>
      <c r="G102" s="1978" t="s">
        <v>2059</v>
      </c>
      <c r="H102" s="2743" t="e">
        <f ca="1">I118</f>
        <v>#REF!</v>
      </c>
      <c r="I102" s="134"/>
    </row>
    <row r="103" spans="1:35" ht="42.75" customHeight="1">
      <c r="A103" s="3653"/>
      <c r="B103" s="2772" t="s">
        <v>2059</v>
      </c>
      <c r="C103" s="2775">
        <f ca="1">C20</f>
        <v>12863</v>
      </c>
      <c r="D103" s="2776">
        <f ca="1">D20</f>
        <v>7494</v>
      </c>
      <c r="E103" s="3691" t="s">
        <v>2060</v>
      </c>
      <c r="F103" s="3692"/>
      <c r="G103" s="1979" t="s">
        <v>2061</v>
      </c>
      <c r="H103" s="2783">
        <f>IF(D36="正常操作",H104+H105+H106,H105+H106)</f>
        <v>0</v>
      </c>
      <c r="I103" s="134"/>
    </row>
    <row r="104" spans="1:35" ht="18.75" customHeight="1">
      <c r="A104" s="3653" t="s">
        <v>2062</v>
      </c>
      <c r="B104" s="2777" t="s">
        <v>2057</v>
      </c>
      <c r="C104" s="2778" t="e">
        <f ca="1">H118</f>
        <v>#REF!</v>
      </c>
      <c r="D104" s="2779"/>
      <c r="E104" s="1825" t="s">
        <v>2063</v>
      </c>
      <c r="F104" s="1817"/>
      <c r="G104" s="1979" t="s">
        <v>2061</v>
      </c>
      <c r="H104" s="2784">
        <f>IF(D36="同一抵押权人同一抵押物续贷",C36&amp;"（续贷，未扣减，详见特别提示）",C36)</f>
        <v>0</v>
      </c>
      <c r="I104" s="134"/>
    </row>
    <row r="105" spans="1:35" ht="18.75" customHeight="1" thickBot="1">
      <c r="A105" s="3654"/>
      <c r="B105" s="2780" t="s">
        <v>2059</v>
      </c>
      <c r="C105" s="2781" t="e">
        <f ca="1">I118</f>
        <v>#REF!</v>
      </c>
      <c r="D105" s="2782"/>
      <c r="E105" s="1825" t="s">
        <v>2064</v>
      </c>
      <c r="F105" s="1817"/>
      <c r="G105" s="1979" t="s">
        <v>2061</v>
      </c>
      <c r="H105" s="2785">
        <f>C37</f>
        <v>0</v>
      </c>
      <c r="I105" s="134"/>
    </row>
    <row r="106" spans="1:35" ht="18.75" customHeight="1">
      <c r="A106" s="1898" t="s">
        <v>2065</v>
      </c>
      <c r="B106" s="1898"/>
      <c r="C106" s="1898"/>
      <c r="D106" s="1898"/>
      <c r="E106" s="1980" t="s">
        <v>2066</v>
      </c>
      <c r="F106" s="1817"/>
      <c r="G106" s="1979" t="s">
        <v>2061</v>
      </c>
      <c r="H106" s="2785">
        <f>C38</f>
        <v>0</v>
      </c>
      <c r="I106" s="134"/>
    </row>
    <row r="107" spans="1:35" ht="18.75" customHeight="1">
      <c r="A107" s="134"/>
      <c r="B107" s="134"/>
      <c r="C107" s="134"/>
      <c r="D107" s="134"/>
      <c r="E107" s="3650" t="str">
        <f>IF(项目基本情况!E8="已注销","——","3.房地产抵押价值")</f>
        <v>3.房地产抵押价值</v>
      </c>
      <c r="F107" s="3651"/>
      <c r="G107" s="1978" t="s">
        <v>2057</v>
      </c>
      <c r="H107" s="2783" t="e">
        <f ca="1">IF(E107="——","——",H101-H103)</f>
        <v>#REF!</v>
      </c>
      <c r="I107" s="134"/>
    </row>
    <row r="108" spans="1:35" ht="18.75" customHeight="1">
      <c r="A108" s="134"/>
      <c r="B108" s="134"/>
      <c r="C108" s="134"/>
      <c r="D108" s="134"/>
      <c r="E108" s="3650"/>
      <c r="F108" s="3651"/>
      <c r="G108" s="1978" t="s">
        <v>2059</v>
      </c>
      <c r="H108" s="2743" t="e">
        <f ca="1">ROUND(H107*10000/'数据-汇总表'!E3,0)</f>
        <v>#REF!</v>
      </c>
      <c r="I108" s="134"/>
    </row>
    <row r="109" spans="1:35" ht="18.75" customHeight="1">
      <c r="A109" s="134"/>
      <c r="B109" s="134"/>
      <c r="C109" s="134"/>
      <c r="D109" s="134"/>
      <c r="E109" s="3650" t="str">
        <f>IF(项目基本情况!E8="已注销及未注销","4.抵押担保权已注销时的房地产抵押价值",IF(项目基本情况!E8="已注销","3.抵押担保权已注销时的房地产抵押价值","——"))</f>
        <v>——</v>
      </c>
      <c r="F109" s="3651"/>
      <c r="G109" s="1978" t="s">
        <v>2057</v>
      </c>
      <c r="H109" s="2786" t="str">
        <f>IF(E109="——","——",H101-H105-H106)</f>
        <v>——</v>
      </c>
      <c r="I109" s="134"/>
    </row>
    <row r="110" spans="1:35" ht="18.75" customHeight="1">
      <c r="A110" s="134"/>
      <c r="B110" s="134"/>
      <c r="C110" s="134"/>
      <c r="D110" s="134"/>
      <c r="E110" s="3650"/>
      <c r="F110" s="3651"/>
      <c r="G110" s="1978" t="s">
        <v>2059</v>
      </c>
      <c r="H110" s="2743" t="str">
        <f>IF(H109="——","——",ROUND(H109*10000/'数据-汇总表'!E3,0))</f>
        <v>——</v>
      </c>
      <c r="I110" s="134"/>
    </row>
    <row r="111" spans="1:35" ht="18.75" customHeight="1">
      <c r="A111" s="134"/>
      <c r="B111" s="134"/>
      <c r="C111" s="134"/>
      <c r="D111" s="134"/>
      <c r="E111" s="3685" t="str">
        <f>IF(项目基本情况!E9="抵押净值",IF(OR(项目基本情况!E8="已注销",项目基本情况!E8="房地产抵押价值"),"4.抵押净值","5.抵押净值"),"——")</f>
        <v>——</v>
      </c>
      <c r="F111" s="3652"/>
      <c r="G111" s="1978" t="s">
        <v>2057</v>
      </c>
      <c r="H111" s="2783" t="str">
        <f>IF(E111="——","——",N59)</f>
        <v>——</v>
      </c>
      <c r="I111" s="134"/>
    </row>
    <row r="112" spans="1:35" ht="18.75" customHeight="1" thickBot="1">
      <c r="A112" s="134"/>
      <c r="B112" s="134"/>
      <c r="C112" s="134"/>
      <c r="D112" s="134"/>
      <c r="E112" s="3686"/>
      <c r="F112" s="3687"/>
      <c r="G112" s="1981" t="s">
        <v>2059</v>
      </c>
      <c r="H112" s="2787" t="str">
        <f>IF(E111="——","——",N61)</f>
        <v>——</v>
      </c>
      <c r="I112" s="134"/>
    </row>
    <row r="113" spans="1:27" ht="18.75" customHeight="1">
      <c r="A113" s="134"/>
      <c r="B113" s="134"/>
      <c r="C113" s="134"/>
      <c r="D113" s="134"/>
      <c r="E113" s="3655" t="s">
        <v>2065</v>
      </c>
      <c r="F113" s="3655"/>
      <c r="G113" s="3655"/>
      <c r="H113" s="3655"/>
      <c r="I113" s="134"/>
    </row>
    <row r="114" spans="1:27" ht="3.75" customHeight="1">
      <c r="A114" s="1898"/>
      <c r="B114" s="1898"/>
      <c r="C114" s="1898"/>
      <c r="D114" s="1898"/>
      <c r="E114" s="1960"/>
      <c r="F114" s="1960"/>
      <c r="G114" s="1960"/>
      <c r="H114" s="1960"/>
      <c r="I114" s="1898"/>
    </row>
    <row r="115" spans="1:27" ht="18.75" customHeight="1">
      <c r="A115" s="3668" t="s">
        <v>2067</v>
      </c>
      <c r="B115" s="3669"/>
      <c r="C115" s="3669"/>
      <c r="D115" s="3669"/>
      <c r="E115" s="3669"/>
      <c r="F115" s="3669"/>
      <c r="G115" s="3669"/>
      <c r="H115" s="3669"/>
      <c r="I115" s="3670"/>
    </row>
    <row r="116" spans="1:27" ht="27" customHeight="1">
      <c r="A116" s="3621" t="s">
        <v>2068</v>
      </c>
      <c r="B116" s="3656" t="s">
        <v>2069</v>
      </c>
      <c r="C116" s="3656" t="s">
        <v>2070</v>
      </c>
      <c r="D116" s="3672" t="s">
        <v>2071</v>
      </c>
      <c r="E116" s="3673"/>
      <c r="F116" s="3664" t="s">
        <v>2072</v>
      </c>
      <c r="G116" s="3664"/>
      <c r="H116" s="3621" t="s">
        <v>2073</v>
      </c>
      <c r="I116" s="3621"/>
    </row>
    <row r="117" spans="1:27" ht="18.75" customHeight="1">
      <c r="A117" s="3621"/>
      <c r="B117" s="3657"/>
      <c r="C117" s="3657"/>
      <c r="D117" s="2515" t="s">
        <v>2074</v>
      </c>
      <c r="E117" s="2515" t="s">
        <v>2075</v>
      </c>
      <c r="F117" s="2515" t="s">
        <v>2074</v>
      </c>
      <c r="G117" s="2515" t="s">
        <v>2076</v>
      </c>
      <c r="H117" s="2515" t="s">
        <v>2074</v>
      </c>
      <c r="I117" s="2515" t="s">
        <v>2076</v>
      </c>
    </row>
    <row r="118" spans="1:27" ht="24.75" customHeight="1">
      <c r="A118" s="2788" t="str">
        <f>项目基本情况!S2</f>
        <v>北京市房地产</v>
      </c>
      <c r="B118" s="2515">
        <f>M18</f>
        <v>63823.659999999953</v>
      </c>
      <c r="C118" s="2515">
        <f>M19</f>
        <v>15403.06</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spans="1:27" ht="18.75" customHeight="1">
      <c r="A119" s="3621" t="s">
        <v>2077</v>
      </c>
      <c r="B119" s="3621"/>
      <c r="C119" s="3621"/>
      <c r="D119" s="3661" t="e">
        <f ca="1">NUMBERSTRING(INT(D118*10000),2)&amp;"元整"</f>
        <v>#REF!</v>
      </c>
      <c r="E119" s="3663"/>
      <c r="F119" s="3661" t="e">
        <f ca="1">NUMBERSTRING(INT(F118*10000),2)&amp;"元整"</f>
        <v>#REF!</v>
      </c>
      <c r="G119" s="3663"/>
      <c r="H119" s="3661" t="e">
        <f ca="1">NUMBERSTRING(INT(H118*10000),2)&amp;"元整"</f>
        <v>#REF!</v>
      </c>
      <c r="I119" s="3663"/>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903"/>
      <c r="K120" s="1903" t="str">
        <f>IF(D120=0,"故，本次评估不存在"&amp;A120,"故，本次评估"&amp;A120&amp;"为人民币"&amp;D120&amp;"万元整。")</f>
        <v>故，本次评估不存在估价师知悉的法定优先受偿款</v>
      </c>
      <c r="L120" s="1903"/>
      <c r="M120" s="1903"/>
      <c r="N120" s="1903"/>
      <c r="O120" s="1903"/>
      <c r="P120" s="1903"/>
      <c r="Q120" s="1903"/>
      <c r="R120" s="1903"/>
      <c r="S120" s="1903"/>
    </row>
    <row r="121" spans="1:27" ht="18.75" customHeight="1">
      <c r="A121" s="3665" t="s">
        <v>2077</v>
      </c>
      <c r="B121" s="3666"/>
      <c r="C121" s="3667"/>
      <c r="D121" s="3661" t="str">
        <f>IF(D120=0,"零元整",NUMBERSTRING(INT(D120*10000),2)&amp;"元整")</f>
        <v>零元整</v>
      </c>
      <c r="E121" s="3662"/>
      <c r="F121" s="3662"/>
      <c r="G121" s="3662"/>
      <c r="H121" s="3662"/>
      <c r="I121" s="3663"/>
      <c r="AA121" s="734"/>
    </row>
    <row r="122" spans="1:27" ht="18.75" customHeight="1">
      <c r="A122" s="3652" t="str">
        <f>IF(项目基本情况!B9="房地产市场价值","",MID(E107,3,LEN(E107)-2))</f>
        <v>房地产抵押价值</v>
      </c>
      <c r="B122" s="3652"/>
      <c r="C122" s="3652"/>
      <c r="D122" s="3688" t="e">
        <f ca="1">H107</f>
        <v>#REF!</v>
      </c>
      <c r="E122" s="3689"/>
      <c r="F122" s="3689"/>
      <c r="G122" s="3689"/>
      <c r="H122" s="3689"/>
      <c r="I122" s="3690"/>
      <c r="AA122" s="734"/>
    </row>
    <row r="123" spans="1:27" ht="18.75" customHeight="1">
      <c r="A123" s="3621" t="s">
        <v>2077</v>
      </c>
      <c r="B123" s="3621"/>
      <c r="C123" s="3621"/>
      <c r="D123" s="3661" t="e">
        <f ca="1">NUMBERSTRING(INT(D122*10000),2)&amp;"元整"</f>
        <v>#REF!</v>
      </c>
      <c r="E123" s="3662"/>
      <c r="F123" s="3662"/>
      <c r="G123" s="3662"/>
      <c r="H123" s="3662"/>
      <c r="I123" s="3663"/>
      <c r="AA123" s="734"/>
    </row>
    <row r="124" spans="1:27" ht="18.75" customHeight="1">
      <c r="A124" s="3652" t="str">
        <f>IF(项目基本情况!B9="房地产市场价值","",MID(E109,3,LEN(E109)-2))</f>
        <v/>
      </c>
      <c r="B124" s="3652"/>
      <c r="C124" s="3652"/>
      <c r="D124" s="3688" t="str">
        <f>H109</f>
        <v>——</v>
      </c>
      <c r="E124" s="3689"/>
      <c r="F124" s="3689"/>
      <c r="G124" s="3689"/>
      <c r="H124" s="3689"/>
      <c r="I124" s="3690"/>
      <c r="AA124" s="734"/>
    </row>
    <row r="125" spans="1:27" ht="18.75" customHeight="1">
      <c r="A125" s="3621" t="s">
        <v>2077</v>
      </c>
      <c r="B125" s="3621"/>
      <c r="C125" s="3621"/>
      <c r="D125" s="3661" t="e">
        <f>NUMBERSTRING(INT(D124*10000),2)&amp;"元整"</f>
        <v>#VALUE!</v>
      </c>
      <c r="E125" s="3662"/>
      <c r="F125" s="3662"/>
      <c r="G125" s="3662"/>
      <c r="H125" s="3662"/>
      <c r="I125" s="3663"/>
      <c r="AA125" s="734"/>
    </row>
    <row r="126" spans="1:27" ht="18.75" customHeight="1">
      <c r="A126" s="3652" t="str">
        <f>IF(项目基本情况!B9="房地产市场价值","",MID(E111,3,LEN(E111)-2))</f>
        <v/>
      </c>
      <c r="B126" s="3652"/>
      <c r="C126" s="3652"/>
      <c r="D126" s="3688" t="str">
        <f>H111</f>
        <v>——</v>
      </c>
      <c r="E126" s="3689"/>
      <c r="F126" s="3689"/>
      <c r="G126" s="3689"/>
      <c r="H126" s="3689"/>
      <c r="I126" s="3690"/>
      <c r="AA126" s="734"/>
    </row>
    <row r="127" spans="1:27" ht="18.75" customHeight="1">
      <c r="A127" s="3621" t="s">
        <v>2077</v>
      </c>
      <c r="B127" s="3621"/>
      <c r="C127" s="3621"/>
      <c r="D127" s="3661" t="e">
        <f>NUMBERSTRING(INT(D126*10000),2)&amp;"元整"</f>
        <v>#VALUE!</v>
      </c>
      <c r="E127" s="3662"/>
      <c r="F127" s="3662"/>
      <c r="G127" s="3662"/>
      <c r="H127" s="3662"/>
      <c r="I127" s="3663"/>
      <c r="AA127" s="734"/>
    </row>
    <row r="128" spans="1:27" ht="21.75" customHeight="1">
      <c r="A128" s="3671" t="s">
        <v>2078</v>
      </c>
      <c r="B128" s="3671"/>
      <c r="C128" s="3671"/>
      <c r="D128" s="3671"/>
      <c r="E128" s="3671"/>
      <c r="F128" s="3671"/>
      <c r="G128" s="3671"/>
      <c r="H128" s="3671"/>
      <c r="I128" s="3671"/>
      <c r="AA128" s="734"/>
    </row>
    <row r="129" spans="1:35" ht="21.75" customHeight="1">
      <c r="A129" s="1982" t="s">
        <v>2079</v>
      </c>
      <c r="B129" s="1983"/>
      <c r="C129" s="1984" t="s">
        <v>2080</v>
      </c>
      <c r="D129" s="1985"/>
      <c r="E129" s="1985"/>
      <c r="F129" s="1985"/>
      <c r="G129" s="1985"/>
      <c r="H129" s="1986"/>
      <c r="I129" s="1987"/>
      <c r="AA129" s="734"/>
    </row>
    <row r="130" spans="1:35" ht="21.75" customHeight="1">
      <c r="A130" s="1988">
        <v>1</v>
      </c>
      <c r="B130" s="1989"/>
      <c r="C130" s="1989"/>
      <c r="D130" s="1990"/>
      <c r="E130" s="1990"/>
      <c r="F130" s="1990"/>
      <c r="G130" s="1990"/>
      <c r="H130" s="1991"/>
      <c r="I130" s="1992"/>
      <c r="AA130" s="734"/>
    </row>
    <row r="131" spans="1:35" ht="21.75" customHeight="1">
      <c r="A131" s="1988">
        <v>2</v>
      </c>
      <c r="B131" s="1989"/>
      <c r="C131" s="1989"/>
      <c r="D131" s="1990"/>
      <c r="E131" s="1990"/>
      <c r="F131" s="1990"/>
      <c r="G131" s="1990"/>
      <c r="H131" s="1991"/>
      <c r="I131" s="1992"/>
      <c r="AA131" s="734"/>
    </row>
    <row r="132" spans="1:35" ht="21.75" customHeight="1">
      <c r="A132" s="1988">
        <v>3</v>
      </c>
      <c r="B132" s="1989"/>
      <c r="C132" s="1989"/>
      <c r="D132" s="1990"/>
      <c r="E132" s="1990"/>
      <c r="F132" s="1990"/>
      <c r="G132" s="1990"/>
      <c r="H132" s="1991"/>
      <c r="I132" s="1992"/>
      <c r="AA132" s="734"/>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4"/>
    </row>
    <row r="135" spans="1:35" ht="21.75" customHeight="1">
      <c r="A135" s="734"/>
      <c r="B135" s="734"/>
      <c r="C135" s="734"/>
      <c r="D135" s="734"/>
      <c r="E135" s="734"/>
      <c r="F135" s="1998" t="s">
        <v>2081</v>
      </c>
      <c r="G135" s="1999"/>
      <c r="H135" s="1999"/>
      <c r="I135" s="2000" t="s">
        <v>2082</v>
      </c>
    </row>
    <row r="136" spans="1:35" ht="21.75" customHeight="1">
      <c r="A136" s="734"/>
      <c r="B136" s="2001"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9"/>
      <c r="C138" s="1999"/>
      <c r="D138" s="1999"/>
      <c r="E138" s="1999"/>
      <c r="F138" s="1999"/>
      <c r="G138" s="1999"/>
      <c r="H138" s="1999"/>
      <c r="I138" s="2000" t="s">
        <v>2084</v>
      </c>
    </row>
    <row r="139" spans="1:35" ht="21.75" customHeight="1">
      <c r="A139" s="734"/>
      <c r="B139" s="2001" t="s">
        <v>2085</v>
      </c>
      <c r="C139" s="734"/>
      <c r="D139" s="734"/>
      <c r="E139" s="734"/>
      <c r="F139" s="734"/>
      <c r="G139" s="734"/>
      <c r="H139" s="734"/>
      <c r="I139" s="734"/>
    </row>
    <row r="140" spans="1:35" ht="21.75" customHeight="1">
      <c r="A140" s="734"/>
      <c r="B140" s="2001"/>
      <c r="C140" s="734"/>
      <c r="D140" s="734"/>
      <c r="E140" s="734"/>
      <c r="F140" s="734"/>
      <c r="G140" s="734"/>
      <c r="H140" s="734"/>
      <c r="I140" s="734"/>
    </row>
    <row r="141" spans="1:35" ht="21.75" customHeight="1">
      <c r="A141" s="734"/>
      <c r="B141" s="1999"/>
      <c r="C141" s="1999"/>
      <c r="D141" s="1999"/>
      <c r="E141" s="1999"/>
      <c r="F141" s="1999"/>
      <c r="G141" s="1999"/>
      <c r="H141" s="1999"/>
      <c r="I141" s="2000" t="s">
        <v>2084</v>
      </c>
    </row>
    <row r="142" spans="1:35" ht="21.75" customHeight="1">
      <c r="A142" s="734"/>
      <c r="B142" s="2001"/>
      <c r="C142" s="2002"/>
      <c r="D142" s="2003"/>
      <c r="E142" s="2003"/>
      <c r="F142" s="1892"/>
      <c r="G142" s="734"/>
      <c r="H142" s="734"/>
      <c r="I142" s="734"/>
    </row>
    <row r="143" spans="1:35" s="135" customFormat="1" ht="21.75" customHeight="1">
      <c r="A143" s="734"/>
      <c r="B143" s="2001"/>
      <c r="C143" s="2002"/>
      <c r="D143" s="2003"/>
      <c r="E143" s="2003"/>
      <c r="F143" s="189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9"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0"/>
      <c r="C1" s="204"/>
      <c r="D1" s="204"/>
      <c r="E1" s="204"/>
      <c r="F1" s="204"/>
      <c r="G1" s="1256">
        <f>MATCH(B1,'数据-取费表'!A6:A16,0)+5</f>
        <v>8</v>
      </c>
    </row>
    <row r="2" spans="1:9" s="206" customFormat="1" ht="18" customHeight="1">
      <c r="A2" s="207" t="s">
        <v>2087</v>
      </c>
      <c r="B2" s="208">
        <f ca="1">IF(D2="——",C52,C52-E2)</f>
        <v>82096</v>
      </c>
      <c r="C2" s="205" t="s">
        <v>2088</v>
      </c>
      <c r="D2" s="2004" t="s">
        <v>70</v>
      </c>
      <c r="E2" s="1299" t="e">
        <f ca="1">SUMIF(INDIRECT("'"&amp;G2&amp;"'"&amp;"!A:A"),"承租人权益价值",INDIRECT("'"&amp;G2&amp;"'"&amp;"!c:c"))</f>
        <v>#REF!</v>
      </c>
      <c r="F2" s="2005" t="s">
        <v>2088</v>
      </c>
      <c r="G2" s="2006"/>
    </row>
    <row r="3" spans="1:9" s="206" customFormat="1" ht="18" customHeight="1" thickBot="1">
      <c r="A3" s="209" t="s">
        <v>2089</v>
      </c>
      <c r="B3" s="210">
        <f ca="1">ROUND(B2*10000/(IF(B1="",'数据-汇总表'!E3,INDIRECT("'数据-取费表'!k"&amp;$G$1))),0)</f>
        <v>12863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46309</v>
      </c>
      <c r="D5" s="217" t="s">
        <v>2094</v>
      </c>
      <c r="E5" s="218" t="s">
        <v>2095</v>
      </c>
      <c r="F5" s="218" t="s">
        <v>2096</v>
      </c>
      <c r="G5" s="219"/>
    </row>
    <row r="6" spans="1:9" s="220" customFormat="1" ht="13.5" customHeight="1">
      <c r="A6" s="882" t="s">
        <v>2097</v>
      </c>
      <c r="B6" s="221" t="s">
        <v>2098</v>
      </c>
      <c r="C6" s="222">
        <f>[3]基准地价修正!$E$33</f>
        <v>44938</v>
      </c>
      <c r="D6" s="223"/>
      <c r="E6" s="224"/>
      <c r="F6" s="224"/>
      <c r="G6" s="225"/>
    </row>
    <row r="7" spans="1:9" s="220" customFormat="1" ht="13.5" customHeight="1">
      <c r="A7" s="882" t="s">
        <v>2099</v>
      </c>
      <c r="B7" s="221" t="s">
        <v>2100</v>
      </c>
      <c r="C7" s="226">
        <f>ROUND(C6*F7,0)</f>
        <v>1371</v>
      </c>
      <c r="D7" s="226"/>
      <c r="E7" s="224"/>
      <c r="F7" s="227">
        <f>IF(项目基本情况!B8="出让",0,'数据-取费表'!B48+'数据-取费表'!B49)</f>
        <v>3.0499999999999999E-2</v>
      </c>
      <c r="G7" s="225"/>
    </row>
    <row r="8" spans="1:9" s="229" customFormat="1">
      <c r="A8" s="882" t="s">
        <v>2101</v>
      </c>
      <c r="B8" s="221" t="s">
        <v>2102</v>
      </c>
      <c r="C8" s="226" t="str">
        <f>IF(G8="已包含在土地购买价格中","0",IF(B1="",'数据-取费表'!B29,IF(G9="全部缴纳",C9+C10,H9)))</f>
        <v>0</v>
      </c>
      <c r="D8" s="228"/>
      <c r="E8" s="226"/>
      <c r="F8" s="227"/>
      <c r="G8" s="2007" t="s">
        <v>1057</v>
      </c>
    </row>
    <row r="9" spans="1:9" s="220" customFormat="1" ht="13.5" customHeight="1">
      <c r="A9" s="883" t="s">
        <v>800</v>
      </c>
      <c r="B9" s="230" t="s">
        <v>2103</v>
      </c>
      <c r="C9" s="231">
        <f ca="1">ROUND(D9*E9/10000,0)</f>
        <v>0</v>
      </c>
      <c r="D9" s="950">
        <f ca="1">IF(B1="",'数据-汇总表'!E5,IF(INDIRECT("'数据-取费表'!c"&amp;$G$1)="住宅",INDIRECT("'数据-取费表'!k"&amp;$G$1),0))</f>
        <v>0</v>
      </c>
      <c r="E9" s="231">
        <f>'数据-取费表'!B27</f>
        <v>0</v>
      </c>
      <c r="F9" s="227"/>
      <c r="G9" s="2008" t="s">
        <v>3269</v>
      </c>
      <c r="H9" s="1267"/>
      <c r="I9" s="2009" t="s">
        <v>2104</v>
      </c>
    </row>
    <row r="10" spans="1:9" s="220" customFormat="1" ht="13.5" customHeight="1">
      <c r="A10" s="883" t="s">
        <v>801</v>
      </c>
      <c r="B10" s="230" t="s">
        <v>2105</v>
      </c>
      <c r="C10" s="231">
        <f ca="1">ROUND(D10*E10/10000,0)</f>
        <v>0</v>
      </c>
      <c r="D10" s="950">
        <f ca="1">IF(B1="",'数据-汇总表'!E6,IF(INDIRECT("'数据-取费表'!c"&amp;$G$1)="住宅",INDIRECT("'数据-取费表'!s"&amp;$G$1),INDIRECT("'数据-取费表'!k"&amp;$G$1)+INDIRECT("'数据-取费表'!s"&amp;$G$1)))</f>
        <v>63823.659999999953</v>
      </c>
      <c r="E10" s="231">
        <f>'数据-取费表'!B28</f>
        <v>0</v>
      </c>
      <c r="F10" s="227"/>
      <c r="G10" s="232"/>
    </row>
    <row r="11" spans="1:9" s="220" customFormat="1" ht="13.5" hidden="1" customHeight="1">
      <c r="A11" s="233" t="s">
        <v>7</v>
      </c>
      <c r="B11" s="221" t="s">
        <v>2106</v>
      </c>
      <c r="C11" s="217"/>
      <c r="D11" s="952"/>
      <c r="E11" s="224"/>
      <c r="F11" s="224"/>
      <c r="G11" s="225"/>
    </row>
    <row r="12" spans="1:9" s="220" customFormat="1" ht="13.5" hidden="1" customHeight="1">
      <c r="A12" s="233" t="s">
        <v>8</v>
      </c>
      <c r="B12" s="221" t="s">
        <v>2107</v>
      </c>
      <c r="C12" s="217">
        <v>0</v>
      </c>
      <c r="D12" s="952"/>
      <c r="E12" s="234"/>
      <c r="F12" s="227">
        <v>3.0499999999999999E-2</v>
      </c>
      <c r="G12" s="225"/>
    </row>
    <row r="13" spans="1:9" s="220" customFormat="1" ht="13.5" hidden="1" customHeight="1">
      <c r="A13" s="233" t="s">
        <v>9</v>
      </c>
      <c r="B13" s="221" t="s">
        <v>2108</v>
      </c>
      <c r="C13" s="217"/>
      <c r="D13" s="952"/>
      <c r="E13" s="224"/>
      <c r="F13" s="224"/>
      <c r="G13" s="225"/>
    </row>
    <row r="14" spans="1:9" s="220" customFormat="1" ht="13.5" hidden="1" customHeight="1">
      <c r="A14" s="233" t="s">
        <v>10</v>
      </c>
      <c r="B14" s="221" t="s">
        <v>2109</v>
      </c>
      <c r="C14" s="217"/>
      <c r="D14" s="952"/>
      <c r="E14" s="224"/>
      <c r="F14" s="224"/>
      <c r="G14" s="225" t="s">
        <v>2110</v>
      </c>
    </row>
    <row r="15" spans="1:9" s="220" customFormat="1" ht="13.5" hidden="1" customHeight="1">
      <c r="A15" s="233" t="s">
        <v>11</v>
      </c>
      <c r="B15" s="221" t="s">
        <v>2111</v>
      </c>
      <c r="C15" s="226"/>
      <c r="D15" s="952"/>
      <c r="E15" s="224"/>
      <c r="F15" s="224"/>
      <c r="G15" s="225" t="s">
        <v>2112</v>
      </c>
    </row>
    <row r="16" spans="1:9" s="220" customFormat="1" ht="13.5" hidden="1" customHeight="1">
      <c r="A16" s="233" t="s">
        <v>12</v>
      </c>
      <c r="B16" s="221" t="s">
        <v>2109</v>
      </c>
      <c r="C16" s="226"/>
      <c r="D16" s="952"/>
      <c r="E16" s="224"/>
      <c r="F16" s="224"/>
      <c r="G16" s="225"/>
    </row>
    <row r="17" spans="1:7" s="220" customFormat="1" ht="13.5" hidden="1" customHeight="1">
      <c r="A17" s="233" t="s">
        <v>13</v>
      </c>
      <c r="B17" s="221" t="s">
        <v>2113</v>
      </c>
      <c r="C17" s="235"/>
      <c r="D17" s="953"/>
      <c r="E17" s="235"/>
      <c r="F17" s="235"/>
      <c r="G17" s="225" t="s">
        <v>2112</v>
      </c>
    </row>
    <row r="18" spans="1:7" s="220" customFormat="1" ht="13.5" hidden="1" customHeight="1">
      <c r="A18" s="233" t="s">
        <v>14</v>
      </c>
      <c r="B18" s="221" t="s">
        <v>2114</v>
      </c>
      <c r="C18" s="226">
        <v>0</v>
      </c>
      <c r="D18" s="952"/>
      <c r="E18" s="224"/>
      <c r="F18" s="227">
        <v>3.0499999999999999E-2</v>
      </c>
      <c r="G18" s="225" t="s">
        <v>2115</v>
      </c>
    </row>
    <row r="19" spans="1:7" s="229" customFormat="1" ht="13.5" customHeight="1">
      <c r="A19" s="261" t="s">
        <v>2116</v>
      </c>
      <c r="B19" s="216" t="s">
        <v>2117</v>
      </c>
      <c r="C19" s="217" t="str">
        <f>IF(G19="已包含在土地取得成本中","0",ROUND(D19*E19/10000,0))</f>
        <v>0</v>
      </c>
      <c r="D19" s="954">
        <f ca="1">D9+D10</f>
        <v>63823.659999999953</v>
      </c>
      <c r="E19" s="217">
        <f>'数据-取费表'!B31</f>
        <v>200</v>
      </c>
      <c r="F19" s="237"/>
      <c r="G19" s="2007" t="s">
        <v>3462</v>
      </c>
    </row>
    <row r="20" spans="1:7" s="220" customFormat="1" ht="13.5" customHeight="1">
      <c r="A20" s="261" t="s">
        <v>2118</v>
      </c>
      <c r="B20" s="216" t="s">
        <v>2119</v>
      </c>
      <c r="C20" s="238">
        <f>ROUND((C5+C19)*F20,0)</f>
        <v>926</v>
      </c>
      <c r="D20" s="238"/>
      <c r="E20" s="238"/>
      <c r="F20" s="239">
        <f>'数据-取费表'!B37</f>
        <v>0.02</v>
      </c>
      <c r="G20" s="240" t="s">
        <v>2120</v>
      </c>
    </row>
    <row r="21" spans="1:7" s="220" customFormat="1" ht="13.5" customHeight="1">
      <c r="A21" s="261" t="s">
        <v>2121</v>
      </c>
      <c r="B21" s="216" t="s">
        <v>2122</v>
      </c>
      <c r="C21" s="241">
        <f>F21</f>
        <v>0</v>
      </c>
      <c r="D21" s="242" t="s">
        <v>2123</v>
      </c>
      <c r="E21" s="238"/>
      <c r="F21" s="239">
        <f>'数据-取费表'!B38</f>
        <v>0</v>
      </c>
      <c r="G21" s="240" t="s">
        <v>2124</v>
      </c>
    </row>
    <row r="22" spans="1:7" s="220" customFormat="1" ht="13.5" customHeight="1">
      <c r="A22" s="261" t="s">
        <v>2125</v>
      </c>
      <c r="B22" s="216" t="s">
        <v>2126</v>
      </c>
      <c r="C22" s="1232">
        <f ca="1">ROUND(SUM(C23:C25),0)</f>
        <v>1730</v>
      </c>
      <c r="D22" s="241">
        <f ca="1">C26</f>
        <v>0</v>
      </c>
      <c r="E22" s="242" t="s">
        <v>2123</v>
      </c>
      <c r="F22" s="243">
        <f ca="1">'数据-取费表'!B40</f>
        <v>3.7000000000000005E-2</v>
      </c>
      <c r="G22" s="240" t="str">
        <f>IF('数据-取费表'!B22&lt;=1,"单利计息","复利计息")</f>
        <v>单利计息</v>
      </c>
    </row>
    <row r="23" spans="1:7" s="220" customFormat="1" ht="13.5" customHeight="1">
      <c r="A23" s="884" t="s">
        <v>2127</v>
      </c>
      <c r="B23" s="221" t="s">
        <v>2128</v>
      </c>
      <c r="C23" s="1233">
        <f ca="1">ROUND(IF('数据-取费表'!B22&lt;=1,C5*F22*'数据-取费表'!B23,C5*(POWER((1+F22),'数据-取费表'!B23)-1)),0)</f>
        <v>1713</v>
      </c>
      <c r="D23" s="244"/>
      <c r="E23" s="244"/>
      <c r="F23" s="245"/>
      <c r="G23" s="246" t="s">
        <v>2129</v>
      </c>
    </row>
    <row r="24" spans="1:7" s="220" customFormat="1" ht="13.5" customHeight="1">
      <c r="A24" s="884" t="s">
        <v>2130</v>
      </c>
      <c r="B24" s="221" t="s">
        <v>2131</v>
      </c>
      <c r="C24" s="1233">
        <f ca="1">ROUND(IF('数据-取费表'!B22&lt;=1,C19*F22*('数据-取费表'!B19/2+'数据-取费表'!B21),C19*(POWER((1+F22),('数据-取费表'!B19/2+'数据-取费表'!B21))-1)),0)</f>
        <v>0</v>
      </c>
      <c r="D24" s="244"/>
      <c r="E24" s="244"/>
      <c r="F24" s="245"/>
      <c r="G24" s="246" t="s">
        <v>2132</v>
      </c>
    </row>
    <row r="25" spans="1:7" s="220" customFormat="1" ht="24">
      <c r="A25" s="884" t="s">
        <v>2133</v>
      </c>
      <c r="B25" s="221" t="s">
        <v>2134</v>
      </c>
      <c r="C25" s="1233">
        <f ca="1">ROUND(IF('数据-取费表'!B22&lt;=1,C20*F22*'数据-取费表'!B23/2,C20*(POWER((1+F22),'数据-取费表'!B23/2)-1)),0)</f>
        <v>17</v>
      </c>
      <c r="D25" s="244"/>
      <c r="E25" s="247"/>
      <c r="F25" s="245"/>
      <c r="G25" s="248" t="s">
        <v>2135</v>
      </c>
    </row>
    <row r="26" spans="1:7" s="220" customFormat="1">
      <c r="A26" s="884" t="s">
        <v>795</v>
      </c>
      <c r="B26" s="221" t="s">
        <v>2136</v>
      </c>
      <c r="C26" s="244">
        <f ca="1">ROUND(IF('数据-取费表'!B22&lt;=1,F21*F22*'数据-取费表'!B23/2,F21*(POWER((1+F22),'数据-取费表'!B23/2)-1)),4)</f>
        <v>0</v>
      </c>
      <c r="D26" s="244"/>
      <c r="E26" s="247"/>
      <c r="F26" s="245"/>
      <c r="G26" s="249"/>
    </row>
    <row r="27" spans="1:7" s="220" customFormat="1" ht="24.75">
      <c r="A27" s="261" t="s">
        <v>2137</v>
      </c>
      <c r="B27" s="250" t="s">
        <v>2138</v>
      </c>
      <c r="C27" s="251">
        <f ca="1">C28</f>
        <v>1417</v>
      </c>
      <c r="D27" s="241">
        <f ca="1">C29</f>
        <v>0</v>
      </c>
      <c r="E27" s="242" t="s">
        <v>2139</v>
      </c>
      <c r="F27" s="252">
        <f ca="1">IF(B1="",'数据-取费表'!Q16,INDIRECT("'数据-取费表'!q"&amp;$G$1))</f>
        <v>0.03</v>
      </c>
      <c r="G27" s="253" t="s">
        <v>2140</v>
      </c>
    </row>
    <row r="28" spans="1:7" s="220" customFormat="1" ht="13.5" customHeight="1">
      <c r="A28" s="884" t="s">
        <v>791</v>
      </c>
      <c r="B28" s="254" t="s">
        <v>2141</v>
      </c>
      <c r="C28" s="255">
        <f ca="1">ROUND((C5+C19+C20)*F27*'数据-取费表'!B21/'数据-取费表'!B20,0)</f>
        <v>1417</v>
      </c>
      <c r="D28" s="241"/>
      <c r="E28" s="242"/>
      <c r="F28" s="252"/>
      <c r="G28" s="253"/>
    </row>
    <row r="29" spans="1:7" s="220" customFormat="1" ht="13.5" customHeight="1">
      <c r="A29" s="884" t="s">
        <v>792</v>
      </c>
      <c r="B29" s="254" t="s">
        <v>2142</v>
      </c>
      <c r="C29" s="244">
        <f ca="1">ROUND(C21*F27*'数据-取费表'!B21/'数据-取费表'!B20,4)</f>
        <v>0</v>
      </c>
      <c r="D29" s="241"/>
      <c r="E29" s="242"/>
      <c r="F29" s="252"/>
      <c r="G29" s="253"/>
    </row>
    <row r="30" spans="1:7" s="220" customFormat="1" ht="13.5" customHeight="1">
      <c r="A30" s="261" t="s">
        <v>2143</v>
      </c>
      <c r="B30" s="216" t="s">
        <v>2144</v>
      </c>
      <c r="C30" s="241">
        <f>ROUND(F30/(1+'数据-取费表'!C42),4)</f>
        <v>1.55E-2</v>
      </c>
      <c r="D30" s="242" t="s">
        <v>2139</v>
      </c>
      <c r="E30" s="247"/>
      <c r="F30" s="243">
        <f>'数据-取费表'!B41</f>
        <v>1.575E-2</v>
      </c>
      <c r="G30" s="240" t="s">
        <v>2145</v>
      </c>
    </row>
    <row r="31" spans="1:7" ht="16.5" customHeight="1">
      <c r="A31" s="215">
        <v>1</v>
      </c>
      <c r="B31" s="216" t="s">
        <v>2146</v>
      </c>
      <c r="C31" s="217">
        <f ca="1">ROUND((C5+C19+C20+C22+C27)/(1-C21-D22-D27-C30),0)</f>
        <v>51175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28464</v>
      </c>
      <c r="D33" s="238"/>
      <c r="E33" s="218"/>
      <c r="F33" s="247"/>
      <c r="G33" s="240"/>
    </row>
    <row r="34" spans="1:7" s="264" customFormat="1" ht="13.5" customHeight="1">
      <c r="A34" s="884" t="s">
        <v>791</v>
      </c>
      <c r="B34" s="221" t="s">
        <v>2150</v>
      </c>
      <c r="C34" s="226">
        <f ca="1">IF(B1="",IF(F34=100%,'数据-取费表'!M16,'数据-取费表'!O16),IF(F34=100%,INDIRECT("'数据-取费表'!m"&amp;$G$1)+INDIRECT("'数据-取费表'!t"&amp;$G$1),INDIRECT("'数据-取费表'!o"&amp;$G$1)+INDIRECT("'数据-取费表'!aq"&amp;$G$1)))</f>
        <v>25529</v>
      </c>
      <c r="D34" s="223"/>
      <c r="E34" s="226"/>
      <c r="F34" s="263">
        <f ca="1">IF('数据-取费表'!B24=0,1,IF(B1="",'数据-取费表'!N16,INDIRECT("'数据-取费表'!n"&amp;$G$1)))</f>
        <v>1</v>
      </c>
      <c r="G34" s="225" t="s">
        <v>2151</v>
      </c>
    </row>
    <row r="35" spans="1:7" ht="13.5" customHeight="1">
      <c r="A35" s="884" t="s">
        <v>796</v>
      </c>
      <c r="B35" s="221" t="s">
        <v>2152</v>
      </c>
      <c r="C35" s="226">
        <f ca="1">ROUND(C34*F35,0)</f>
        <v>1276</v>
      </c>
      <c r="D35" s="226"/>
      <c r="E35" s="226"/>
      <c r="F35" s="265">
        <f>'数据-取费表'!B33</f>
        <v>0.05</v>
      </c>
      <c r="G35" s="225" t="s">
        <v>2153</v>
      </c>
    </row>
    <row r="36" spans="1:7" ht="24">
      <c r="A36" s="884"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4" t="s">
        <v>798</v>
      </c>
      <c r="B37" s="221" t="s">
        <v>2156</v>
      </c>
      <c r="C37" s="255">
        <f ca="1">ROUND(E37*D37*F34/10000,0)</f>
        <v>1276</v>
      </c>
      <c r="D37" s="223">
        <f ca="1">D19</f>
        <v>63823.659999999953</v>
      </c>
      <c r="E37" s="255">
        <f>'数据-取费表'!B35</f>
        <v>200</v>
      </c>
      <c r="F37" s="265"/>
      <c r="G37" s="267" t="s">
        <v>2157</v>
      </c>
    </row>
    <row r="38" spans="1:7" ht="13.5" customHeight="1">
      <c r="A38" s="884" t="s">
        <v>799</v>
      </c>
      <c r="B38" s="221" t="s">
        <v>2158</v>
      </c>
      <c r="C38" s="226">
        <f ca="1">ROUND(C34*F38,0)</f>
        <v>383</v>
      </c>
      <c r="D38" s="226"/>
      <c r="E38" s="226"/>
      <c r="F38" s="265">
        <f>'数据-取费表'!B36</f>
        <v>1.4999999999999999E-2</v>
      </c>
      <c r="G38" s="225" t="s">
        <v>2153</v>
      </c>
    </row>
    <row r="39" spans="1:7" s="220" customFormat="1" ht="13.5" customHeight="1">
      <c r="A39" s="261" t="s">
        <v>2159</v>
      </c>
      <c r="B39" s="216" t="s">
        <v>2160</v>
      </c>
      <c r="C39" s="238">
        <f ca="1">ROUND(C33*F20,0)</f>
        <v>569</v>
      </c>
      <c r="D39" s="238"/>
      <c r="E39" s="238"/>
      <c r="F39" s="2498">
        <f>F20</f>
        <v>0.02</v>
      </c>
      <c r="G39" s="240" t="s">
        <v>2161</v>
      </c>
    </row>
    <row r="40" spans="1:7" s="220" customFormat="1" ht="13.5" customHeight="1">
      <c r="A40" s="261" t="s">
        <v>2162</v>
      </c>
      <c r="B40" s="216" t="s">
        <v>2163</v>
      </c>
      <c r="C40" s="1463">
        <f>F21</f>
        <v>0</v>
      </c>
      <c r="D40" s="242" t="s">
        <v>2164</v>
      </c>
      <c r="E40" s="238"/>
      <c r="F40" s="2498">
        <f>F21</f>
        <v>0</v>
      </c>
      <c r="G40" s="240" t="s">
        <v>2165</v>
      </c>
    </row>
    <row r="41" spans="1:7" s="220" customFormat="1" ht="13.5" customHeight="1">
      <c r="A41" s="261" t="s">
        <v>2166</v>
      </c>
      <c r="B41" s="216" t="s">
        <v>2167</v>
      </c>
      <c r="C41" s="238">
        <f ca="1">ROUND(SUM(C42:C43),0)</f>
        <v>538</v>
      </c>
      <c r="D41" s="241">
        <f ca="1">C44</f>
        <v>0</v>
      </c>
      <c r="E41" s="242" t="s">
        <v>2164</v>
      </c>
      <c r="F41" s="2499">
        <f ca="1">F22</f>
        <v>3.7000000000000005E-2</v>
      </c>
      <c r="G41" s="240" t="str">
        <f>IF('数据-取费表'!B22&lt;=1,"单利计息","复利计息")</f>
        <v>单利计息</v>
      </c>
    </row>
    <row r="42" spans="1:7" ht="13.5" customHeight="1">
      <c r="A42" s="884" t="s">
        <v>791</v>
      </c>
      <c r="B42" s="221" t="s">
        <v>2168</v>
      </c>
      <c r="C42" s="244">
        <f ca="1">ROUND(IF('数据-取费表'!B22&lt;=1,C33*F22*'数据-取费表'!B21/2,C33*(POWER((1+F22),'数据-取费表'!B21/2)-1)),0)</f>
        <v>527</v>
      </c>
      <c r="D42" s="244"/>
      <c r="E42" s="244"/>
      <c r="F42" s="245"/>
      <c r="G42" s="3704" t="s">
        <v>2169</v>
      </c>
    </row>
    <row r="43" spans="1:7" ht="13.5" customHeight="1">
      <c r="A43" s="884" t="s">
        <v>792</v>
      </c>
      <c r="B43" s="221" t="s">
        <v>2170</v>
      </c>
      <c r="C43" s="244">
        <f ca="1">ROUND(IF('数据-取费表'!B22&lt;=1,C39*F22*'数据-取费表'!B21/2,C39*(POWER((1+F22),'数据-取费表'!B21/2)-1)),0)</f>
        <v>11</v>
      </c>
      <c r="D43" s="244"/>
      <c r="E43" s="244"/>
      <c r="F43" s="245"/>
      <c r="G43" s="3705"/>
    </row>
    <row r="44" spans="1:7" ht="13.5" customHeight="1">
      <c r="A44" s="884" t="s">
        <v>793</v>
      </c>
      <c r="B44" s="221" t="s">
        <v>2171</v>
      </c>
      <c r="C44" s="244">
        <f ca="1">ROUND(IF('数据-取费表'!B22&lt;=1,C40*F22*'数据-取费表'!B21/2,C40*(POWER((1+F22),'数据-取费表'!B21/2)-1)),4)</f>
        <v>0</v>
      </c>
      <c r="D44" s="244"/>
      <c r="E44" s="244"/>
      <c r="F44" s="245"/>
      <c r="G44" s="3706"/>
    </row>
    <row r="45" spans="1:7" s="220" customFormat="1" ht="13.5" customHeight="1">
      <c r="A45" s="261" t="s">
        <v>2172</v>
      </c>
      <c r="B45" s="250" t="s">
        <v>2138</v>
      </c>
      <c r="C45" s="251">
        <f ca="1">C46</f>
        <v>871</v>
      </c>
      <c r="D45" s="241">
        <f ca="1">C47</f>
        <v>0</v>
      </c>
      <c r="E45" s="242" t="s">
        <v>2164</v>
      </c>
      <c r="F45" s="2500">
        <f ca="1">F27</f>
        <v>0.03</v>
      </c>
      <c r="G45" s="253" t="s">
        <v>2173</v>
      </c>
    </row>
    <row r="46" spans="1:7" s="220" customFormat="1" ht="13.5" customHeight="1">
      <c r="A46" s="884" t="s">
        <v>791</v>
      </c>
      <c r="B46" s="254" t="s">
        <v>2174</v>
      </c>
      <c r="C46" s="255">
        <f ca="1">ROUND((C33+C39)*F27,0)</f>
        <v>871</v>
      </c>
      <c r="D46" s="269"/>
      <c r="E46" s="242"/>
      <c r="F46" s="252"/>
      <c r="G46" s="253"/>
    </row>
    <row r="47" spans="1:7" s="220" customFormat="1" ht="13.5" customHeight="1">
      <c r="A47" s="884" t="s">
        <v>792</v>
      </c>
      <c r="B47" s="254" t="s">
        <v>2175</v>
      </c>
      <c r="C47" s="244">
        <f ca="1">ROUND(C40*F27,4)</f>
        <v>0</v>
      </c>
      <c r="D47" s="269"/>
      <c r="E47" s="242"/>
      <c r="F47" s="252"/>
      <c r="G47" s="253"/>
    </row>
    <row r="48" spans="1:7" s="220" customFormat="1" ht="13.5" customHeight="1">
      <c r="A48" s="261" t="s">
        <v>2137</v>
      </c>
      <c r="B48" s="216" t="s">
        <v>2176</v>
      </c>
      <c r="C48" s="1463">
        <f>ROUND(F30/(1+'数据-取费表'!C42),4)</f>
        <v>1.55E-2</v>
      </c>
      <c r="D48" s="242" t="s">
        <v>2164</v>
      </c>
      <c r="E48" s="238"/>
      <c r="F48" s="2499">
        <f>F30</f>
        <v>1.575E-2</v>
      </c>
      <c r="G48" s="240" t="s">
        <v>2177</v>
      </c>
    </row>
    <row r="49" spans="1:7" ht="16.5" customHeight="1">
      <c r="A49" s="261" t="s">
        <v>2143</v>
      </c>
      <c r="B49" s="216" t="s">
        <v>2178</v>
      </c>
      <c r="C49" s="238">
        <f ca="1">ROUND((C33+C39+C41+C45)/(1-C40-D41-D45-C48),0)</f>
        <v>30921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30921</v>
      </c>
      <c r="D51" s="238"/>
      <c r="E51" s="238"/>
      <c r="F51" s="270"/>
      <c r="G51" s="240" t="s">
        <v>2185</v>
      </c>
    </row>
    <row r="52" spans="1:7" s="214" customFormat="1" ht="16.5" thickBot="1">
      <c r="A52" s="271" t="s">
        <v>2186</v>
      </c>
      <c r="B52" s="272"/>
      <c r="C52" s="273">
        <f ca="1">C31+C51</f>
        <v>82096</v>
      </c>
      <c r="D52" s="272"/>
      <c r="E52" s="272"/>
      <c r="F52" s="272"/>
      <c r="G52" s="274"/>
    </row>
    <row r="53" spans="1:7">
      <c r="C53" s="257">
        <f ca="1">C51*10000/D37</f>
        <v>4844.7550641877988</v>
      </c>
    </row>
    <row r="55" spans="1:7" ht="15">
      <c r="B55" s="276" t="s">
        <v>2187</v>
      </c>
      <c r="C55" s="277"/>
    </row>
    <row r="56" spans="1:7">
      <c r="B56" s="279" t="s">
        <v>1418</v>
      </c>
      <c r="C56" s="281">
        <f ca="1">1-C57</f>
        <v>0.623</v>
      </c>
    </row>
    <row r="57" spans="1:7">
      <c r="B57" s="279" t="s">
        <v>1419</v>
      </c>
      <c r="C57" s="280">
        <f ca="1">ROUND(C51/C52,3)</f>
        <v>0.377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0"/>
      <c r="C1" s="2010" t="s">
        <v>2188</v>
      </c>
      <c r="D1" s="204"/>
      <c r="E1" s="204"/>
      <c r="F1" s="204"/>
      <c r="G1" s="1256">
        <f>MATCH(B1,'数据-取费表'!A6:A16,0)+5</f>
        <v>8</v>
      </c>
      <c r="H1" s="1188" t="str">
        <f>IF(ISERROR(FIND("住宅",B1)),"非住宅","住宅")</f>
        <v>非住宅</v>
      </c>
    </row>
    <row r="2" spans="1:8" s="206" customFormat="1" ht="18" customHeight="1">
      <c r="A2" s="207" t="s">
        <v>2087</v>
      </c>
      <c r="B2" s="208">
        <f ca="1">ROUND(IF(D2="——",C52/10000,C52/10000-E2),0)</f>
        <v>32333</v>
      </c>
      <c r="C2" s="205" t="s">
        <v>2088</v>
      </c>
      <c r="D2" s="2004" t="s">
        <v>70</v>
      </c>
      <c r="E2" s="1299" t="e">
        <f ca="1">SUMIF(INDIRECT("'"&amp;G2&amp;"'"&amp;"!A:A"),"承租人权益价值",INDIRECT("'"&amp;G2&amp;"'"&amp;"!c:c"))</f>
        <v>#REF!</v>
      </c>
      <c r="F2" s="2005" t="s">
        <v>2088</v>
      </c>
      <c r="G2" s="2006"/>
    </row>
    <row r="3" spans="1:8" s="206" customFormat="1" ht="18" customHeight="1" thickBot="1">
      <c r="A3" s="209" t="s">
        <v>2089</v>
      </c>
      <c r="B3" s="210">
        <f ca="1">ROUND(B2*10000/(IF(B1="",'数据-汇总表'!E3,INDIRECT("'数据-取费表'!k"&amp;$G$1))),0)</f>
        <v>5066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0</v>
      </c>
      <c r="D5" s="217" t="s">
        <v>2094</v>
      </c>
      <c r="E5" s="218" t="s">
        <v>2095</v>
      </c>
      <c r="F5" s="218" t="s">
        <v>2096</v>
      </c>
      <c r="G5" s="219"/>
    </row>
    <row r="6" spans="1:8" s="220" customFormat="1" ht="13.5" customHeight="1">
      <c r="A6" s="882" t="s">
        <v>2097</v>
      </c>
      <c r="B6" s="221" t="s">
        <v>2098</v>
      </c>
      <c r="C6" s="222"/>
      <c r="D6" s="223"/>
      <c r="E6" s="224"/>
      <c r="F6" s="224"/>
      <c r="G6" s="225"/>
    </row>
    <row r="7" spans="1:8" s="220" customFormat="1" ht="13.5" customHeight="1">
      <c r="A7" s="882" t="s">
        <v>2099</v>
      </c>
      <c r="B7" s="221" t="s">
        <v>2100</v>
      </c>
      <c r="C7" s="226">
        <f>ROUND(C6*F7,0)</f>
        <v>0</v>
      </c>
      <c r="D7" s="226"/>
      <c r="E7" s="224"/>
      <c r="F7" s="227">
        <f>IF(项目基本情况!B8="出让",0,'数据-取费表'!B48+'数据-取费表'!B49)</f>
        <v>3.0499999999999999E-2</v>
      </c>
      <c r="G7" s="225"/>
    </row>
    <row r="8" spans="1:8" s="229" customFormat="1">
      <c r="A8" s="882" t="s">
        <v>2101</v>
      </c>
      <c r="B8" s="221" t="s">
        <v>2102</v>
      </c>
      <c r="C8" s="226">
        <f ca="1">IF(G8="已包含在土地购买价格中",0,C9+C10)</f>
        <v>0</v>
      </c>
      <c r="D8" s="228"/>
      <c r="E8" s="226"/>
      <c r="F8" s="227"/>
      <c r="G8" s="2007"/>
    </row>
    <row r="9" spans="1:8" s="220" customFormat="1" ht="13.5" customHeight="1">
      <c r="A9" s="883" t="s">
        <v>800</v>
      </c>
      <c r="B9" s="230" t="s">
        <v>2103</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2105</v>
      </c>
      <c r="C10" s="231">
        <f ca="1">ROUND(D10*E10,0)</f>
        <v>0</v>
      </c>
      <c r="D10" s="950">
        <f ca="1">IF(B1="",'数据-汇总表'!E6,IF(INDIRECT("'数据-取费表'!c"&amp;$G$1)="住宅",INDIRECT("'数据-取费表'!s"&amp;$G$1),INDIRECT("'数据-取费表'!k"&amp;$G$1)+INDIRECT("'数据-取费表'!s"&amp;$G$1)))</f>
        <v>63823.659999999953</v>
      </c>
      <c r="E10" s="231">
        <f>'数据-取费表'!B28</f>
        <v>0</v>
      </c>
      <c r="F10" s="227"/>
      <c r="G10" s="232"/>
    </row>
    <row r="11" spans="1:8" s="220" customFormat="1" ht="13.5" hidden="1" customHeight="1">
      <c r="A11" s="233" t="s">
        <v>7</v>
      </c>
      <c r="B11" s="221" t="s">
        <v>2106</v>
      </c>
      <c r="C11" s="217"/>
      <c r="D11" s="952"/>
      <c r="E11" s="224"/>
      <c r="F11" s="224"/>
      <c r="G11" s="225"/>
    </row>
    <row r="12" spans="1:8" s="220" customFormat="1" ht="13.5" hidden="1" customHeight="1">
      <c r="A12" s="233" t="s">
        <v>8</v>
      </c>
      <c r="B12" s="221" t="s">
        <v>2189</v>
      </c>
      <c r="C12" s="217">
        <v>0</v>
      </c>
      <c r="D12" s="952"/>
      <c r="E12" s="234"/>
      <c r="F12" s="227">
        <v>3.0499999999999999E-2</v>
      </c>
      <c r="G12" s="225"/>
    </row>
    <row r="13" spans="1:8" s="220" customFormat="1" ht="13.5" hidden="1" customHeight="1">
      <c r="A13" s="233" t="s">
        <v>9</v>
      </c>
      <c r="B13" s="221" t="s">
        <v>2190</v>
      </c>
      <c r="C13" s="217"/>
      <c r="D13" s="952"/>
      <c r="E13" s="224"/>
      <c r="F13" s="224"/>
      <c r="G13" s="225"/>
    </row>
    <row r="14" spans="1:8" s="220" customFormat="1" ht="13.5" hidden="1" customHeight="1">
      <c r="A14" s="233" t="s">
        <v>10</v>
      </c>
      <c r="B14" s="221" t="s">
        <v>2102</v>
      </c>
      <c r="C14" s="217"/>
      <c r="D14" s="952"/>
      <c r="E14" s="224"/>
      <c r="F14" s="224"/>
      <c r="G14" s="225" t="s">
        <v>2191</v>
      </c>
    </row>
    <row r="15" spans="1:8" s="220" customFormat="1" ht="13.5" hidden="1" customHeight="1">
      <c r="A15" s="233" t="s">
        <v>11</v>
      </c>
      <c r="B15" s="221" t="s">
        <v>2192</v>
      </c>
      <c r="C15" s="226"/>
      <c r="D15" s="952"/>
      <c r="E15" s="224"/>
      <c r="F15" s="224"/>
      <c r="G15" s="225" t="s">
        <v>2193</v>
      </c>
    </row>
    <row r="16" spans="1:8" s="220" customFormat="1" ht="13.5" hidden="1" customHeight="1">
      <c r="A16" s="233" t="s">
        <v>12</v>
      </c>
      <c r="B16" s="221" t="s">
        <v>2102</v>
      </c>
      <c r="C16" s="226"/>
      <c r="D16" s="952"/>
      <c r="E16" s="224"/>
      <c r="F16" s="224"/>
      <c r="G16" s="225"/>
    </row>
    <row r="17" spans="1:7" s="220" customFormat="1" ht="13.5" hidden="1" customHeight="1">
      <c r="A17" s="233" t="s">
        <v>13</v>
      </c>
      <c r="B17" s="221" t="s">
        <v>2194</v>
      </c>
      <c r="C17" s="235"/>
      <c r="D17" s="953"/>
      <c r="E17" s="235"/>
      <c r="F17" s="235"/>
      <c r="G17" s="225" t="s">
        <v>2193</v>
      </c>
    </row>
    <row r="18" spans="1:7" s="220" customFormat="1" ht="13.5" hidden="1" customHeight="1">
      <c r="A18" s="233" t="s">
        <v>14</v>
      </c>
      <c r="B18" s="221" t="s">
        <v>2195</v>
      </c>
      <c r="C18" s="226">
        <v>0</v>
      </c>
      <c r="D18" s="952"/>
      <c r="E18" s="224"/>
      <c r="F18" s="227">
        <v>3.0499999999999999E-2</v>
      </c>
      <c r="G18" s="225" t="s">
        <v>2196</v>
      </c>
    </row>
    <row r="19" spans="1:7" s="229" customFormat="1" ht="13.5" customHeight="1">
      <c r="A19" s="261" t="s">
        <v>2197</v>
      </c>
      <c r="B19" s="216" t="s">
        <v>2198</v>
      </c>
      <c r="C19" s="217">
        <f ca="1">IF(G19="已包含在土地取得成本中","0",ROUND(D19*E19,0))</f>
        <v>12764732</v>
      </c>
      <c r="D19" s="954">
        <f ca="1">D9+D10</f>
        <v>63823.659999999953</v>
      </c>
      <c r="E19" s="217">
        <f>'数据-取费表'!B31</f>
        <v>200</v>
      </c>
      <c r="F19" s="237"/>
      <c r="G19" s="2007"/>
    </row>
    <row r="20" spans="1:7" s="220" customFormat="1" ht="13.5" customHeight="1">
      <c r="A20" s="261" t="s">
        <v>2199</v>
      </c>
      <c r="B20" s="216" t="s">
        <v>2200</v>
      </c>
      <c r="C20" s="238">
        <f ca="1">ROUND((C5+C19)*F20,0)</f>
        <v>255295</v>
      </c>
      <c r="D20" s="238"/>
      <c r="E20" s="238"/>
      <c r="F20" s="239">
        <f>'数据-取费表'!B37</f>
        <v>0.02</v>
      </c>
      <c r="G20" s="240" t="s">
        <v>2201</v>
      </c>
    </row>
    <row r="21" spans="1:7" s="220" customFormat="1" ht="13.5" customHeight="1">
      <c r="A21" s="261" t="s">
        <v>2202</v>
      </c>
      <c r="B21" s="216" t="s">
        <v>2203</v>
      </c>
      <c r="C21" s="241">
        <f>F21</f>
        <v>0</v>
      </c>
      <c r="D21" s="242" t="s">
        <v>2204</v>
      </c>
      <c r="E21" s="238"/>
      <c r="F21" s="239">
        <f>'数据-取费表'!B38</f>
        <v>0</v>
      </c>
      <c r="G21" s="240" t="s">
        <v>2205</v>
      </c>
    </row>
    <row r="22" spans="1:7" s="220" customFormat="1" ht="13.5" customHeight="1">
      <c r="A22" s="261" t="s">
        <v>2206</v>
      </c>
      <c r="B22" s="216" t="s">
        <v>2207</v>
      </c>
      <c r="C22" s="1257">
        <f ca="1">ROUND(SUM(C23:C25),0)</f>
        <v>477018</v>
      </c>
      <c r="D22" s="241">
        <f ca="1">C26</f>
        <v>0</v>
      </c>
      <c r="E22" s="242" t="s">
        <v>2204</v>
      </c>
      <c r="F22" s="243">
        <f ca="1">'数据-取费表'!B40</f>
        <v>3.7000000000000005E-2</v>
      </c>
      <c r="G22" s="240" t="str">
        <f>IF('数据-取费表'!B22&lt;=1,"单利计息","复利计息")</f>
        <v>单利计息</v>
      </c>
    </row>
    <row r="23" spans="1:7" s="220" customFormat="1" ht="13.5" customHeight="1">
      <c r="A23" s="884" t="s">
        <v>2097</v>
      </c>
      <c r="B23" s="221" t="s">
        <v>2208</v>
      </c>
      <c r="C23" s="1258">
        <f ca="1">ROUND(IF('数据-取费表'!B22&lt;=1,C5*F22*'数据-取费表'!B22,C5*(POWER((1+F22),'数据-取费表'!B22)-1)),0)</f>
        <v>0</v>
      </c>
      <c r="D23" s="244"/>
      <c r="E23" s="244"/>
      <c r="F23" s="245"/>
      <c r="G23" s="246" t="s">
        <v>2209</v>
      </c>
    </row>
    <row r="24" spans="1:7" s="220" customFormat="1" ht="13.5" customHeight="1">
      <c r="A24" s="884" t="s">
        <v>2099</v>
      </c>
      <c r="B24" s="221" t="s">
        <v>2210</v>
      </c>
      <c r="C24" s="1258">
        <f ca="1">ROUND(IF('数据-取费表'!B22&lt;=1,C19*F22*('数据-取费表'!B19/2+'数据-取费表'!B20),C19*(POWER((1+F22),('数据-取费表'!B19/2+'数据-取费表'!B20))-1)),0)</f>
        <v>472295</v>
      </c>
      <c r="D24" s="244"/>
      <c r="E24" s="244"/>
      <c r="F24" s="245"/>
      <c r="G24" s="246" t="s">
        <v>2211</v>
      </c>
    </row>
    <row r="25" spans="1:7" s="220" customFormat="1" ht="24">
      <c r="A25" s="884" t="s">
        <v>2101</v>
      </c>
      <c r="B25" s="221" t="s">
        <v>2212</v>
      </c>
      <c r="C25" s="1258">
        <f ca="1">ROUND(IF('数据-取费表'!B22&lt;=1,C20*F22*'数据-取费表'!B22/2,C20*(POWER((1+F22),'数据-取费表'!B22/2)-1)),0)</f>
        <v>4723</v>
      </c>
      <c r="D25" s="244"/>
      <c r="E25" s="247"/>
      <c r="F25" s="245"/>
      <c r="G25" s="248" t="s">
        <v>2213</v>
      </c>
    </row>
    <row r="26" spans="1:7" s="220" customFormat="1">
      <c r="A26" s="884" t="s">
        <v>795</v>
      </c>
      <c r="B26" s="221" t="s">
        <v>2136</v>
      </c>
      <c r="C26" s="244">
        <f ca="1">ROUND(IF('数据-取费表'!B22&lt;=1,F21*F22*'数据-取费表'!B22/2,F21*(POWER((1+F22),'数据-取费表'!B22/2)-1)),4)</f>
        <v>0</v>
      </c>
      <c r="D26" s="244"/>
      <c r="E26" s="247"/>
      <c r="F26" s="245"/>
      <c r="G26" s="249"/>
    </row>
    <row r="27" spans="1:7" s="220" customFormat="1" ht="24.75">
      <c r="A27" s="261" t="s">
        <v>2137</v>
      </c>
      <c r="B27" s="250" t="s">
        <v>2138</v>
      </c>
      <c r="C27" s="251">
        <f ca="1">C28</f>
        <v>390601</v>
      </c>
      <c r="D27" s="241">
        <f ca="1">C29</f>
        <v>0</v>
      </c>
      <c r="E27" s="242" t="s">
        <v>2139</v>
      </c>
      <c r="F27" s="252">
        <f ca="1">IF(B1="",'数据-取费表'!Q16,INDIRECT("'数据-取费表'!q"&amp;$G$1))</f>
        <v>0.03</v>
      </c>
      <c r="G27" s="253" t="s">
        <v>2140</v>
      </c>
    </row>
    <row r="28" spans="1:7" s="220" customFormat="1" ht="13.5" customHeight="1">
      <c r="A28" s="884" t="s">
        <v>791</v>
      </c>
      <c r="B28" s="254" t="s">
        <v>2141</v>
      </c>
      <c r="C28" s="255">
        <f ca="1">ROUND((C5+C19+C20)*F27,0)</f>
        <v>390601</v>
      </c>
      <c r="D28" s="241"/>
      <c r="E28" s="242"/>
      <c r="F28" s="252"/>
      <c r="G28" s="253"/>
    </row>
    <row r="29" spans="1:7" s="220" customFormat="1" ht="13.5" customHeight="1">
      <c r="A29" s="884" t="s">
        <v>792</v>
      </c>
      <c r="B29" s="254" t="s">
        <v>2142</v>
      </c>
      <c r="C29" s="244">
        <f ca="1">ROUND(C21*F27,4)</f>
        <v>0</v>
      </c>
      <c r="D29" s="241"/>
      <c r="E29" s="242"/>
      <c r="F29" s="252"/>
      <c r="G29" s="253"/>
    </row>
    <row r="30" spans="1:7" s="220" customFormat="1" ht="13.5" customHeight="1">
      <c r="A30" s="261" t="s">
        <v>2143</v>
      </c>
      <c r="B30" s="216" t="s">
        <v>2144</v>
      </c>
      <c r="C30" s="241">
        <f>ROUND(F30/(1+'数据-取费表'!C42),4)</f>
        <v>1.55E-2</v>
      </c>
      <c r="D30" s="242" t="s">
        <v>2139</v>
      </c>
      <c r="E30" s="247"/>
      <c r="F30" s="243">
        <f>'数据-取费表'!B41</f>
        <v>1.575E-2</v>
      </c>
      <c r="G30" s="240" t="s">
        <v>2145</v>
      </c>
    </row>
    <row r="31" spans="1:7" ht="16.5" customHeight="1">
      <c r="A31" s="215">
        <v>1</v>
      </c>
      <c r="B31" s="216" t="s">
        <v>2146</v>
      </c>
      <c r="C31" s="217">
        <f ca="1">ROUND((C5+C19+C20+C22+C27)/(1-C21-D22-D27-C30),0)</f>
        <v>14106294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284653524</v>
      </c>
      <c r="D33" s="238"/>
      <c r="E33" s="218"/>
      <c r="F33" s="247"/>
      <c r="G33" s="240"/>
    </row>
    <row r="34" spans="1:7" s="264" customFormat="1" ht="13.5" customHeight="1">
      <c r="A34" s="884" t="s">
        <v>791</v>
      </c>
      <c r="B34" s="221" t="s">
        <v>2150</v>
      </c>
      <c r="C34" s="226">
        <f ca="1">ROUND(IF(B1="",SUMPRODUCT('数据-取费表'!K6:K14,'数据-取费表'!L6:L14),INDIRECT("'数据-取费表'!l"&amp;$G$1)*INDIRECT("'数据-取费表'!k"&amp;$G$1)+'数据-取费表'!L14*INDIRECT("'数据-取费表'!S"&amp;$G$1)),0)</f>
        <v>255294640</v>
      </c>
      <c r="D34" s="223"/>
      <c r="E34" s="226"/>
      <c r="F34" s="263"/>
      <c r="G34" s="225"/>
    </row>
    <row r="35" spans="1:7" ht="13.5" customHeight="1">
      <c r="A35" s="884" t="s">
        <v>796</v>
      </c>
      <c r="B35" s="221" t="s">
        <v>2152</v>
      </c>
      <c r="C35" s="226">
        <f ca="1">ROUND(C34*F35,0)</f>
        <v>12764732</v>
      </c>
      <c r="D35" s="226"/>
      <c r="E35" s="226"/>
      <c r="F35" s="265">
        <f>'数据-取费表'!B33</f>
        <v>0.05</v>
      </c>
      <c r="G35" s="225" t="s">
        <v>2153</v>
      </c>
    </row>
    <row r="36" spans="1:7" ht="24">
      <c r="A36" s="884"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4" t="s">
        <v>798</v>
      </c>
      <c r="B37" s="221" t="s">
        <v>2156</v>
      </c>
      <c r="C37" s="255">
        <f ca="1">ROUND(E37*D37,0)</f>
        <v>12764732</v>
      </c>
      <c r="D37" s="223">
        <f ca="1">D19</f>
        <v>63823.659999999953</v>
      </c>
      <c r="E37" s="255">
        <f>'数据-取费表'!B35</f>
        <v>200</v>
      </c>
      <c r="F37" s="265"/>
      <c r="G37" s="267"/>
    </row>
    <row r="38" spans="1:7" ht="13.5" customHeight="1">
      <c r="A38" s="884" t="s">
        <v>799</v>
      </c>
      <c r="B38" s="221" t="s">
        <v>2158</v>
      </c>
      <c r="C38" s="226">
        <f ca="1">ROUND(C34*F38,0)</f>
        <v>3829420</v>
      </c>
      <c r="D38" s="226"/>
      <c r="E38" s="226"/>
      <c r="F38" s="265">
        <f>'数据-取费表'!B36</f>
        <v>1.4999999999999999E-2</v>
      </c>
      <c r="G38" s="225" t="s">
        <v>2153</v>
      </c>
    </row>
    <row r="39" spans="1:7" s="220" customFormat="1" ht="13.5" customHeight="1">
      <c r="A39" s="261" t="s">
        <v>2159</v>
      </c>
      <c r="B39" s="216" t="s">
        <v>2160</v>
      </c>
      <c r="C39" s="238">
        <f ca="1">ROUND(C33*F20,0)</f>
        <v>5693070</v>
      </c>
      <c r="D39" s="238"/>
      <c r="E39" s="238"/>
      <c r="F39" s="2498">
        <f>F20</f>
        <v>0.02</v>
      </c>
      <c r="G39" s="240" t="s">
        <v>2161</v>
      </c>
    </row>
    <row r="40" spans="1:7" s="220" customFormat="1" ht="13.5" customHeight="1">
      <c r="A40" s="261" t="s">
        <v>2162</v>
      </c>
      <c r="B40" s="216" t="s">
        <v>2163</v>
      </c>
      <c r="C40" s="1463">
        <f>F21</f>
        <v>0</v>
      </c>
      <c r="D40" s="242" t="s">
        <v>2164</v>
      </c>
      <c r="E40" s="238"/>
      <c r="F40" s="2498">
        <f>F21</f>
        <v>0</v>
      </c>
      <c r="G40" s="240" t="s">
        <v>2165</v>
      </c>
    </row>
    <row r="41" spans="1:7" s="220" customFormat="1" ht="13.5" customHeight="1">
      <c r="A41" s="261" t="s">
        <v>2166</v>
      </c>
      <c r="B41" s="216" t="s">
        <v>2167</v>
      </c>
      <c r="C41" s="238">
        <f ca="1">ROUND(SUM(C42:C43),0)</f>
        <v>5371412</v>
      </c>
      <c r="D41" s="241">
        <f ca="1">C44</f>
        <v>0</v>
      </c>
      <c r="E41" s="242" t="s">
        <v>2164</v>
      </c>
      <c r="F41" s="2499">
        <f ca="1">F22</f>
        <v>3.7000000000000005E-2</v>
      </c>
      <c r="G41" s="240" t="str">
        <f>IF('数据-取费表'!B22&lt;=1,"单利计息","复利计息")</f>
        <v>单利计息</v>
      </c>
    </row>
    <row r="42" spans="1:7" ht="13.5" customHeight="1">
      <c r="A42" s="884" t="s">
        <v>791</v>
      </c>
      <c r="B42" s="221" t="s">
        <v>2168</v>
      </c>
      <c r="C42" s="244">
        <f ca="1">ROUND(IF('数据-取费表'!B22&lt;=1,C33*F22*'数据-取费表'!B20/2,C33*(POWER((1+F22),'数据-取费表'!B20/2)-1)),0)</f>
        <v>5266090</v>
      </c>
      <c r="D42" s="244"/>
      <c r="E42" s="244"/>
      <c r="F42" s="245"/>
      <c r="G42" s="3704" t="s">
        <v>2216</v>
      </c>
    </row>
    <row r="43" spans="1:7" ht="13.5" customHeight="1">
      <c r="A43" s="884" t="s">
        <v>792</v>
      </c>
      <c r="B43" s="221" t="s">
        <v>2170</v>
      </c>
      <c r="C43" s="244">
        <f ca="1">ROUND(IF('数据-取费表'!B22&lt;=1,C39*F22*'数据-取费表'!B20/2,C39*(POWER((1+F22),'数据-取费表'!B20/2)-1)),0)</f>
        <v>105322</v>
      </c>
      <c r="D43" s="244"/>
      <c r="E43" s="244"/>
      <c r="F43" s="245"/>
      <c r="G43" s="3705"/>
    </row>
    <row r="44" spans="1:7" ht="13.5" customHeight="1">
      <c r="A44" s="884" t="s">
        <v>793</v>
      </c>
      <c r="B44" s="221" t="s">
        <v>2171</v>
      </c>
      <c r="C44" s="244">
        <f ca="1">ROUND(IF('数据-取费表'!B22&lt;=1,C40*F22*'数据-取费表'!B20/2,C40*(POWER((1+F22),'数据-取费表'!B20/2)-1)),4)</f>
        <v>0</v>
      </c>
      <c r="D44" s="244"/>
      <c r="E44" s="244"/>
      <c r="F44" s="245"/>
      <c r="G44" s="3706"/>
    </row>
    <row r="45" spans="1:7" s="220" customFormat="1" ht="13.5" customHeight="1">
      <c r="A45" s="261" t="s">
        <v>2172</v>
      </c>
      <c r="B45" s="250" t="s">
        <v>2138</v>
      </c>
      <c r="C45" s="251">
        <f ca="1">C46</f>
        <v>8710398</v>
      </c>
      <c r="D45" s="241">
        <f ca="1">C47</f>
        <v>0</v>
      </c>
      <c r="E45" s="242" t="s">
        <v>2164</v>
      </c>
      <c r="F45" s="2500">
        <f ca="1">F27</f>
        <v>0.03</v>
      </c>
      <c r="G45" s="253" t="s">
        <v>2173</v>
      </c>
    </row>
    <row r="46" spans="1:7" s="220" customFormat="1" ht="13.5" customHeight="1">
      <c r="A46" s="884" t="s">
        <v>791</v>
      </c>
      <c r="B46" s="254" t="s">
        <v>2174</v>
      </c>
      <c r="C46" s="255">
        <f ca="1">ROUND((C33+C39)*F27,0)</f>
        <v>8710398</v>
      </c>
      <c r="D46" s="269"/>
      <c r="E46" s="242"/>
      <c r="F46" s="252"/>
      <c r="G46" s="253"/>
    </row>
    <row r="47" spans="1:7" s="220" customFormat="1" ht="13.5" customHeight="1">
      <c r="A47" s="884" t="s">
        <v>792</v>
      </c>
      <c r="B47" s="254" t="s">
        <v>2175</v>
      </c>
      <c r="C47" s="244">
        <f ca="1">ROUND(C40*F27,4)</f>
        <v>0</v>
      </c>
      <c r="D47" s="269"/>
      <c r="E47" s="242"/>
      <c r="F47" s="252"/>
      <c r="G47" s="253"/>
    </row>
    <row r="48" spans="1:7" s="220" customFormat="1" ht="13.5" customHeight="1">
      <c r="A48" s="261" t="s">
        <v>2137</v>
      </c>
      <c r="B48" s="216" t="s">
        <v>2176</v>
      </c>
      <c r="C48" s="268">
        <f>ROUND(F30/(1+'数据-取费表'!C42),4)</f>
        <v>1.55E-2</v>
      </c>
      <c r="D48" s="242" t="s">
        <v>2164</v>
      </c>
      <c r="E48" s="238"/>
      <c r="F48" s="2499">
        <f>F30</f>
        <v>1.575E-2</v>
      </c>
      <c r="G48" s="240" t="s">
        <v>2177</v>
      </c>
    </row>
    <row r="49" spans="1:7" ht="16.5" customHeight="1">
      <c r="A49" s="261" t="s">
        <v>2143</v>
      </c>
      <c r="B49" s="216" t="s">
        <v>2217</v>
      </c>
      <c r="C49" s="238">
        <f ca="1">ROUND((C33+C39+C41+C45)/(1-C40-D41-D45-C48),0)</f>
        <v>309221335</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309221335</v>
      </c>
      <c r="D51" s="238"/>
      <c r="E51" s="238"/>
      <c r="F51" s="270"/>
      <c r="G51" s="240" t="s">
        <v>2185</v>
      </c>
    </row>
    <row r="52" spans="1:7" s="214" customFormat="1" ht="16.5" thickBot="1">
      <c r="A52" s="271" t="s">
        <v>2186</v>
      </c>
      <c r="B52" s="272"/>
      <c r="C52" s="273">
        <f ca="1">C31+C51</f>
        <v>323327629</v>
      </c>
      <c r="D52" s="272"/>
      <c r="E52" s="272"/>
      <c r="F52" s="272"/>
      <c r="G52" s="274"/>
    </row>
    <row r="55" spans="1:7" ht="15">
      <c r="B55" s="276" t="s">
        <v>2187</v>
      </c>
      <c r="C55" s="277"/>
    </row>
    <row r="56" spans="1:7">
      <c r="B56" s="279" t="s">
        <v>1418</v>
      </c>
      <c r="C56" s="281">
        <f ca="1">1-C57</f>
        <v>4.4000000000000039E-2</v>
      </c>
    </row>
    <row r="57" spans="1:7">
      <c r="B57" s="279" t="s">
        <v>1419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2219</v>
      </c>
      <c r="B1" s="1321"/>
      <c r="C1" s="1322"/>
      <c r="D1" s="1320"/>
      <c r="E1" s="2999"/>
      <c r="F1" s="2999"/>
      <c r="G1" s="2862"/>
      <c r="H1" s="2999"/>
      <c r="I1" s="2999"/>
      <c r="J1" s="2999"/>
      <c r="K1" s="3000">
        <f>MATCH(C1,'数据-取费表'!A6:A16,0)+5</f>
        <v>8</v>
      </c>
    </row>
    <row r="2" spans="1:33" ht="18" customHeight="1">
      <c r="A2" s="207" t="s">
        <v>2087</v>
      </c>
      <c r="B2" s="210">
        <f ca="1">C32</f>
        <v>0</v>
      </c>
      <c r="C2" s="282" t="s">
        <v>2220</v>
      </c>
      <c r="D2" s="282"/>
      <c r="E2" s="2999"/>
      <c r="F2" s="2999"/>
      <c r="G2" s="2999"/>
      <c r="H2" s="2999"/>
      <c r="I2" s="2999"/>
      <c r="J2" s="2999"/>
      <c r="K2" s="2999"/>
    </row>
    <row r="3" spans="1:33" ht="18" customHeight="1" thickBot="1">
      <c r="A3" s="209" t="s">
        <v>2089</v>
      </c>
      <c r="B3" s="210">
        <f ca="1">ROUND(B2*10000/IF(C1="",'数据-汇总表'!E3,INDIRECT("'数据-取费表'!K"&amp;$K$1)),0)</f>
        <v>0</v>
      </c>
      <c r="C3" s="282" t="s">
        <v>2221</v>
      </c>
      <c r="D3" s="282"/>
      <c r="E3" s="2999"/>
      <c r="F3" s="2999"/>
      <c r="G3" s="2999"/>
      <c r="H3" s="2999"/>
      <c r="I3" s="2999"/>
      <c r="J3" s="2999"/>
      <c r="K3" s="2999"/>
    </row>
    <row r="4" spans="1:33" s="889" customFormat="1" ht="16.5" customHeight="1">
      <c r="A4" s="886" t="s">
        <v>2222</v>
      </c>
      <c r="B4" s="887"/>
      <c r="C4" s="929">
        <f>SUM(C8:K8)</f>
        <v>0</v>
      </c>
      <c r="D4" s="887"/>
      <c r="E4" s="887"/>
      <c r="F4" s="887"/>
      <c r="G4" s="887"/>
      <c r="H4" s="887"/>
      <c r="I4" s="887"/>
      <c r="J4" s="887"/>
      <c r="K4" s="888"/>
    </row>
    <row r="5" spans="1:33" s="893" customFormat="1" ht="24.75">
      <c r="A5" s="890" t="s">
        <v>2223</v>
      </c>
      <c r="B5" s="891" t="s">
        <v>2224</v>
      </c>
      <c r="C5" s="2011" t="s">
        <v>2225</v>
      </c>
      <c r="D5" s="2011" t="s">
        <v>2226</v>
      </c>
      <c r="E5" s="2011" t="s">
        <v>2227</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2231</v>
      </c>
      <c r="B8" s="169" t="s">
        <v>2232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2233</v>
      </c>
      <c r="B9" s="887"/>
      <c r="C9" s="887"/>
      <c r="D9" s="887"/>
      <c r="E9" s="887"/>
      <c r="F9" s="887"/>
      <c r="G9" s="887"/>
      <c r="H9" s="887"/>
      <c r="I9" s="887"/>
      <c r="J9" s="887"/>
      <c r="K9" s="888"/>
    </row>
    <row r="10" spans="1:33" s="903" customFormat="1" ht="13.5" customHeight="1">
      <c r="A10" s="890" t="s">
        <v>2234</v>
      </c>
      <c r="B10" s="8" t="s">
        <v>2235</v>
      </c>
      <c r="C10" s="899" t="s">
        <v>2236</v>
      </c>
      <c r="D10" s="900" t="s">
        <v>2237</v>
      </c>
      <c r="E10" s="900" t="s">
        <v>2238</v>
      </c>
      <c r="F10" s="900" t="s">
        <v>2239</v>
      </c>
      <c r="G10" s="8"/>
      <c r="H10" s="901"/>
      <c r="I10" s="901"/>
      <c r="J10" s="901"/>
      <c r="K10" s="902"/>
    </row>
    <row r="11" spans="1:33" s="908" customFormat="1" ht="13.5" customHeight="1">
      <c r="A11" s="904" t="s">
        <v>1241</v>
      </c>
      <c r="B11" s="905" t="s">
        <v>2240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2241</v>
      </c>
      <c r="C12" s="24">
        <f ca="1">ROUND(C11*F12,0)</f>
        <v>0</v>
      </c>
      <c r="D12" s="906"/>
      <c r="E12" s="335"/>
      <c r="F12" s="909">
        <f>'数据-取费表'!B33</f>
        <v>0.05</v>
      </c>
      <c r="G12" s="8" t="s">
        <v>2242</v>
      </c>
      <c r="H12" s="901"/>
      <c r="I12" s="901"/>
      <c r="J12" s="901"/>
      <c r="K12" s="902"/>
    </row>
    <row r="13" spans="1:33" s="908" customFormat="1" ht="13.5" customHeight="1">
      <c r="A13" s="904" t="s">
        <v>1243</v>
      </c>
      <c r="B13" s="905" t="s">
        <v>2243</v>
      </c>
      <c r="C13" s="24">
        <f ca="1">ROUND(IF(C1="",SUMIF('数据-取费表'!C:C,"住宅",'数据-取费表'!P:P)*F13,IF(INDIRECT("'数据-取费表'!c"&amp;$K$1)="住宅",INDIRECT("'数据-取费表'!P"&amp;$K$1)*F13,0)),0)</f>
        <v>0</v>
      </c>
      <c r="D13" s="951"/>
      <c r="E13" s="335"/>
      <c r="F13" s="909">
        <f>'数据-取费表'!B34</f>
        <v>0</v>
      </c>
      <c r="G13" s="8" t="s">
        <v>2244</v>
      </c>
      <c r="H13" s="901"/>
      <c r="I13" s="901"/>
      <c r="J13" s="901"/>
      <c r="K13" s="902"/>
    </row>
    <row r="14" spans="1:33" s="910" customFormat="1" ht="13.5" customHeight="1">
      <c r="A14" s="904" t="s">
        <v>1244</v>
      </c>
      <c r="B14" s="905" t="s">
        <v>2245</v>
      </c>
      <c r="C14" s="24">
        <f ca="1">ROUND(D14*E14*F11/10000,0)</f>
        <v>0</v>
      </c>
      <c r="D14" s="951">
        <f ca="1">IF(C1="",'数据-汇总表'!E3,INDIRECT("'数据-取费表'!K"&amp;$K$1)+INDIRECT("'数据-取费表'!S"&amp;$K$1))</f>
        <v>63823.659999999953</v>
      </c>
      <c r="E14" s="24">
        <f>'数据-取费表'!B35</f>
        <v>200</v>
      </c>
      <c r="F14" s="909"/>
      <c r="G14" s="8" t="s">
        <v>2246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2247</v>
      </c>
      <c r="C15" s="916">
        <f ca="1">ROUND(C11*F15,0)</f>
        <v>0</v>
      </c>
      <c r="D15" s="911"/>
      <c r="E15" s="916"/>
      <c r="F15" s="917">
        <f>'数据-取费表'!B36</f>
        <v>1.4999999999999999E-2</v>
      </c>
      <c r="G15" s="136" t="s">
        <v>2248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2249</v>
      </c>
      <c r="C16" s="916">
        <f ca="1">SUM(C11:C15)</f>
        <v>0</v>
      </c>
      <c r="D16" s="911"/>
      <c r="E16" s="916"/>
      <c r="F16" s="917"/>
      <c r="G16" s="136"/>
      <c r="H16" s="1318"/>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2250</v>
      </c>
      <c r="C17" s="24">
        <f ca="1">ROUND(D17*E17/10000,0)</f>
        <v>0</v>
      </c>
      <c r="D17" s="951">
        <f ca="1">D14</f>
        <v>63823.659999999953</v>
      </c>
      <c r="E17" s="24">
        <f>'数据-取费表'!B32</f>
        <v>0</v>
      </c>
      <c r="F17" s="911"/>
      <c r="G17" s="136" t="s">
        <v>2251</v>
      </c>
      <c r="H17" s="1318"/>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2252</v>
      </c>
      <c r="C18" s="24">
        <f ca="1">C19+C20-IF(C1="",'数据-取费表'!B29,IF(G18="已全部缴纳",C19+C20,H18))</f>
        <v>0</v>
      </c>
      <c r="D18" s="951"/>
      <c r="E18" s="24"/>
      <c r="F18" s="909"/>
      <c r="G18" s="2013"/>
      <c r="H18" s="1317"/>
      <c r="I18" s="2014" t="s">
        <v>2253</v>
      </c>
      <c r="J18" s="912"/>
      <c r="K18" s="913"/>
    </row>
    <row r="19" spans="1:33" s="908" customFormat="1" ht="13.5" customHeight="1">
      <c r="A19" s="904" t="s">
        <v>805</v>
      </c>
      <c r="B19" s="905" t="s">
        <v>2254</v>
      </c>
      <c r="C19" s="24">
        <f ca="1">ROUND(D19*E19/10000,0)</f>
        <v>0</v>
      </c>
      <c r="D19" s="951">
        <f ca="1">IF(C1="",'数据-汇总表'!E5,IF(INDIRECT("'数据-取费表'!c"&amp;$K$1)="住宅",INDIRECT("'数据-取费表'!k"&amp;$K$1),0))</f>
        <v>0</v>
      </c>
      <c r="E19" s="24">
        <f>'数据-取费表'!B27</f>
        <v>0</v>
      </c>
      <c r="F19" s="909"/>
      <c r="G19" s="15"/>
      <c r="H19" s="1319"/>
      <c r="I19" s="914"/>
      <c r="J19" s="914"/>
      <c r="K19" s="915"/>
    </row>
    <row r="20" spans="1:33" s="908" customFormat="1" ht="13.5" customHeight="1">
      <c r="A20" s="904" t="s">
        <v>806</v>
      </c>
      <c r="B20" s="905" t="s">
        <v>2255</v>
      </c>
      <c r="C20" s="24">
        <f ca="1">ROUND(D20*E20/10000,0)</f>
        <v>0</v>
      </c>
      <c r="D20" s="951">
        <f ca="1">IF(C1="",'数据-汇总表'!E6,IF(INDIRECT("'数据-取费表'!c"&amp;$K$1)="住宅",INDIRECT("'数据-取费表'!s"&amp;$K$1),INDIRECT("'数据-取费表'!k"&amp;$K$1)+INDIRECT("'数据-取费表'!s"&amp;$K$1)))</f>
        <v>63823.659999999953</v>
      </c>
      <c r="E20" s="24">
        <f>'数据-取费表'!B28</f>
        <v>0</v>
      </c>
      <c r="F20" s="909"/>
      <c r="G20" s="15"/>
      <c r="H20" s="914"/>
      <c r="I20" s="914"/>
      <c r="J20" s="914"/>
      <c r="K20" s="915"/>
    </row>
    <row r="21" spans="1:33" s="908" customFormat="1" ht="13.5" customHeight="1">
      <c r="A21" s="894" t="s">
        <v>802</v>
      </c>
      <c r="B21" s="918" t="s">
        <v>2256</v>
      </c>
      <c r="C21" s="919">
        <f ca="1">C16+C17+C18</f>
        <v>0</v>
      </c>
      <c r="D21" s="920"/>
      <c r="E21" s="287"/>
      <c r="F21" s="287"/>
      <c r="G21" s="136" t="s">
        <v>2257</v>
      </c>
      <c r="H21" s="912"/>
      <c r="I21" s="912"/>
      <c r="J21" s="912"/>
      <c r="K21" s="913"/>
    </row>
    <row r="22" spans="1:33" s="908" customFormat="1" ht="13.5" customHeight="1">
      <c r="A22" s="894" t="s">
        <v>2229</v>
      </c>
      <c r="B22" s="918" t="s">
        <v>2258</v>
      </c>
      <c r="C22" s="919">
        <f ca="1">ROUND(C21*F22,0)</f>
        <v>0</v>
      </c>
      <c r="D22" s="287"/>
      <c r="E22" s="287"/>
      <c r="F22" s="921">
        <f>'数据-取费表'!B37</f>
        <v>0.02</v>
      </c>
      <c r="G22" s="8" t="s">
        <v>2259</v>
      </c>
      <c r="H22" s="901"/>
      <c r="I22" s="901"/>
      <c r="J22" s="901"/>
      <c r="K22" s="902"/>
    </row>
    <row r="23" spans="1:33" s="908" customFormat="1" ht="13.5" customHeight="1">
      <c r="A23" s="894" t="s">
        <v>2231</v>
      </c>
      <c r="B23" s="918" t="s">
        <v>2260</v>
      </c>
      <c r="C23" s="919">
        <f ca="1">ROUND(C4*F23*F11,0)</f>
        <v>0</v>
      </c>
      <c r="D23" s="287"/>
      <c r="E23" s="287"/>
      <c r="F23" s="921">
        <f>'数据-取费表'!B38</f>
        <v>0</v>
      </c>
      <c r="G23" s="8" t="s">
        <v>2261</v>
      </c>
      <c r="H23" s="901"/>
      <c r="I23" s="901"/>
      <c r="J23" s="901"/>
      <c r="K23" s="902"/>
    </row>
    <row r="24" spans="1:33" s="908" customFormat="1" ht="13.5" customHeight="1">
      <c r="A24" s="894" t="s">
        <v>2262</v>
      </c>
      <c r="B24" s="918" t="s">
        <v>2263</v>
      </c>
      <c r="C24" s="286">
        <f>ROUND(F24/(1+'数据-取费表'!C42),4)</f>
        <v>0.03</v>
      </c>
      <c r="D24" s="287" t="s">
        <v>15</v>
      </c>
      <c r="E24" s="287"/>
      <c r="F24" s="921">
        <f>IF(项目基本情况!B8="出让",0,'数据-取费表'!B48+'数据-取费表'!B49)</f>
        <v>3.0499999999999999E-2</v>
      </c>
      <c r="G24" s="8" t="s">
        <v>2264</v>
      </c>
      <c r="H24" s="923"/>
      <c r="I24" s="923"/>
      <c r="J24" s="923"/>
      <c r="K24" s="924"/>
    </row>
    <row r="25" spans="1:33" s="908" customFormat="1" ht="13.5" customHeight="1">
      <c r="A25" s="894" t="s">
        <v>2265</v>
      </c>
      <c r="B25" s="920" t="s">
        <v>2266</v>
      </c>
      <c r="C25" s="1234">
        <f ca="1">C27</f>
        <v>0</v>
      </c>
      <c r="D25" s="286">
        <f ca="1">C26</f>
        <v>0</v>
      </c>
      <c r="E25" s="288" t="s">
        <v>15</v>
      </c>
      <c r="F25" s="289">
        <f ca="1">'数据-取费表'!B40</f>
        <v>3.7000000000000005E-2</v>
      </c>
      <c r="G25" s="136" t="str">
        <f>IF('数据-取费表'!B22&lt;=1,"单利计息。","复利计息。")&amp;"后续开发成本、管理费用及销售费用产生的利息。"</f>
        <v>单利计息。后续开发成本、管理费用及销售费用产生的利息。</v>
      </c>
      <c r="H25" s="923"/>
      <c r="I25" s="923"/>
      <c r="J25" s="923"/>
      <c r="K25" s="924"/>
    </row>
    <row r="26" spans="1:33" s="926" customFormat="1" ht="13.5" customHeight="1">
      <c r="A26" s="904" t="s">
        <v>803</v>
      </c>
      <c r="B26" s="925" t="s">
        <v>2267</v>
      </c>
      <c r="C26" s="1235">
        <f ca="1">ROUND(IF('数据-取费表'!B22&lt;=1,(1+C24)*F25*'数据-取费表'!B24,(1+C24)*(POWER((1+F25),'数据-取费表'!B24)-1)),4)</f>
        <v>0</v>
      </c>
      <c r="D26" s="290"/>
      <c r="E26" s="291"/>
      <c r="F26" s="292"/>
      <c r="G26" s="2015" t="str">
        <f>IF('数据-取费表'!B22&lt;=1,"（(1)+取得税费率/(1+5%)）×年利率×建设期","（(1)+取得税费率）/(1+5%)×((1+年利率)^建设期-1)")</f>
        <v>（(1)+取得税费率/(1+5%)）×年利率×建设期</v>
      </c>
      <c r="H26" s="912"/>
      <c r="I26" s="912"/>
      <c r="J26" s="912"/>
      <c r="K26" s="913"/>
    </row>
    <row r="27" spans="1:33" s="926" customFormat="1" ht="13.5" customHeight="1">
      <c r="A27" s="904" t="s">
        <v>804</v>
      </c>
      <c r="B27" s="925" t="s">
        <v>2268</v>
      </c>
      <c r="C27" s="1236">
        <f ca="1">ROUND(IF('数据-取费表'!B22&lt;=1,(C21+C22+C23)*F25*'数据-取费表'!B24/2,(C21+C22+C23)*(POWER((1+F25),'数据-取费表'!B24/2)-1)),0)</f>
        <v>0</v>
      </c>
      <c r="D27" s="290"/>
      <c r="E27" s="291"/>
      <c r="F27" s="292"/>
      <c r="G27" s="2015" t="str">
        <f>IF('数据-取费表'!B22&lt;=1,"（1）-（3）项×年利率×建设期÷2","（1）-（3）项×((1+年利率)^(建设期÷2)-1)")</f>
        <v>（1）-（3）项×年利率×建设期÷2</v>
      </c>
      <c r="H27" s="912"/>
      <c r="I27" s="912"/>
      <c r="J27" s="912"/>
      <c r="K27" s="913"/>
    </row>
    <row r="28" spans="1:33" s="295" customFormat="1" ht="13.5" customHeight="1">
      <c r="A28" s="894" t="s">
        <v>2269</v>
      </c>
      <c r="B28" s="2016" t="s">
        <v>2270</v>
      </c>
      <c r="C28" s="293">
        <f ca="1">C30</f>
        <v>0</v>
      </c>
      <c r="D28" s="286">
        <f ca="1">C29</f>
        <v>0</v>
      </c>
      <c r="E28" s="288" t="s">
        <v>15</v>
      </c>
      <c r="F28" s="294">
        <f ca="1">IF(C1="",'数据-取费表'!Q16,INDIRECT("'数据-取费表'!q"&amp;$K$1))</f>
        <v>0.03</v>
      </c>
      <c r="G28" s="922"/>
      <c r="H28" s="923"/>
      <c r="I28" s="923"/>
      <c r="J28" s="923"/>
      <c r="K28" s="924"/>
    </row>
    <row r="29" spans="1:33" s="297" customFormat="1" ht="13.5" customHeight="1">
      <c r="A29" s="904" t="s">
        <v>803</v>
      </c>
      <c r="B29" s="927" t="s">
        <v>2271</v>
      </c>
      <c r="C29" s="290">
        <f ca="1">ROUND((1+C24)*F28*'数据-取费表'!B24/'数据-取费表'!B20,4)</f>
        <v>0</v>
      </c>
      <c r="D29" s="290"/>
      <c r="E29" s="291"/>
      <c r="F29" s="296"/>
      <c r="G29" s="136" t="s">
        <v>2272</v>
      </c>
      <c r="H29" s="912"/>
      <c r="I29" s="912"/>
      <c r="J29" s="912"/>
      <c r="K29" s="913"/>
    </row>
    <row r="30" spans="1:33" s="297" customFormat="1" ht="13.5" customHeight="1">
      <c r="A30" s="904" t="s">
        <v>804</v>
      </c>
      <c r="B30" s="927" t="s">
        <v>2273</v>
      </c>
      <c r="C30" s="298">
        <f ca="1">ROUND((C21+C22+C23)*F28,0)</f>
        <v>0</v>
      </c>
      <c r="D30" s="290"/>
      <c r="E30" s="291"/>
      <c r="F30" s="296"/>
      <c r="G30" s="136"/>
      <c r="H30" s="912"/>
      <c r="I30" s="912"/>
      <c r="J30" s="912"/>
      <c r="K30" s="913"/>
    </row>
    <row r="31" spans="1:33" s="908" customFormat="1" ht="13.5" customHeight="1" thickBot="1">
      <c r="A31" s="2017" t="s">
        <v>2274</v>
      </c>
      <c r="B31" s="938" t="s">
        <v>2275</v>
      </c>
      <c r="C31" s="939">
        <f>ROUND(C4*F31/(1+'数据-取费表'!C42),0)</f>
        <v>0</v>
      </c>
      <c r="D31" s="940"/>
      <c r="E31" s="941"/>
      <c r="F31" s="942">
        <f>'数据-取费表'!B41</f>
        <v>1.575E-2</v>
      </c>
      <c r="G31" s="943" t="s">
        <v>2276</v>
      </c>
      <c r="H31" s="944"/>
      <c r="I31" s="944"/>
      <c r="J31" s="944"/>
      <c r="K31" s="945"/>
    </row>
    <row r="32" spans="1:33" s="903" customFormat="1" ht="13.5" customHeight="1" thickBot="1">
      <c r="A32" s="933" t="s">
        <v>2277</v>
      </c>
      <c r="B32" s="934"/>
      <c r="C32" s="935">
        <f ca="1">ROUND((C4-C21-C22-C23-C25-C28-C31)/(1+C24+D25+D28),0)</f>
        <v>0</v>
      </c>
      <c r="D32" s="934"/>
      <c r="E32" s="934"/>
      <c r="F32" s="934"/>
      <c r="G32" s="936" t="s">
        <v>2278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8" t="s">
        <v>2286</v>
      </c>
      <c r="B1" s="2019"/>
      <c r="C1" s="2019"/>
      <c r="D1" s="2019"/>
      <c r="E1" s="2020"/>
      <c r="F1" s="2898"/>
      <c r="G1" s="1640"/>
      <c r="H1" s="1640"/>
      <c r="I1" s="1640"/>
      <c r="J1" s="1640"/>
      <c r="K1" s="1640"/>
      <c r="L1" s="1640"/>
      <c r="M1" s="1640"/>
      <c r="N1" s="1640"/>
      <c r="O1" s="1640"/>
      <c r="P1" s="1640"/>
      <c r="Q1" s="1640"/>
      <c r="R1" s="1640"/>
      <c r="S1" s="1640"/>
    </row>
    <row r="2" spans="1:22" ht="15.75">
      <c r="A2" s="2021" t="s">
        <v>2087</v>
      </c>
      <c r="B2" s="2022">
        <f ca="1">SUMIF(B6:B13,"&lt;&gt;#ref!",B6:B13)</f>
        <v>47828</v>
      </c>
      <c r="C2" s="2023" t="s">
        <v>2279</v>
      </c>
      <c r="D2" s="2024" t="s">
        <v>2280</v>
      </c>
      <c r="E2" s="2795">
        <f>SUM(E6:E13)</f>
        <v>63823.659999999996</v>
      </c>
      <c r="F2" s="2898"/>
      <c r="G2" s="1640"/>
      <c r="H2" s="1640"/>
      <c r="I2" s="1640"/>
      <c r="J2" s="1640"/>
      <c r="K2" s="1640"/>
      <c r="L2" s="1640"/>
      <c r="M2" s="1640"/>
      <c r="N2" s="1640"/>
      <c r="O2" s="1640"/>
      <c r="P2" s="1640"/>
      <c r="Q2" s="1640"/>
      <c r="R2" s="1640"/>
      <c r="S2" s="1640"/>
    </row>
    <row r="3" spans="1:22" ht="15.75">
      <c r="A3" s="2021" t="s">
        <v>1300</v>
      </c>
      <c r="B3" s="2789">
        <f ca="1">ROUND(B2*10000/E2,0)</f>
        <v>7494</v>
      </c>
      <c r="C3" s="2023" t="s">
        <v>2287</v>
      </c>
      <c r="D3" s="2900"/>
      <c r="E3" s="2902"/>
      <c r="F3" s="2898"/>
      <c r="G3" s="1640"/>
      <c r="H3" s="1640"/>
      <c r="I3" s="1640"/>
      <c r="J3" s="1640"/>
      <c r="K3" s="1640"/>
      <c r="L3" s="1640"/>
      <c r="M3" s="1640"/>
      <c r="N3" s="1640"/>
      <c r="O3" s="1640"/>
      <c r="P3" s="1640"/>
      <c r="Q3" s="1640"/>
      <c r="R3" s="1640"/>
      <c r="S3" s="1640"/>
    </row>
    <row r="4" spans="1:22" ht="15.75">
      <c r="A4" s="2903"/>
      <c r="B4" s="2900"/>
      <c r="C4" s="2900"/>
      <c r="D4" s="2900"/>
      <c r="E4" s="2902"/>
      <c r="F4" s="2898"/>
      <c r="G4" s="1640"/>
      <c r="H4" s="1640"/>
      <c r="I4" s="1640"/>
      <c r="J4" s="1640"/>
      <c r="K4" s="1640"/>
      <c r="L4" s="1640"/>
      <c r="M4" s="1640"/>
      <c r="N4" s="1640"/>
      <c r="O4" s="1640"/>
      <c r="P4" s="1640"/>
      <c r="Q4" s="1640"/>
      <c r="R4" s="1640"/>
      <c r="S4" s="1640"/>
    </row>
    <row r="5" spans="1:22" ht="15">
      <c r="A5" s="2791" t="s">
        <v>2281</v>
      </c>
      <c r="B5" s="3707" t="s">
        <v>2282</v>
      </c>
      <c r="C5" s="3708"/>
      <c r="D5" s="2899"/>
      <c r="E5" s="2025" t="s">
        <v>2283</v>
      </c>
      <c r="F5" s="2026" t="s">
        <v>2284</v>
      </c>
      <c r="G5" s="1640"/>
      <c r="H5" s="1640"/>
      <c r="I5" s="1640"/>
      <c r="J5" s="1640"/>
      <c r="K5" s="1640"/>
      <c r="L5" s="1640"/>
      <c r="M5" s="1640"/>
      <c r="N5" s="1640"/>
      <c r="O5" s="1640"/>
      <c r="P5" s="1640"/>
      <c r="Q5" s="1640"/>
      <c r="R5" s="1640"/>
      <c r="S5" s="1640"/>
    </row>
    <row r="6" spans="1:22">
      <c r="A6" s="2792" t="str">
        <f>'数据-取费表'!AN6</f>
        <v>收益法-宿舍</v>
      </c>
      <c r="B6" s="2790">
        <f ca="1">IF(F6="是",'数据-取费表'!AO6,0)</f>
        <v>37212</v>
      </c>
      <c r="C6" s="2023" t="s">
        <v>2279</v>
      </c>
      <c r="D6" s="2900"/>
      <c r="E6" s="2794">
        <f>IF(OR(A6=0,F6="否"),0,'数据-取费表'!K6+'数据-取费表'!S6)</f>
        <v>49433.619999999988</v>
      </c>
      <c r="F6" s="2027" t="s">
        <v>2285</v>
      </c>
      <c r="G6" s="1640"/>
      <c r="H6" s="1640"/>
      <c r="I6" s="1640"/>
      <c r="J6" s="1640"/>
      <c r="K6" s="1640"/>
      <c r="L6" s="1640"/>
      <c r="M6" s="1640"/>
      <c r="N6" s="1640"/>
      <c r="O6" s="1640"/>
      <c r="P6" s="1640"/>
      <c r="Q6" s="1640"/>
      <c r="R6" s="1640"/>
      <c r="S6" s="1640"/>
    </row>
    <row r="7" spans="1:22">
      <c r="A7" s="2792" t="str">
        <f>'数据-取费表'!AN7</f>
        <v>收益法-宿舍无燃气</v>
      </c>
      <c r="B7" s="2790">
        <f ca="1">IF(F7="是",'数据-取费表'!AO7,0)</f>
        <v>10616</v>
      </c>
      <c r="C7" s="2023" t="s">
        <v>2279</v>
      </c>
      <c r="D7" s="2900"/>
      <c r="E7" s="2794">
        <f>IF(OR(A7=0,F7="否"),0,'数据-取费表'!K7+'数据-取费表'!S7)</f>
        <v>14390.040000000006</v>
      </c>
      <c r="F7" s="2027" t="s">
        <v>2285</v>
      </c>
      <c r="G7" s="1640"/>
      <c r="H7" s="1640"/>
      <c r="I7" s="1640"/>
      <c r="J7" s="1640"/>
      <c r="K7" s="1640"/>
      <c r="L7" s="1640"/>
      <c r="M7" s="1640"/>
      <c r="N7" s="1640"/>
      <c r="O7" s="1640"/>
      <c r="P7" s="1640"/>
      <c r="Q7" s="1640"/>
      <c r="R7" s="1640"/>
      <c r="S7" s="1640"/>
    </row>
    <row r="8" spans="1:22">
      <c r="A8" s="2792">
        <f>'数据-取费表'!AN8</f>
        <v>0</v>
      </c>
      <c r="B8" s="2790" t="e">
        <f ca="1">IF(F8="是",'数据-取费表'!AO8,0)</f>
        <v>#REF!</v>
      </c>
      <c r="C8" s="2023" t="s">
        <v>2279</v>
      </c>
      <c r="D8" s="2900"/>
      <c r="E8" s="2794">
        <f>IF(OR(A8=0,F8="否"),0,'数据-取费表'!K8+'数据-取费表'!S8)</f>
        <v>0</v>
      </c>
      <c r="F8" s="2027" t="s">
        <v>2285</v>
      </c>
      <c r="G8" s="1640"/>
      <c r="H8" s="1640"/>
      <c r="I8" s="1640"/>
      <c r="J8" s="1640"/>
      <c r="K8" s="1640"/>
      <c r="L8" s="1640"/>
      <c r="M8" s="1640"/>
      <c r="N8" s="1640"/>
      <c r="O8" s="1640"/>
      <c r="P8" s="1640"/>
      <c r="Q8" s="1640"/>
      <c r="R8" s="1640"/>
      <c r="S8" s="1640"/>
    </row>
    <row r="9" spans="1:22">
      <c r="A9" s="2792">
        <f>'数据-取费表'!AN9</f>
        <v>0</v>
      </c>
      <c r="B9" s="2790" t="e">
        <f ca="1">IF(F9="是",'数据-取费表'!AO9,0)</f>
        <v>#REF!</v>
      </c>
      <c r="C9" s="2023" t="s">
        <v>2279</v>
      </c>
      <c r="D9" s="2900"/>
      <c r="E9" s="2794">
        <f>IF(OR(A9=0,F9="否"),0,'数据-取费表'!K9+'数据-取费表'!S9)</f>
        <v>0</v>
      </c>
      <c r="F9" s="2027" t="s">
        <v>2285</v>
      </c>
      <c r="G9" s="1640"/>
      <c r="H9" s="1640"/>
      <c r="I9" s="1640"/>
      <c r="J9" s="1640"/>
      <c r="K9" s="1640"/>
      <c r="L9" s="1640"/>
      <c r="M9" s="1640"/>
      <c r="N9" s="1640"/>
      <c r="O9" s="1640"/>
      <c r="P9" s="1640"/>
      <c r="Q9" s="1640"/>
      <c r="R9" s="1640"/>
      <c r="S9" s="1640"/>
    </row>
    <row r="10" spans="1:22">
      <c r="A10" s="2792">
        <f>'数据-取费表'!AN10</f>
        <v>0</v>
      </c>
      <c r="B10" s="2790" t="e">
        <f ca="1">IF(F10="是",'数据-取费表'!AO10,0)</f>
        <v>#REF!</v>
      </c>
      <c r="C10" s="2023" t="s">
        <v>2279</v>
      </c>
      <c r="D10" s="2900"/>
      <c r="E10" s="2794">
        <f>IF(OR(A10=0,F10="否"),0,'数据-取费表'!K10+'数据-取费表'!S10)</f>
        <v>0</v>
      </c>
      <c r="F10" s="2027" t="s">
        <v>2285</v>
      </c>
      <c r="G10" s="1640"/>
      <c r="H10" s="1640"/>
      <c r="I10" s="1640"/>
      <c r="J10" s="1640"/>
      <c r="K10" s="1640"/>
      <c r="L10" s="1640"/>
      <c r="M10" s="1640"/>
      <c r="N10" s="1640"/>
      <c r="O10" s="1640"/>
      <c r="P10" s="1640"/>
      <c r="Q10" s="1640"/>
      <c r="R10" s="1640"/>
      <c r="S10" s="1640"/>
    </row>
    <row r="11" spans="1:22">
      <c r="A11" s="2792">
        <f>'数据-取费表'!AN11</f>
        <v>0</v>
      </c>
      <c r="B11" s="2790" t="e">
        <f ca="1">IF(F11="是",'数据-取费表'!AO11,0)</f>
        <v>#REF!</v>
      </c>
      <c r="C11" s="2023" t="s">
        <v>2279</v>
      </c>
      <c r="D11" s="2900"/>
      <c r="E11" s="2794">
        <f>IF(OR(A11=0,F11="否"),0,'数据-取费表'!K11+'数据-取费表'!S11)</f>
        <v>0</v>
      </c>
      <c r="F11" s="2027" t="s">
        <v>2285</v>
      </c>
      <c r="G11" s="1640"/>
      <c r="H11" s="1640"/>
      <c r="I11" s="1640"/>
      <c r="J11" s="1640"/>
      <c r="K11" s="1640"/>
      <c r="L11" s="1640"/>
      <c r="M11" s="1640"/>
      <c r="N11" s="1640"/>
      <c r="O11" s="1640"/>
      <c r="P11" s="1640"/>
      <c r="Q11" s="1640"/>
      <c r="R11" s="1640"/>
      <c r="S11" s="1640"/>
    </row>
    <row r="12" spans="1:22">
      <c r="A12" s="2792">
        <f>'数据-取费表'!AN12</f>
        <v>0</v>
      </c>
      <c r="B12" s="2790" t="e">
        <f ca="1">IF(F12="是",'数据-取费表'!AO12,0)</f>
        <v>#REF!</v>
      </c>
      <c r="C12" s="2023" t="s">
        <v>2279</v>
      </c>
      <c r="D12" s="2900"/>
      <c r="E12" s="2794">
        <f>IF(OR(A12=0,F12="否"),0,'数据-取费表'!K12+'数据-取费表'!S12)</f>
        <v>0</v>
      </c>
      <c r="F12" s="2027" t="s">
        <v>2285</v>
      </c>
      <c r="G12" s="1640"/>
      <c r="H12" s="1640"/>
      <c r="I12" s="1640"/>
      <c r="J12" s="1640"/>
      <c r="K12" s="1640"/>
      <c r="L12" s="1640"/>
      <c r="M12" s="1640"/>
      <c r="N12" s="1640"/>
      <c r="O12" s="1640"/>
      <c r="P12" s="1640"/>
      <c r="Q12" s="1640"/>
      <c r="R12" s="1640"/>
      <c r="S12" s="1640"/>
    </row>
    <row r="13" spans="1:22" ht="15" thickBot="1">
      <c r="A13" s="2793">
        <f>'数据-取费表'!AN13</f>
        <v>0</v>
      </c>
      <c r="B13" s="2790" t="e">
        <f ca="1">IF(F13="是",'数据-取费表'!AO13,0)</f>
        <v>#REF!</v>
      </c>
      <c r="C13" s="2028" t="s">
        <v>2279</v>
      </c>
      <c r="D13" s="2901"/>
      <c r="E13" s="2794">
        <f>IF(OR(A13=0,F13="否"),0,'数据-取费表'!K13+'数据-取费表'!S13)</f>
        <v>0</v>
      </c>
      <c r="F13" s="2027" t="s">
        <v>2285</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Normal="70" zoomScaleSheetLayoutView="100" workbookViewId="0">
      <selection activeCell="K57" sqref="K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3487</v>
      </c>
      <c r="D1" s="1512" t="s">
        <v>70</v>
      </c>
      <c r="E1" s="1513" t="s">
        <v>1292</v>
      </c>
      <c r="F1" s="1189">
        <f ca="1">J53</f>
        <v>44.28</v>
      </c>
      <c r="G1" s="1528">
        <f>MATCH(C1,'数据-取费表'!A6:A16,0)+5</f>
        <v>6</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f ca="1">C40+J29+L46</f>
        <v>37212</v>
      </c>
      <c r="C2" s="1537" t="s">
        <v>1421</v>
      </c>
      <c r="D2" s="1537"/>
      <c r="E2" s="1538"/>
      <c r="F2" s="1539"/>
      <c r="G2" s="2897"/>
      <c r="H2" s="2886"/>
      <c r="I2" s="2886"/>
      <c r="J2" s="2886"/>
      <c r="K2" s="2887"/>
      <c r="L2" s="2886"/>
      <c r="M2" s="2886"/>
    </row>
    <row r="3" spans="1:37" ht="18" customHeight="1" thickBot="1">
      <c r="A3" s="1540" t="s">
        <v>1422</v>
      </c>
      <c r="B3" s="1541">
        <f ca="1">IF(ISERROR(B2*10000/F43),0,ROUND(B2*10000/F43,0))</f>
        <v>7528</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1693</v>
      </c>
      <c r="D5" s="1514" t="s">
        <v>1307</v>
      </c>
      <c r="E5" s="1199"/>
      <c r="F5" s="1200"/>
      <c r="G5" s="1534"/>
      <c r="H5" s="305">
        <v>1</v>
      </c>
      <c r="I5" s="306" t="s">
        <v>1306</v>
      </c>
      <c r="J5" s="1198">
        <f ca="1">J6+J10+J12</f>
        <v>0</v>
      </c>
      <c r="K5" s="1514" t="s">
        <v>1307</v>
      </c>
      <c r="L5" s="1199"/>
      <c r="M5" s="1200"/>
    </row>
    <row r="6" spans="1:37" ht="18" customHeight="1">
      <c r="A6" s="1197" t="s">
        <v>1003</v>
      </c>
      <c r="B6" s="3709" t="s">
        <v>1308</v>
      </c>
      <c r="C6" s="1202">
        <f ca="1">ROUND(F6*F8*F7*(1-F9)/10000,0)</f>
        <v>1691</v>
      </c>
      <c r="D6" s="160" t="s">
        <v>2789</v>
      </c>
      <c r="E6" s="308" t="s">
        <v>1310</v>
      </c>
      <c r="F6" s="309">
        <f ca="1">INDIRECT("'数据-取费表'!u"&amp;$G$1)</f>
        <v>30</v>
      </c>
      <c r="G6" s="1534"/>
      <c r="H6" s="1197" t="s">
        <v>1003</v>
      </c>
      <c r="I6" s="3709" t="s">
        <v>1308</v>
      </c>
      <c r="J6" s="307">
        <f ca="1">ROUND(M6*M8*M7*(1-M9)/10000,0)</f>
        <v>0</v>
      </c>
      <c r="K6" s="160" t="s">
        <v>2788</v>
      </c>
      <c r="L6" s="308" t="s">
        <v>1310</v>
      </c>
      <c r="M6" s="309">
        <f ca="1">INDIRECT("'数据-取费表'!z"&amp;$G$1)</f>
        <v>0</v>
      </c>
    </row>
    <row r="7" spans="1:37" ht="18" customHeight="1">
      <c r="A7" s="1201"/>
      <c r="B7" s="3710"/>
      <c r="C7" s="1203"/>
      <c r="D7" s="313"/>
      <c r="E7" s="3207" t="s">
        <v>1311</v>
      </c>
      <c r="F7" s="309">
        <f ca="1">IF(INDIRECT("'数据-取费表'!ah"&amp;$G$1)="",INDIRECT("'数据-取费表'!k"&amp;$G$1),INDIRECT("'数据-取费表'!ah"&amp;$G$1))</f>
        <v>49433.619999999988</v>
      </c>
      <c r="G7" s="1534"/>
      <c r="H7" s="310"/>
      <c r="I7" s="3710"/>
      <c r="J7" s="312"/>
      <c r="K7" s="313"/>
      <c r="L7" s="308" t="s">
        <v>1311</v>
      </c>
      <c r="M7" s="309">
        <f ca="1">F7</f>
        <v>49433.619999999988</v>
      </c>
    </row>
    <row r="8" spans="1:37" ht="18" customHeight="1">
      <c r="A8" s="310"/>
      <c r="B8" s="3710"/>
      <c r="C8" s="312"/>
      <c r="D8" s="313"/>
      <c r="E8" s="308" t="s">
        <v>1312</v>
      </c>
      <c r="F8" s="309">
        <f ca="1">INDIRECT("'数据-取费表'!ai"&amp;$G$1)</f>
        <v>12</v>
      </c>
      <c r="G8" s="1534"/>
      <c r="H8" s="310"/>
      <c r="I8" s="3710"/>
      <c r="J8" s="312"/>
      <c r="K8" s="313"/>
      <c r="L8" s="308" t="s">
        <v>1312</v>
      </c>
      <c r="M8" s="309">
        <f ca="1">INDIRECT("'数据-取费表'!ai"&amp;$G$1)</f>
        <v>12</v>
      </c>
    </row>
    <row r="9" spans="1:37" ht="18" customHeight="1">
      <c r="A9" s="310"/>
      <c r="B9" s="3711"/>
      <c r="C9" s="312"/>
      <c r="D9" s="313"/>
      <c r="E9" s="308" t="s">
        <v>1313</v>
      </c>
      <c r="F9" s="318">
        <f ca="1">INDIRECT("'数据-取费表'!w"&amp;$G$1)</f>
        <v>0.05</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2</v>
      </c>
      <c r="D10" s="1516" t="s">
        <v>2796</v>
      </c>
      <c r="E10" s="319" t="s">
        <v>1315</v>
      </c>
      <c r="F10" s="1244" t="s">
        <v>3244</v>
      </c>
      <c r="G10" s="1534"/>
      <c r="H10" s="1197" t="s">
        <v>1007</v>
      </c>
      <c r="I10" s="1515" t="s">
        <v>1314</v>
      </c>
      <c r="J10" s="307">
        <f ca="1">ROUND(IF(M10="押一",J6/12*M11,IF(M10="押二",J6/12*2*M11,IF(M10="押三",J6/12*3*M11,J11*M11))),0)</f>
        <v>0</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23951</v>
      </c>
      <c r="D13" s="3199" t="s">
        <v>1320</v>
      </c>
      <c r="E13" s="3199" t="s">
        <v>1321</v>
      </c>
      <c r="F13" s="1210">
        <f ca="1">INDIRECT("'数据-取费表'!y"&amp;$G$1)</f>
        <v>1</v>
      </c>
      <c r="G13" s="1534"/>
      <c r="H13" s="1207">
        <v>2</v>
      </c>
      <c r="I13" s="1208" t="s">
        <v>1319</v>
      </c>
      <c r="J13" s="1196">
        <f ca="1">ROUND(J14*J15,0)</f>
        <v>0</v>
      </c>
      <c r="K13" s="1215" t="s">
        <v>1320</v>
      </c>
      <c r="L13" s="1542"/>
      <c r="M13" s="1543"/>
    </row>
    <row r="14" spans="1:37" ht="18" customHeight="1">
      <c r="A14" s="1109" t="s">
        <v>1002</v>
      </c>
      <c r="B14" s="308" t="s">
        <v>1322</v>
      </c>
      <c r="C14" s="324">
        <f ca="1">INDIRECT("'数据-取费表'!m"&amp;$G$1)+INDIRECT("'数据-取费表'!t"&amp;$G$1)</f>
        <v>19773</v>
      </c>
      <c r="D14" s="3203" t="s">
        <v>1323</v>
      </c>
      <c r="E14" s="3201"/>
      <c r="F14" s="325"/>
      <c r="G14" s="1534"/>
      <c r="H14" s="1109" t="s">
        <v>1003</v>
      </c>
      <c r="I14" s="308" t="s">
        <v>1324</v>
      </c>
      <c r="J14" s="24">
        <f ca="1">C29</f>
        <v>23951</v>
      </c>
      <c r="K14" s="3206"/>
      <c r="L14" s="912"/>
      <c r="M14" s="913"/>
    </row>
    <row r="15" spans="1:37" s="1547" customFormat="1" ht="18" customHeight="1" thickBot="1">
      <c r="A15" s="1109" t="s">
        <v>1004</v>
      </c>
      <c r="B15" s="308" t="s">
        <v>1325</v>
      </c>
      <c r="C15" s="24">
        <f ca="1">ROUND(C14*F15,0)</f>
        <v>989</v>
      </c>
      <c r="D15" s="3200" t="s">
        <v>1326</v>
      </c>
      <c r="E15" s="3200"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34"/>
      <c r="H16" s="1207" t="s">
        <v>998</v>
      </c>
      <c r="I16" s="1208" t="s">
        <v>1329</v>
      </c>
      <c r="J16" s="316">
        <f ca="1">ROUND(J17+J22+J23+J24,0)</f>
        <v>441</v>
      </c>
      <c r="K16" s="1215" t="s">
        <v>1330</v>
      </c>
      <c r="L16" s="3204"/>
      <c r="M16" s="1200"/>
    </row>
    <row r="17" spans="1:37" s="1547" customFormat="1" ht="18" customHeight="1">
      <c r="A17" s="1109" t="s">
        <v>1295</v>
      </c>
      <c r="B17" s="308" t="s">
        <v>1331</v>
      </c>
      <c r="C17" s="24">
        <f ca="1">ROUND(F17*(F43+INDIRECT("'数据-取费表'!S"&amp;$G$1))/10000,0)</f>
        <v>989</v>
      </c>
      <c r="D17" s="308" t="s">
        <v>1332</v>
      </c>
      <c r="E17" s="308" t="s">
        <v>1333</v>
      </c>
      <c r="F17" s="26">
        <f>'数据-取费表'!B35</f>
        <v>200</v>
      </c>
      <c r="G17" s="1546"/>
      <c r="H17" s="1109" t="s">
        <v>1003</v>
      </c>
      <c r="I17" s="308" t="s">
        <v>1334</v>
      </c>
      <c r="J17" s="2497">
        <f ca="1">ROUND(IF(AND(项目基本情况!B11="自然人",项目基本情况!B10="北京市"),J6*M17/(1+'数据-取费表'!C42),J18+J19+J20),0)</f>
        <v>201</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297</v>
      </c>
      <c r="D18" s="308" t="s">
        <v>1326</v>
      </c>
      <c r="E18" s="308" t="s">
        <v>1327</v>
      </c>
      <c r="F18" s="328">
        <f>'数据-取费表'!B36</f>
        <v>1.4999999999999999E-2</v>
      </c>
      <c r="G18" s="1546"/>
      <c r="H18" s="1109" t="s">
        <v>1002</v>
      </c>
      <c r="I18" s="308" t="s">
        <v>1338</v>
      </c>
      <c r="J18" s="24">
        <f ca="1">ROUND(J6*M18/(1+'数据-取费表'!C42),2)</f>
        <v>0</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22048</v>
      </c>
      <c r="D19" s="136" t="s">
        <v>1341</v>
      </c>
      <c r="E19" s="3209"/>
      <c r="F19" s="26"/>
      <c r="G19" s="1534"/>
      <c r="H19" s="1109" t="s">
        <v>1004</v>
      </c>
      <c r="I19" s="308" t="s">
        <v>1342</v>
      </c>
      <c r="J19" s="24">
        <f ca="1">IF(K19="按租金收入计税",ROUND(J6*M19/(1+'数据-取费表'!C42),2),ROUND(C29*M19*0.7,2))</f>
        <v>201.19</v>
      </c>
      <c r="K19" s="1520" t="s">
        <v>1343</v>
      </c>
      <c r="L19" s="308" t="s">
        <v>1327</v>
      </c>
      <c r="M19" s="328">
        <f>IF(K19="按租金收入计税",'数据-取费表'!B51,'数据-取费表'!B50)</f>
        <v>1.2E-2</v>
      </c>
    </row>
    <row r="20" spans="1:37" s="1547" customFormat="1" ht="18" customHeight="1">
      <c r="A20" s="1109" t="s">
        <v>1007</v>
      </c>
      <c r="B20" s="308" t="s">
        <v>1344</v>
      </c>
      <c r="C20" s="24">
        <f ca="1">ROUND(C19*F20,0)</f>
        <v>441</v>
      </c>
      <c r="D20" s="329" t="s">
        <v>1345</v>
      </c>
      <c r="E20" s="308" t="s">
        <v>1327</v>
      </c>
      <c r="F20" s="328">
        <f>'数据-取费表'!B37</f>
        <v>0.02</v>
      </c>
      <c r="G20" s="1546"/>
      <c r="H20" s="1109" t="s">
        <v>1294</v>
      </c>
      <c r="I20" s="160" t="s">
        <v>1346</v>
      </c>
      <c r="J20" s="25">
        <f ca="1">ROUND(M20*M21/10000,2)</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11930.2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f ca="1">ROUND(J14*M22,1)</f>
        <v>239.5</v>
      </c>
      <c r="K22" s="3202" t="s">
        <v>1355</v>
      </c>
      <c r="L22" s="308" t="s">
        <v>1327</v>
      </c>
      <c r="M22" s="334">
        <f ca="1">INDIRECT("'数据-取费表'!Ak"&amp;$G$1)</f>
        <v>0.01</v>
      </c>
    </row>
    <row r="23" spans="1:37" s="1547" customFormat="1" ht="18" customHeight="1">
      <c r="A23" s="1109" t="s">
        <v>1002</v>
      </c>
      <c r="B23" s="308" t="s">
        <v>1356</v>
      </c>
      <c r="C23" s="24">
        <f ca="1">IF('数据-取费表'!B22&lt;=1,ROUND(C19*F24*F23/2,0)+ROUND(C20*F24*F23/2,0),ROUND(C19*(POWER((1+F24),F23/2)-1),0)+ROUND(C20*(POWER((1+F24),F23/2)-1),0))</f>
        <v>416</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ROUND(J13*M23,1)</f>
        <v>0</v>
      </c>
      <c r="K23" s="3202" t="s">
        <v>1359</v>
      </c>
      <c r="L23" s="308" t="s">
        <v>1327</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f ca="1">ROUND(J5*M24,1)</f>
        <v>0</v>
      </c>
      <c r="K24" s="1220" t="s">
        <v>1364</v>
      </c>
      <c r="L24" s="1218" t="s">
        <v>1327</v>
      </c>
      <c r="M24" s="1214">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f ca="1">J5-J16</f>
        <v>-441</v>
      </c>
      <c r="K25" s="1223" t="s">
        <v>1369</v>
      </c>
      <c r="L25" s="1224"/>
      <c r="M25" s="1225"/>
    </row>
    <row r="26" spans="1:37">
      <c r="A26" s="1109" t="s">
        <v>1002</v>
      </c>
      <c r="B26" s="308" t="s">
        <v>1370</v>
      </c>
      <c r="C26" s="24">
        <f ca="1">ROUND((C19+C20)*F26,0)</f>
        <v>675</v>
      </c>
      <c r="D26" s="329" t="s">
        <v>1371</v>
      </c>
      <c r="E26" s="319" t="s">
        <v>1372</v>
      </c>
      <c r="F26" s="318">
        <f ca="1">INDIRECT("'数据-取费表'!q"&amp;$G$1)</f>
        <v>0.03</v>
      </c>
      <c r="G26" s="1534"/>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09" t="s">
        <v>1004</v>
      </c>
      <c r="B27" s="308" t="s">
        <v>1376</v>
      </c>
      <c r="C27" s="24">
        <f ca="1">ROUND(F21*F26,4)</f>
        <v>0</v>
      </c>
      <c r="D27" s="329" t="s">
        <v>1377</v>
      </c>
      <c r="E27" s="3200"/>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23951</v>
      </c>
      <c r="D29" s="1220"/>
      <c r="E29" s="1218"/>
      <c r="F29" s="1221"/>
      <c r="G29" s="1546"/>
      <c r="H29" s="340" t="s">
        <v>1001</v>
      </c>
      <c r="I29" s="341" t="s">
        <v>1384</v>
      </c>
      <c r="J29" s="342">
        <f ca="1">ROUND(J26/(1+F40)^F41,0)</f>
        <v>0</v>
      </c>
      <c r="K29" s="343" t="s">
        <v>1385</v>
      </c>
      <c r="L29" s="344"/>
      <c r="M29" s="345">
        <f ca="1">INDIRECT("'数据-取费表'!k"&amp;$G$1)</f>
        <v>49433.619999999988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301</v>
      </c>
      <c r="D30" s="1215" t="s">
        <v>1330</v>
      </c>
      <c r="E30" s="3204"/>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3203" t="s">
        <v>1335</v>
      </c>
      <c r="E31" s="3202"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f ca="1">IF(项目基本情况!B11="自然人","——",ROUND(C6*F32/(1+'数据-取费表'!C42),2))</f>
        <v>0</v>
      </c>
      <c r="D32" s="3202" t="s">
        <v>1339</v>
      </c>
      <c r="E32" s="308" t="s">
        <v>1327</v>
      </c>
      <c r="F32" s="3390">
        <v>0</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IF(项目基本情况!B11="自然人","——",IF(D33="按租金收入计税",ROUND(C6*F33/(1+'数据-取费表'!C42),2),IF(D33="按房产原值计税",ROUND(C29*F33*0.7,2),INDIRECT("'数据-取费表'!Aj"&amp;$G$1))))</f>
        <v>0</v>
      </c>
      <c r="D33" s="1520" t="s">
        <v>3268</v>
      </c>
      <c r="E33" s="308" t="s">
        <v>1327</v>
      </c>
      <c r="F33" s="328" t="str">
        <f>IF(D33="按票据","——",IF(D33="按租金收入计税",'数据-取费表'!B51,'数据-取费表'!B50))</f>
        <v>——</v>
      </c>
      <c r="G33" s="1534"/>
      <c r="H33" s="2891"/>
      <c r="I33" s="1548"/>
      <c r="J33" s="1549"/>
      <c r="K33" s="2892"/>
      <c r="L33" s="2891"/>
      <c r="M33" s="2891"/>
    </row>
    <row r="34" spans="1:18" ht="18" customHeight="1">
      <c r="A34" s="1197" t="s">
        <v>1294</v>
      </c>
      <c r="B34" s="160" t="s">
        <v>1346</v>
      </c>
      <c r="C34" s="25">
        <f ca="1">IF(项目基本情况!B11="自然人","——",ROUND(F34*F35/10000,2))</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11930.2</v>
      </c>
      <c r="G35" s="1534"/>
      <c r="H35" s="2888"/>
      <c r="I35" s="1548"/>
      <c r="J35" s="1549"/>
      <c r="K35" s="2892"/>
      <c r="L35" s="2891"/>
      <c r="M35" s="2891"/>
    </row>
    <row r="36" spans="1:18" ht="18" customHeight="1">
      <c r="A36" s="1230" t="s">
        <v>1007</v>
      </c>
      <c r="B36" s="308" t="s">
        <v>1354</v>
      </c>
      <c r="C36" s="24">
        <f ca="1">ROUND(C29*F36,1)</f>
        <v>239.5</v>
      </c>
      <c r="D36" s="3202" t="s">
        <v>1387</v>
      </c>
      <c r="E36" s="308" t="s">
        <v>1327</v>
      </c>
      <c r="F36" s="334">
        <f ca="1">INDIRECT("'数据-取费表'!Ak"&amp;$G$1)</f>
        <v>0.01</v>
      </c>
      <c r="G36" s="1534"/>
      <c r="H36" s="2891"/>
      <c r="I36" s="1548"/>
      <c r="J36" s="1549"/>
      <c r="K36" s="2732"/>
      <c r="L36" s="2891"/>
      <c r="M36" s="2891"/>
    </row>
    <row r="37" spans="1:18" ht="18" customHeight="1">
      <c r="A37" s="1109" t="s">
        <v>1043</v>
      </c>
      <c r="B37" s="308" t="s">
        <v>1358</v>
      </c>
      <c r="C37" s="24">
        <f ca="1">ROUND(C13*F37,1)</f>
        <v>35.9</v>
      </c>
      <c r="D37" s="3202" t="s">
        <v>1359</v>
      </c>
      <c r="E37" s="308" t="s">
        <v>1327</v>
      </c>
      <c r="F37" s="336">
        <f ca="1">INDIRECT("'数据-取费表'!Al"&amp;$G$1)</f>
        <v>1.5E-3</v>
      </c>
      <c r="G37" s="1534"/>
      <c r="H37" s="2891"/>
      <c r="I37" s="1548"/>
      <c r="J37" s="1549"/>
      <c r="K37" s="2732"/>
      <c r="L37" s="2891"/>
      <c r="M37" s="2891"/>
    </row>
    <row r="38" spans="1:18" ht="18" customHeight="1" thickBot="1">
      <c r="A38" s="1217" t="s">
        <v>1297</v>
      </c>
      <c r="B38" s="1218" t="s">
        <v>1344</v>
      </c>
      <c r="C38" s="1219">
        <f ca="1">ROUND(C5*F38,1)</f>
        <v>25.4</v>
      </c>
      <c r="D38" s="1220" t="s">
        <v>1364</v>
      </c>
      <c r="E38" s="1218" t="s">
        <v>1327</v>
      </c>
      <c r="F38" s="1214">
        <f ca="1">INDIRECT("'数据-取费表'!Am"&amp;$G$1)</f>
        <v>1.4999999999999999E-2</v>
      </c>
      <c r="G38" s="1534"/>
      <c r="H38" s="2891"/>
      <c r="I38" s="1548"/>
      <c r="J38" s="1549"/>
      <c r="K38" s="2895"/>
      <c r="L38" s="2891"/>
      <c r="M38" s="2891"/>
    </row>
    <row r="39" spans="1:18" ht="24.6" customHeight="1" thickTop="1">
      <c r="A39" s="1207" t="s">
        <v>999</v>
      </c>
      <c r="B39" s="1222" t="s">
        <v>1368</v>
      </c>
      <c r="C39" s="316">
        <f ca="1">C5-C30</f>
        <v>1392</v>
      </c>
      <c r="D39" s="1223" t="s">
        <v>1369</v>
      </c>
      <c r="E39" s="1224"/>
      <c r="F39" s="1225"/>
      <c r="G39" s="1534"/>
      <c r="H39" s="2891"/>
      <c r="I39" s="1548"/>
      <c r="J39" s="1549"/>
      <c r="K39" s="2895"/>
      <c r="L39" s="2891"/>
      <c r="M39" s="2891"/>
    </row>
    <row r="40" spans="1:18" ht="18" customHeight="1">
      <c r="A40" s="305" t="s">
        <v>1000</v>
      </c>
      <c r="B40" s="306" t="s">
        <v>1390</v>
      </c>
      <c r="C40" s="307">
        <f ca="1">ROUND(C39*(1-((1+F42)/(1+F40))^F41)/(F40-F42),0)</f>
        <v>36623</v>
      </c>
      <c r="D40" s="330" t="s">
        <v>1374</v>
      </c>
      <c r="E40" s="308" t="s">
        <v>1375</v>
      </c>
      <c r="F40" s="318">
        <f ca="1">INDIRECT("'数据-取费表'!I"&amp;$G$1)</f>
        <v>4.4999999999999998E-2</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44.28</v>
      </c>
      <c r="G41" s="1534"/>
      <c r="H41" s="1321"/>
      <c r="I41" s="1548"/>
      <c r="J41" s="1549"/>
      <c r="K41" s="2732"/>
      <c r="L41" s="1321"/>
      <c r="M41" s="1321"/>
    </row>
    <row r="42" spans="1:18" ht="18" customHeight="1">
      <c r="A42" s="314"/>
      <c r="B42" s="315"/>
      <c r="C42" s="316"/>
      <c r="D42" s="333"/>
      <c r="E42" s="308" t="s">
        <v>1382</v>
      </c>
      <c r="F42" s="318">
        <f ca="1">INDIRECT("'数据-取费表'!v"&amp;$G$1)</f>
        <v>0.02</v>
      </c>
      <c r="G42" s="1534"/>
      <c r="H42" s="1321"/>
      <c r="I42" s="1548"/>
      <c r="J42" s="1549"/>
      <c r="K42" s="2732"/>
      <c r="L42" s="1321"/>
      <c r="M42" s="1321"/>
    </row>
    <row r="43" spans="1:18" ht="18" customHeight="1" thickBot="1">
      <c r="A43" s="340" t="s">
        <v>1001</v>
      </c>
      <c r="B43" s="341" t="s">
        <v>1392</v>
      </c>
      <c r="C43" s="342">
        <f ca="1">ROUND(C40*10000/F43,0)</f>
        <v>7409</v>
      </c>
      <c r="D43" s="343" t="s">
        <v>1393</v>
      </c>
      <c r="E43" s="344" t="s">
        <v>1394</v>
      </c>
      <c r="F43" s="345">
        <f ca="1">INDIRECT("'数据-取费表'!k"&amp;$G$1)</f>
        <v>49433.619999999988</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#VALUE!</v>
      </c>
      <c r="D46" s="1556" t="str">
        <f>C2</f>
        <v>万元</v>
      </c>
      <c r="E46" s="1550"/>
      <c r="F46" s="1550"/>
      <c r="I46" s="1557" t="s">
        <v>1426</v>
      </c>
      <c r="J46" s="1558"/>
      <c r="K46" s="1559"/>
      <c r="L46" s="1560">
        <f ca="1">IF(M47="住宅",0,IF(L48&gt;J51,L60,J60))</f>
        <v>589</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3246</v>
      </c>
      <c r="K47" s="1566" t="s">
        <v>1432</v>
      </c>
      <c r="L47" s="1567">
        <f ca="1">INDIRECT("'数据-取费表'!d"&amp;$G$1)</f>
        <v>50</v>
      </c>
      <c r="M47" s="1530" t="str">
        <f>IF(ISNUMBER(FIND("住宅",C1)),"住宅","非住宅")</f>
        <v>非住宅</v>
      </c>
      <c r="O47" s="1568" t="s">
        <v>1008</v>
      </c>
      <c r="P47" s="1569" t="s">
        <v>1433</v>
      </c>
      <c r="Q47" s="1570">
        <f ca="1">C40+J29</f>
        <v>36623</v>
      </c>
      <c r="R47" s="1570" t="s">
        <v>1434</v>
      </c>
    </row>
    <row r="48" spans="1:18" s="1534" customFormat="1" ht="28.5" thickBot="1">
      <c r="A48" s="1238" t="s">
        <v>1044</v>
      </c>
      <c r="B48" s="306" t="s">
        <v>1306</v>
      </c>
      <c r="C48" s="3208">
        <f ca="1">C49+C53+C55</f>
        <v>0</v>
      </c>
      <c r="D48" s="1240"/>
      <c r="E48" s="1241"/>
      <c r="F48" s="1089"/>
      <c r="G48" s="731"/>
      <c r="H48" s="732"/>
      <c r="I48" s="1571" t="s">
        <v>1435</v>
      </c>
      <c r="J48" s="1572" t="s">
        <v>3265</v>
      </c>
      <c r="K48" s="1573" t="s">
        <v>1436</v>
      </c>
      <c r="L48" s="1574">
        <f ca="1">INDIRECT("'数据-取费表'!f"&amp;$G$1)</f>
        <v>44.28</v>
      </c>
      <c r="O48" s="1568" t="s">
        <v>1009</v>
      </c>
      <c r="P48" s="1569" t="s">
        <v>1437</v>
      </c>
      <c r="Q48" s="1570">
        <f ca="1">J60</f>
        <v>589</v>
      </c>
      <c r="R48" s="1570" t="s">
        <v>1438</v>
      </c>
    </row>
    <row r="49" spans="1:18" s="1534" customFormat="1" ht="13.5" thickBot="1">
      <c r="A49" s="1102" t="s">
        <v>1045</v>
      </c>
      <c r="B49" s="1521" t="s">
        <v>1395</v>
      </c>
      <c r="C49" s="1242">
        <f ca="1">ROUND(F49*F51*F50*(1-F52)/10000,0)</f>
        <v>0</v>
      </c>
      <c r="D49" s="1182" t="s">
        <v>2788</v>
      </c>
      <c r="E49" s="1522" t="s">
        <v>1396</v>
      </c>
      <c r="F49" s="1187"/>
      <c r="G49" s="1575"/>
      <c r="H49" s="732"/>
      <c r="I49" s="1571" t="s">
        <v>1439</v>
      </c>
      <c r="J49" s="1576">
        <v>2022</v>
      </c>
      <c r="K49" s="1573" t="s">
        <v>1440</v>
      </c>
      <c r="L49" s="1577"/>
      <c r="O49" s="1578" t="s">
        <v>1010</v>
      </c>
      <c r="P49" s="1569" t="s">
        <v>1441</v>
      </c>
      <c r="Q49" s="1570">
        <f ca="1">C29</f>
        <v>23951</v>
      </c>
      <c r="R49" s="1570" t="s">
        <v>1434</v>
      </c>
    </row>
    <row r="50" spans="1:18" s="1534" customFormat="1" ht="13.5" thickBot="1">
      <c r="A50" s="1103"/>
      <c r="B50" s="1106"/>
      <c r="C50" s="1246"/>
      <c r="D50" s="1080"/>
      <c r="E50" s="1183" t="s">
        <v>1311</v>
      </c>
      <c r="F50" s="1184">
        <f ca="1">F7</f>
        <v>49433.619999999988</v>
      </c>
      <c r="H50" s="732"/>
      <c r="I50" s="1571" t="s">
        <v>1442</v>
      </c>
      <c r="J50" s="1579">
        <f>SUMPRODUCT((I63:I65=J47)*(J62:L62=J48)*(J63:L65))</f>
        <v>60</v>
      </c>
      <c r="K50" s="1573" t="s">
        <v>1443</v>
      </c>
      <c r="L50" s="1577"/>
      <c r="M50" s="1580"/>
      <c r="O50" s="1578" t="s">
        <v>1011</v>
      </c>
      <c r="P50" s="1569" t="s">
        <v>1444</v>
      </c>
      <c r="Q50" s="1581">
        <f ca="1">J58</f>
        <v>0.4</v>
      </c>
      <c r="R50" s="1570"/>
    </row>
    <row r="51" spans="1:18" s="1534" customFormat="1" ht="13.5" thickBot="1">
      <c r="A51" s="1104"/>
      <c r="B51" s="1106"/>
      <c r="C51" s="1107"/>
      <c r="D51" s="1080"/>
      <c r="E51" s="1108" t="s">
        <v>1312</v>
      </c>
      <c r="F51" s="309">
        <f ca="1">F8</f>
        <v>12</v>
      </c>
      <c r="I51" s="1582" t="s">
        <v>1445</v>
      </c>
      <c r="J51" s="1583">
        <f>IF(J49="",J50,J49+J50-YEAR('数据-取费表'!B2))</f>
        <v>60</v>
      </c>
      <c r="K51" s="1584" t="s">
        <v>1446</v>
      </c>
      <c r="L51" s="1585">
        <f ca="1">ROUND(-PV(INDIRECT("'数据-取费表'!h"&amp;$G$1),J51,(C39-C13*C76),0),0)</f>
        <v>-3729</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'数据-取费表'!J6</f>
        <v>6.5000000000000002E-2</v>
      </c>
      <c r="K52" s="1587" t="s">
        <v>1449</v>
      </c>
      <c r="L52" s="1588"/>
      <c r="O52" s="1578" t="s">
        <v>1013</v>
      </c>
      <c r="P52" s="1569" t="s">
        <v>1450</v>
      </c>
      <c r="Q52" s="1570">
        <f ca="1">J53</f>
        <v>44.28</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f ca="1">IF(M47="住宅",IF(D1="——",MAX(J51,L48),MAX(J51,L48-'数据-取费表'!B24)),IF(D1="——",MIN(J51,L48),MIN(J51,L48-'数据-取费表'!B24)))</f>
        <v>44.28</v>
      </c>
      <c r="K53" s="3712" t="s">
        <v>1453</v>
      </c>
      <c r="L53" s="3713"/>
      <c r="O53" s="1568" t="s">
        <v>1014</v>
      </c>
      <c r="P53" s="1569" t="s">
        <v>1454</v>
      </c>
      <c r="Q53" s="1570">
        <f ca="1">Q47+Q48</f>
        <v>37212</v>
      </c>
      <c r="R53" s="1570" t="s">
        <v>1015</v>
      </c>
    </row>
    <row r="54" spans="1:18" s="1534" customFormat="1" ht="13.5" thickBot="1">
      <c r="A54" s="1283"/>
      <c r="B54" s="1517" t="s">
        <v>1293</v>
      </c>
      <c r="C54" s="1086"/>
      <c r="D54" s="1516"/>
      <c r="E54" s="3205"/>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f ca="1">ROUND(IF(J47="钢混",J57/J50,1-(1-2%)*(J50-J57)/J50),3)</f>
        <v>0.26200000000000001</v>
      </c>
      <c r="K55" s="1595" t="s">
        <v>1457</v>
      </c>
      <c r="L55" s="1596" t="s">
        <v>3470</v>
      </c>
      <c r="O55" s="1561" t="s">
        <v>1427</v>
      </c>
      <c r="P55" s="1562" t="s">
        <v>1428</v>
      </c>
      <c r="Q55" s="1563" t="s">
        <v>1429</v>
      </c>
      <c r="R55" s="1563" t="s">
        <v>1430</v>
      </c>
    </row>
    <row r="56" spans="1:18" s="1534" customFormat="1" ht="25.5" thickTop="1" thickBot="1">
      <c r="A56" s="1084">
        <v>2</v>
      </c>
      <c r="B56" s="1085" t="s">
        <v>1319</v>
      </c>
      <c r="C56" s="238">
        <f ca="1">C13</f>
        <v>23951</v>
      </c>
      <c r="D56" s="1597"/>
      <c r="E56" s="1598"/>
      <c r="F56" s="1590"/>
      <c r="I56" s="1599" t="s">
        <v>1459</v>
      </c>
      <c r="J56" s="1600" t="s">
        <v>3266</v>
      </c>
      <c r="K56" s="1571" t="s">
        <v>1460</v>
      </c>
      <c r="L56" s="1574" t="str">
        <f ca="1">IF(L48&lt;J51,"——",L48-J53)</f>
        <v>——</v>
      </c>
      <c r="O56" s="1568" t="s">
        <v>1008</v>
      </c>
      <c r="P56" s="1569" t="s">
        <v>1433</v>
      </c>
      <c r="Q56" s="1570">
        <f ca="1">C40+J29</f>
        <v>36623</v>
      </c>
      <c r="R56" s="1570" t="s">
        <v>1434</v>
      </c>
    </row>
    <row r="57" spans="1:18" s="1534" customFormat="1" ht="24.75" thickBot="1">
      <c r="A57" s="1601"/>
      <c r="B57" s="1077" t="s">
        <v>1383</v>
      </c>
      <c r="C57" s="244">
        <f ca="1">C29</f>
        <v>23951</v>
      </c>
      <c r="D57" s="1602"/>
      <c r="E57" s="1603"/>
      <c r="F57" s="1604"/>
      <c r="I57" s="1605" t="s">
        <v>1461</v>
      </c>
      <c r="J57" s="1606">
        <f ca="1">IF(OR(M47="住宅",J51&lt;L48,J56="是"),"——",J51-L48)</f>
        <v>15.719999999999999</v>
      </c>
      <c r="K57" s="1571" t="s">
        <v>1462</v>
      </c>
      <c r="L57" s="1574" t="str">
        <f ca="1">IF(L48&lt;J51,"——",IF(L55="比较法",L49,IF(L55="基准地价",L50,L51)))</f>
        <v>——</v>
      </c>
      <c r="O57" s="1568" t="s">
        <v>1009</v>
      </c>
      <c r="P57" s="1569" t="s">
        <v>1463</v>
      </c>
      <c r="Q57" s="1570">
        <f ca="1">L60</f>
        <v>0</v>
      </c>
      <c r="R57" s="1570" t="s">
        <v>1464</v>
      </c>
    </row>
    <row r="58" spans="1:18" s="1534" customFormat="1" ht="24.75" thickBot="1">
      <c r="A58" s="321" t="s">
        <v>998</v>
      </c>
      <c r="B58" s="1085" t="s">
        <v>1329</v>
      </c>
      <c r="C58" s="322" t="e">
        <f ca="1">ROUND(C59+C64+C65+C66,0)</f>
        <v>#VALUE!</v>
      </c>
      <c r="D58" s="1087" t="s">
        <v>1330</v>
      </c>
      <c r="E58" s="1088"/>
      <c r="F58" s="1089"/>
      <c r="I58" s="1605" t="s">
        <v>1465</v>
      </c>
      <c r="J58" s="1607">
        <f ca="1">IF(J55&lt;0.4,0.4,J55)</f>
        <v>0.4</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#VALUE!</v>
      </c>
      <c r="D59" s="1090" t="s">
        <v>1335</v>
      </c>
      <c r="E59" s="1091" t="s">
        <v>1336</v>
      </c>
      <c r="F59" s="2496" t="str">
        <f>IF(项目基本情况!B11="企业","——",IF('数据-取费表'!B10="住宅",IF(F49*F50*F51/12/(1+'数据-取费表'!F30)&gt;100000,4%,2.5%),IF(F49*F50*F51/12/(1+'数据-取费表'!F30)&gt;100000,12%,7%)))</f>
        <v>——</v>
      </c>
      <c r="I59" s="1605" t="s">
        <v>1468</v>
      </c>
      <c r="J59" s="1606">
        <f ca="1">IF(OR(M47="住宅",J51&lt;L48,J56="是"),"——",ROUND(C29*J58,0))</f>
        <v>9580</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IF(项目基本情况!B11="自然人","——",ROUND(C48*F60/(1+'数据-取费表'!C42),2))</f>
        <v>0</v>
      </c>
      <c r="D60" s="1091" t="s">
        <v>1339</v>
      </c>
      <c r="E60" s="1077" t="s">
        <v>1327</v>
      </c>
      <c r="F60" s="337">
        <f t="shared" ref="F60:F66" si="0">F32</f>
        <v>0</v>
      </c>
      <c r="I60" s="1608" t="s">
        <v>1470</v>
      </c>
      <c r="J60" s="1609">
        <f ca="1">IF(OR(M47="住宅",J51&lt;L48,J56="是"),"0",ROUND(J59/(1+J52)^J53,0))</f>
        <v>589</v>
      </c>
      <c r="K60" s="1610" t="s">
        <v>1471</v>
      </c>
      <c r="L60" s="1609">
        <f ca="1">IF(OR(M47="住宅",L48&lt;J51),0,ROUND(L57*(L58/L59-1),0))</f>
        <v>0</v>
      </c>
      <c r="O60" s="1578" t="s">
        <v>1012</v>
      </c>
      <c r="P60" s="1569" t="s">
        <v>1472</v>
      </c>
      <c r="Q60" s="1570" t="e">
        <f ca="1">L58</f>
        <v>#DIV/0!</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#VALUE!</v>
      </c>
      <c r="D61" s="1520" t="s">
        <v>1343</v>
      </c>
      <c r="E61" s="1077" t="s">
        <v>1327</v>
      </c>
      <c r="F61" s="328" t="str">
        <f t="shared" si="0"/>
        <v>——</v>
      </c>
      <c r="I61" s="1611"/>
      <c r="J61" s="1611"/>
      <c r="K61" s="1611"/>
      <c r="L61" s="1611"/>
      <c r="O61" s="1578" t="s">
        <v>1013</v>
      </c>
      <c r="P61" s="1569" t="str">
        <f>K59</f>
        <v>建筑物剩余耐用年限下的土地年期修正系数Kn</v>
      </c>
      <c r="Q61" s="1570" t="e">
        <f ca="1">L59</f>
        <v>#DIV/0!</v>
      </c>
      <c r="R61" s="1570" t="s">
        <v>1474</v>
      </c>
    </row>
    <row r="62" spans="1:18" s="1534" customFormat="1" ht="13.5" thickBot="1">
      <c r="A62" s="1109" t="s">
        <v>1400</v>
      </c>
      <c r="B62" s="1076" t="s">
        <v>1346</v>
      </c>
      <c r="C62" s="25">
        <f ca="1">IF(项目基本情况!B11="自然人","——",ROUND(F62*F63/10000,2))</f>
        <v>0</v>
      </c>
      <c r="D62" s="1092" t="s">
        <v>1347</v>
      </c>
      <c r="E62" s="1077" t="s">
        <v>1348</v>
      </c>
      <c r="F62" s="331">
        <f t="shared" si="0"/>
        <v>0</v>
      </c>
      <c r="I62" s="1612" t="s">
        <v>1475</v>
      </c>
      <c r="J62" s="1613" t="s">
        <v>1476</v>
      </c>
      <c r="K62" s="1613" t="s">
        <v>1477</v>
      </c>
      <c r="L62" s="1613" t="s">
        <v>1478</v>
      </c>
      <c r="M62" s="1614" t="s">
        <v>1479</v>
      </c>
      <c r="O62" s="1568" t="s">
        <v>1014</v>
      </c>
      <c r="P62" s="1569" t="s">
        <v>1454</v>
      </c>
      <c r="Q62" s="1570">
        <f ca="1">Q56+Q57</f>
        <v>36623</v>
      </c>
      <c r="R62" s="1570" t="s">
        <v>1015</v>
      </c>
    </row>
    <row r="63" spans="1:18" s="1534" customFormat="1" ht="13.5" thickBot="1">
      <c r="A63" s="332"/>
      <c r="B63" s="1083"/>
      <c r="C63" s="29"/>
      <c r="D63" s="1093"/>
      <c r="E63" s="1077" t="s">
        <v>1352</v>
      </c>
      <c r="F63" s="309">
        <f t="shared" ca="1" si="0"/>
        <v>11930.2</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f ca="1">ROUND(C57*F64,1)</f>
        <v>239.5</v>
      </c>
      <c r="D64" s="1091" t="s">
        <v>1387</v>
      </c>
      <c r="E64" s="1077" t="s">
        <v>1327</v>
      </c>
      <c r="F64" s="334">
        <f t="shared" ca="1" si="0"/>
        <v>0.01</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ROUND(C56*F65,1)</f>
        <v>35.9</v>
      </c>
      <c r="D65" s="1091" t="s">
        <v>1359</v>
      </c>
      <c r="E65" s="1077" t="s">
        <v>1327</v>
      </c>
      <c r="F65" s="336">
        <f t="shared" ca="1" si="0"/>
        <v>1.5E-3</v>
      </c>
      <c r="I65" s="1612" t="s">
        <v>1484</v>
      </c>
      <c r="J65" s="1613">
        <v>40</v>
      </c>
      <c r="K65" s="1613">
        <v>30</v>
      </c>
      <c r="L65" s="1613">
        <v>50</v>
      </c>
      <c r="M65" s="1615">
        <v>0.02</v>
      </c>
      <c r="O65" s="1568" t="s">
        <v>1008</v>
      </c>
      <c r="P65" s="1569" t="s">
        <v>1433</v>
      </c>
      <c r="Q65" s="1570">
        <f ca="1">C40+J29</f>
        <v>36623</v>
      </c>
      <c r="R65" s="1570" t="s">
        <v>1434</v>
      </c>
    </row>
    <row r="66" spans="1:18" s="1534" customFormat="1" ht="16.5" thickBot="1">
      <c r="A66" s="1109" t="s">
        <v>1409</v>
      </c>
      <c r="B66" s="1077" t="s">
        <v>1344</v>
      </c>
      <c r="C66" s="24">
        <f ca="1">ROUND(C48*F66,1)</f>
        <v>0</v>
      </c>
      <c r="D66" s="1091" t="s">
        <v>1364</v>
      </c>
      <c r="E66" s="1077" t="s">
        <v>1327</v>
      </c>
      <c r="F66" s="318">
        <f t="shared" ca="1" si="0"/>
        <v>1.4999999999999999E-2</v>
      </c>
      <c r="O66" s="1568" t="s">
        <v>1009</v>
      </c>
      <c r="P66" s="1569" t="s">
        <v>1463</v>
      </c>
      <c r="Q66" s="1570">
        <f ca="1">L60</f>
        <v>0</v>
      </c>
      <c r="R66" s="1570" t="s">
        <v>1486</v>
      </c>
    </row>
    <row r="67" spans="1:18" s="1534" customFormat="1" ht="16.5" thickBot="1">
      <c r="A67" s="1084" t="s">
        <v>999</v>
      </c>
      <c r="B67" s="1094" t="s">
        <v>1368</v>
      </c>
      <c r="C67" s="322" t="e">
        <f ca="1">C48-C58</f>
        <v>#VALUE!</v>
      </c>
      <c r="D67" s="1090" t="s">
        <v>1369</v>
      </c>
      <c r="E67" s="1095"/>
      <c r="F67" s="1096"/>
      <c r="O67" s="1578" t="s">
        <v>1010</v>
      </c>
      <c r="P67" s="1569" t="s">
        <v>1467</v>
      </c>
      <c r="Q67" s="1616">
        <f ca="1">L51</f>
        <v>-3729</v>
      </c>
      <c r="R67" s="1570" t="s">
        <v>1487</v>
      </c>
    </row>
    <row r="68" spans="1:18" s="1534" customFormat="1" ht="16.5" thickBot="1">
      <c r="A68" s="1074" t="s">
        <v>1000</v>
      </c>
      <c r="B68" s="1075" t="s">
        <v>1390</v>
      </c>
      <c r="C68" s="307" t="e">
        <f ca="1">ROUND(C67*(1-((1+F70)/(1+F68))^F69)/(F68-F70),0)</f>
        <v>#VALUE!</v>
      </c>
      <c r="D68" s="1092" t="s">
        <v>1374</v>
      </c>
      <c r="E68" s="1077" t="s">
        <v>1375</v>
      </c>
      <c r="F68" s="318">
        <f ca="1">F40</f>
        <v>4.4999999999999998E-2</v>
      </c>
      <c r="O68" s="1578" t="s">
        <v>1011</v>
      </c>
      <c r="P68" s="1617" t="s">
        <v>1488</v>
      </c>
      <c r="Q68" s="1570">
        <f ca="1">ROUND(Q69-Q70*Q71,0)</f>
        <v>-165</v>
      </c>
      <c r="R68" s="1570" t="s">
        <v>1019</v>
      </c>
    </row>
    <row r="69" spans="1:18" s="1534" customFormat="1" ht="13.5" thickBot="1">
      <c r="A69" s="1078"/>
      <c r="B69" s="1079"/>
      <c r="C69" s="312"/>
      <c r="D69" s="1097" t="s">
        <v>1378</v>
      </c>
      <c r="E69" s="1077" t="s">
        <v>1379</v>
      </c>
      <c r="F69" s="339">
        <f ca="1">F41</f>
        <v>44.28</v>
      </c>
      <c r="O69" s="1578" t="s">
        <v>1016</v>
      </c>
      <c r="P69" s="1617" t="s">
        <v>1489</v>
      </c>
      <c r="Q69" s="1570">
        <f ca="1">C39</f>
        <v>1392</v>
      </c>
      <c r="R69" s="1570" t="s">
        <v>1434</v>
      </c>
    </row>
    <row r="70" spans="1:18" s="1534" customFormat="1" ht="13.5" thickBot="1">
      <c r="A70" s="1081"/>
      <c r="B70" s="1082"/>
      <c r="C70" s="316"/>
      <c r="D70" s="1093"/>
      <c r="E70" s="1077" t="s">
        <v>1382</v>
      </c>
      <c r="F70" s="1181"/>
      <c r="O70" s="1578" t="s">
        <v>1017</v>
      </c>
      <c r="P70" s="1617" t="s">
        <v>1490</v>
      </c>
      <c r="Q70" s="1570">
        <f ca="1">C13</f>
        <v>23951</v>
      </c>
      <c r="R70" s="1570" t="s">
        <v>1434</v>
      </c>
    </row>
    <row r="71" spans="1:18" s="1534" customFormat="1" ht="13.5" thickBot="1">
      <c r="A71" s="1098" t="s">
        <v>1001</v>
      </c>
      <c r="B71" s="1099" t="s">
        <v>1392</v>
      </c>
      <c r="C71" s="342" t="e">
        <f ca="1">ROUND(C68*10000/F71,0)</f>
        <v>#VALUE!</v>
      </c>
      <c r="D71" s="1100" t="s">
        <v>1393</v>
      </c>
      <c r="E71" s="1101" t="s">
        <v>1394</v>
      </c>
      <c r="F71" s="345">
        <f ca="1">F43</f>
        <v>49433.619999999988</v>
      </c>
      <c r="O71" s="1578" t="s">
        <v>1018</v>
      </c>
      <c r="P71" s="1617" t="s">
        <v>1491</v>
      </c>
      <c r="Q71" s="1581">
        <f ca="1">C76</f>
        <v>6.5000000000000002E-2</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#DIV/0!</v>
      </c>
      <c r="R74" s="1570" t="s">
        <v>1474</v>
      </c>
    </row>
    <row r="75" spans="1:18" ht="13.5" thickBot="1">
      <c r="A75" s="1534"/>
      <c r="B75" s="346" t="s">
        <v>1411</v>
      </c>
      <c r="C75" s="347">
        <f ca="1">ROUND(C13*C76,0)</f>
        <v>1557</v>
      </c>
      <c r="D75" s="1534"/>
      <c r="E75" s="1534"/>
      <c r="F75" s="1534"/>
      <c r="K75" s="1552"/>
      <c r="L75" s="1534"/>
      <c r="O75" s="1568" t="s">
        <v>1014</v>
      </c>
      <c r="P75" s="1569" t="s">
        <v>1454</v>
      </c>
      <c r="Q75" s="1570">
        <f ca="1">Q65+Q66</f>
        <v>36623</v>
      </c>
      <c r="R75" s="1570" t="s">
        <v>1015</v>
      </c>
    </row>
    <row r="76" spans="1:18">
      <c r="B76" s="348" t="s">
        <v>1412</v>
      </c>
      <c r="C76" s="349">
        <f ca="1">INDIRECT("'数据-取费表'!j"&amp;$G$1)</f>
        <v>6.5000000000000002E-2</v>
      </c>
      <c r="I76" s="1534"/>
      <c r="J76" s="1534"/>
      <c r="K76" s="1552"/>
      <c r="L76" s="1534"/>
    </row>
    <row r="77" spans="1:18">
      <c r="B77" s="350" t="s">
        <v>1413</v>
      </c>
      <c r="C77" s="351"/>
      <c r="I77" s="1534"/>
      <c r="J77" s="1534"/>
      <c r="K77" s="1552"/>
      <c r="L77" s="1534"/>
    </row>
    <row r="78" spans="1:18">
      <c r="B78" s="276" t="s">
        <v>1414</v>
      </c>
      <c r="C78" s="352"/>
    </row>
    <row r="79" spans="1:18">
      <c r="B79" s="346" t="s">
        <v>1415</v>
      </c>
      <c r="C79" s="280">
        <f ca="1">1-C80</f>
        <v>-0.11899999999999999</v>
      </c>
    </row>
    <row r="80" spans="1:18">
      <c r="B80" s="346" t="s">
        <v>1416</v>
      </c>
      <c r="C80" s="280">
        <f ca="1">ROUND(C75/C39,3)</f>
        <v>1.119</v>
      </c>
    </row>
    <row r="81" spans="2:3">
      <c r="B81" s="276" t="s">
        <v>1417</v>
      </c>
      <c r="C81" s="244"/>
    </row>
    <row r="82" spans="2:3">
      <c r="B82" s="279" t="s">
        <v>1418</v>
      </c>
      <c r="C82" s="281">
        <f ca="1">1-C83</f>
        <v>0.34599999999999997</v>
      </c>
    </row>
    <row r="83" spans="2:3">
      <c r="B83" s="279" t="s">
        <v>1419</v>
      </c>
      <c r="C83" s="280">
        <f ca="1">ROUND(C13/C40,3)</f>
        <v>0.65400000000000003</v>
      </c>
    </row>
  </sheetData>
  <sheetProtection formatCells="0" formatColumns="0" formatRows="0"/>
  <mergeCells count="3">
    <mergeCell ref="B6:B9"/>
    <mergeCell ref="I6:I9"/>
    <mergeCell ref="K53:L53"/>
  </mergeCells>
  <phoneticPr fontId="140"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1283</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3207"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t="e">
        <f ca="1">ROUND(IF(F10="押一",C6/12*F11,IF(F10="押二",C6/12*2*F11,IF(F10="押三",C6/12*3*F11,C11*F11))),0)</f>
        <v>#N/A</v>
      </c>
      <c r="D10" s="1516" t="s">
        <v>2796</v>
      </c>
      <c r="E10" s="319" t="s">
        <v>1315</v>
      </c>
      <c r="F10" s="1244" t="s">
        <v>3244</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3199" t="s">
        <v>1320</v>
      </c>
      <c r="E13" s="319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3203" t="s">
        <v>1323</v>
      </c>
      <c r="E14" s="3201"/>
      <c r="F14" s="325"/>
      <c r="G14" s="1534"/>
      <c r="H14" s="1109" t="s">
        <v>1003</v>
      </c>
      <c r="I14" s="308" t="s">
        <v>1324</v>
      </c>
      <c r="J14" s="24" t="e">
        <f ca="1">C29</f>
        <v>#N/A</v>
      </c>
      <c r="K14" s="3206"/>
      <c r="L14" s="912"/>
      <c r="M14" s="913"/>
    </row>
    <row r="15" spans="1:37" s="1547" customFormat="1" ht="18" customHeight="1" thickBot="1">
      <c r="A15" s="1109" t="s">
        <v>1004</v>
      </c>
      <c r="B15" s="308" t="s">
        <v>1325</v>
      </c>
      <c r="C15" s="24" t="e">
        <f ca="1">ROUND(C14*F15,0)</f>
        <v>#N/A</v>
      </c>
      <c r="D15" s="3200" t="s">
        <v>1326</v>
      </c>
      <c r="E15" s="3200"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3204"/>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3209"/>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t="e">
        <f ca="1">ROUND(J14*M22,1)</f>
        <v>#N/A</v>
      </c>
      <c r="K22" s="3202"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3202" t="s">
        <v>1359</v>
      </c>
      <c r="L23" s="308" t="s">
        <v>1327</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t="e">
        <f ca="1">ROUND(J5*M24,1)</f>
        <v>#N/A</v>
      </c>
      <c r="K24" s="1220" t="s">
        <v>1364</v>
      </c>
      <c r="L24" s="1218" t="s">
        <v>1327</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00"/>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3204"/>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3203" t="s">
        <v>1335</v>
      </c>
      <c r="E31" s="3202"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t="e">
        <f ca="1">IF(项目基本情况!B11="自然人","——",ROUND(C6*F32/(1+'数据-取费表'!C42),2))</f>
        <v>#N/A</v>
      </c>
      <c r="D32" s="3202"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3245</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3202"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3202" t="s">
        <v>1359</v>
      </c>
      <c r="E37" s="308" t="s">
        <v>1327</v>
      </c>
      <c r="F37" s="336" t="e">
        <f ca="1">INDIRECT("'数据-取费表'!Al"&amp;$G$1)</f>
        <v>#N/A</v>
      </c>
      <c r="G37" s="1534"/>
      <c r="H37" s="2891"/>
      <c r="I37" s="1548"/>
      <c r="J37" s="1549"/>
      <c r="K37" s="2732"/>
      <c r="L37" s="2891"/>
      <c r="M37" s="2891"/>
    </row>
    <row r="38" spans="1:18" ht="18" customHeight="1" thickBot="1">
      <c r="A38" s="1217" t="s">
        <v>1297</v>
      </c>
      <c r="B38" s="1218" t="s">
        <v>1344</v>
      </c>
      <c r="C38" s="1219" t="e">
        <f ca="1">ROUND(C5*F38,1)</f>
        <v>#N/A</v>
      </c>
      <c r="D38" s="1220" t="s">
        <v>1364</v>
      </c>
      <c r="E38" s="1218" t="s">
        <v>1327</v>
      </c>
      <c r="F38" s="1214" t="e">
        <f ca="1">INDIRECT("'数据-取费表'!Am"&amp;$G$1)</f>
        <v>#N/A</v>
      </c>
      <c r="G38" s="1534"/>
      <c r="H38" s="2891"/>
      <c r="I38" s="1548"/>
      <c r="J38" s="1549"/>
      <c r="K38" s="2895"/>
      <c r="L38" s="2891"/>
      <c r="M38" s="2891"/>
    </row>
    <row r="39" spans="1:18" ht="24.6" customHeight="1" thickTop="1">
      <c r="A39" s="1207" t="s">
        <v>999</v>
      </c>
      <c r="B39" s="1222" t="s">
        <v>1368</v>
      </c>
      <c r="C39" s="316" t="e">
        <f ca="1">C5-C30</f>
        <v>#N/A</v>
      </c>
      <c r="D39" s="1223" t="s">
        <v>1369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3246</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3208" t="e">
        <f ca="1">C49+C53+C55</f>
        <v>#N/A</v>
      </c>
      <c r="D48" s="1240"/>
      <c r="E48" s="1241"/>
      <c r="F48" s="1089"/>
      <c r="G48" s="731"/>
      <c r="H48" s="732"/>
      <c r="I48" s="1571" t="s">
        <v>1435</v>
      </c>
      <c r="J48" s="1572" t="s">
        <v>3265</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2788</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'数据-取费表'!J7</f>
        <v>6.5000000000000002E-2</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3205"/>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3266</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#N/A</v>
      </c>
      <c r="D61" s="1520" t="s">
        <v>1343</v>
      </c>
      <c r="E61" s="1077" t="s">
        <v>1327</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1346</v>
      </c>
      <c r="C62" s="25" t="e">
        <f ca="1">IF(项目基本情况!B11="自然人","——",ROUND(F62*F63/10000,2))</f>
        <v>#N/A</v>
      </c>
      <c r="D62" s="1092" t="s">
        <v>1347</v>
      </c>
      <c r="E62" s="1077" t="s">
        <v>1348</v>
      </c>
      <c r="F62" s="331">
        <f t="shared" si="0"/>
        <v>0</v>
      </c>
      <c r="I62" s="1612" t="s">
        <v>1475</v>
      </c>
      <c r="J62" s="1613" t="s">
        <v>1476</v>
      </c>
      <c r="K62" s="1613" t="s">
        <v>1477</v>
      </c>
      <c r="L62" s="1613" t="s">
        <v>1478</v>
      </c>
      <c r="M62" s="1614" t="s">
        <v>1479</v>
      </c>
      <c r="O62" s="1568" t="s">
        <v>1014</v>
      </c>
      <c r="P62" s="1569" t="s">
        <v>1454</v>
      </c>
      <c r="Q62" s="1570" t="e">
        <f ca="1">Q56+Q57</f>
        <v>#N/A</v>
      </c>
      <c r="R62" s="1570" t="s">
        <v>1015</v>
      </c>
    </row>
    <row r="63" spans="1:18" s="1534" customFormat="1" ht="13.5" thickBot="1">
      <c r="A63" s="332"/>
      <c r="B63" s="1083"/>
      <c r="C63" s="29"/>
      <c r="D63" s="1093"/>
      <c r="E63" s="1077" t="s">
        <v>1352</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t="e">
        <f ca="1">ROUND(C57*F64,1)</f>
        <v>#N/A</v>
      </c>
      <c r="D64" s="1091" t="s">
        <v>1387</v>
      </c>
      <c r="E64" s="1077" t="s">
        <v>1327</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1327</v>
      </c>
      <c r="F65" s="336" t="e">
        <f t="shared" ca="1" si="0"/>
        <v>#N/A</v>
      </c>
      <c r="I65" s="1612" t="s">
        <v>1484</v>
      </c>
      <c r="J65" s="1613">
        <v>40</v>
      </c>
      <c r="K65" s="1613">
        <v>30</v>
      </c>
      <c r="L65" s="1613">
        <v>50</v>
      </c>
      <c r="M65" s="1615">
        <v>0.02</v>
      </c>
      <c r="O65" s="1568" t="s">
        <v>1008</v>
      </c>
      <c r="P65" s="1569" t="s">
        <v>1433</v>
      </c>
      <c r="Q65" s="1570" t="e">
        <f ca="1">C40+J29</f>
        <v>#N/A</v>
      </c>
      <c r="R65" s="1570" t="s">
        <v>1434</v>
      </c>
    </row>
    <row r="66" spans="1:18" s="1534" customFormat="1" ht="16.5" thickBot="1">
      <c r="A66" s="1109" t="s">
        <v>1409</v>
      </c>
      <c r="B66" s="1077" t="s">
        <v>1344</v>
      </c>
      <c r="C66" s="24" t="e">
        <f ca="1">ROUND(C48*F66,1)</f>
        <v>#N/A</v>
      </c>
      <c r="D66" s="1091" t="s">
        <v>1364</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3241</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3207"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f ca="1">ROUND(IF(F10="押一",C6/12*F11,IF(F10="押二",C6/12*2*F11,IF(F10="押三",C6/12*3*F11,C11*F11))),0)</f>
        <v>0</v>
      </c>
      <c r="D10" s="1516" t="s">
        <v>2796</v>
      </c>
      <c r="E10" s="319" t="s">
        <v>1315</v>
      </c>
      <c r="F10" s="1244" t="s">
        <v>3267</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3199" t="s">
        <v>1320</v>
      </c>
      <c r="E13" s="319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3203" t="s">
        <v>1323</v>
      </c>
      <c r="E14" s="3201"/>
      <c r="F14" s="325"/>
      <c r="G14" s="1534"/>
      <c r="H14" s="1109" t="s">
        <v>1003</v>
      </c>
      <c r="I14" s="308" t="s">
        <v>1324</v>
      </c>
      <c r="J14" s="24" t="e">
        <f ca="1">C29</f>
        <v>#N/A</v>
      </c>
      <c r="K14" s="3206"/>
      <c r="L14" s="912"/>
      <c r="M14" s="913"/>
    </row>
    <row r="15" spans="1:37" s="1547" customFormat="1" ht="18" customHeight="1" thickBot="1">
      <c r="A15" s="1109" t="s">
        <v>1004</v>
      </c>
      <c r="B15" s="308" t="s">
        <v>1325</v>
      </c>
      <c r="C15" s="24" t="e">
        <f ca="1">ROUND(C14*F15,0)</f>
        <v>#N/A</v>
      </c>
      <c r="D15" s="3200" t="s">
        <v>1326</v>
      </c>
      <c r="E15" s="3200"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3204"/>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3209"/>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t="e">
        <f ca="1">ROUND(J14*M22,1)</f>
        <v>#N/A</v>
      </c>
      <c r="K22" s="3202"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3202" t="s">
        <v>1359</v>
      </c>
      <c r="L23" s="308" t="s">
        <v>1327</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t="e">
        <f ca="1">ROUND(J5*M24,1)</f>
        <v>#N/A</v>
      </c>
      <c r="K24" s="1220" t="s">
        <v>1364</v>
      </c>
      <c r="L24" s="1218" t="s">
        <v>1327</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00"/>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3204"/>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3203" t="s">
        <v>1335</v>
      </c>
      <c r="E31" s="3202"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t="e">
        <f ca="1">IF(项目基本情况!B11="自然人","——",ROUND(C6*F32/(1+'数据-取费表'!C42),2))</f>
        <v>#N/A</v>
      </c>
      <c r="D32" s="3202"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3245</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3202"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3202" t="s">
        <v>1359</v>
      </c>
      <c r="E37" s="308" t="s">
        <v>1327</v>
      </c>
      <c r="F37" s="336" t="e">
        <f ca="1">INDIRECT("'数据-取费表'!Al"&amp;$G$1)</f>
        <v>#N/A</v>
      </c>
      <c r="G37" s="1534"/>
      <c r="H37" s="2891"/>
      <c r="I37" s="1548"/>
      <c r="J37" s="1549"/>
      <c r="K37" s="2732"/>
      <c r="L37" s="2891"/>
      <c r="M37" s="2891"/>
    </row>
    <row r="38" spans="1:18" ht="18" customHeight="1" thickBot="1">
      <c r="A38" s="1217" t="s">
        <v>1297</v>
      </c>
      <c r="B38" s="1218" t="s">
        <v>1344</v>
      </c>
      <c r="C38" s="1219" t="e">
        <f ca="1">ROUND(C5*F38,1)</f>
        <v>#N/A</v>
      </c>
      <c r="D38" s="1220" t="s">
        <v>1364</v>
      </c>
      <c r="E38" s="1218" t="s">
        <v>1327</v>
      </c>
      <c r="F38" s="1214" t="e">
        <f ca="1">INDIRECT("'数据-取费表'!Am"&amp;$G$1)</f>
        <v>#N/A</v>
      </c>
      <c r="G38" s="1534"/>
      <c r="H38" s="2891"/>
      <c r="I38" s="1548"/>
      <c r="J38" s="1549"/>
      <c r="K38" s="2895"/>
      <c r="L38" s="2891"/>
      <c r="M38" s="2891"/>
    </row>
    <row r="39" spans="1:18" ht="24.6" customHeight="1" thickTop="1">
      <c r="A39" s="1207" t="s">
        <v>999</v>
      </c>
      <c r="B39" s="1222" t="s">
        <v>1368</v>
      </c>
      <c r="C39" s="316" t="e">
        <f ca="1">C5-C30</f>
        <v>#N/A</v>
      </c>
      <c r="D39" s="1223" t="s">
        <v>1369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3246</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3208" t="e">
        <f ca="1">C49+C53+C55</f>
        <v>#N/A</v>
      </c>
      <c r="D48" s="1240"/>
      <c r="E48" s="1241"/>
      <c r="F48" s="1089"/>
      <c r="G48" s="731"/>
      <c r="H48" s="732"/>
      <c r="I48" s="1571" t="s">
        <v>1435</v>
      </c>
      <c r="J48" s="1572" t="s">
        <v>3265</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2788</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f>'数据-取费表'!J8</f>
        <v>0</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3205"/>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3266</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#N/A</v>
      </c>
      <c r="D61" s="1520" t="s">
        <v>1343</v>
      </c>
      <c r="E61" s="1077" t="s">
        <v>1327</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1346</v>
      </c>
      <c r="C62" s="25" t="e">
        <f ca="1">IF(项目基本情况!B11="自然人","——",ROUND(F62*F63/10000,2))</f>
        <v>#N/A</v>
      </c>
      <c r="D62" s="1092" t="s">
        <v>1347</v>
      </c>
      <c r="E62" s="1077" t="s">
        <v>1348</v>
      </c>
      <c r="F62" s="331">
        <f t="shared" si="0"/>
        <v>0</v>
      </c>
      <c r="I62" s="1612" t="s">
        <v>1475</v>
      </c>
      <c r="J62" s="1613" t="s">
        <v>1476</v>
      </c>
      <c r="K62" s="1613" t="s">
        <v>1477</v>
      </c>
      <c r="L62" s="1613" t="s">
        <v>1478</v>
      </c>
      <c r="M62" s="1614" t="s">
        <v>1479</v>
      </c>
      <c r="O62" s="1568" t="s">
        <v>1014</v>
      </c>
      <c r="P62" s="1569" t="s">
        <v>1454</v>
      </c>
      <c r="Q62" s="1570" t="e">
        <f ca="1">Q56+Q57</f>
        <v>#N/A</v>
      </c>
      <c r="R62" s="1570" t="s">
        <v>1015</v>
      </c>
    </row>
    <row r="63" spans="1:18" s="1534" customFormat="1" ht="13.5" thickBot="1">
      <c r="A63" s="332"/>
      <c r="B63" s="1083"/>
      <c r="C63" s="29"/>
      <c r="D63" s="1093"/>
      <c r="E63" s="1077" t="s">
        <v>1352</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t="e">
        <f ca="1">ROUND(C57*F64,1)</f>
        <v>#N/A</v>
      </c>
      <c r="D64" s="1091" t="s">
        <v>1387</v>
      </c>
      <c r="E64" s="1077" t="s">
        <v>1327</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1327</v>
      </c>
      <c r="F65" s="336" t="e">
        <f t="shared" ca="1" si="0"/>
        <v>#N/A</v>
      </c>
      <c r="I65" s="1612" t="s">
        <v>1484</v>
      </c>
      <c r="J65" s="1613">
        <v>40</v>
      </c>
      <c r="K65" s="1613">
        <v>30</v>
      </c>
      <c r="L65" s="1613">
        <v>50</v>
      </c>
      <c r="M65" s="1615">
        <v>0.02</v>
      </c>
      <c r="O65" s="1568" t="s">
        <v>1008</v>
      </c>
      <c r="P65" s="1569" t="s">
        <v>1433</v>
      </c>
      <c r="Q65" s="1570" t="e">
        <f ca="1">C40+J29</f>
        <v>#N/A</v>
      </c>
      <c r="R65" s="1570" t="s">
        <v>1434</v>
      </c>
    </row>
    <row r="66" spans="1:18" s="1534" customFormat="1" ht="16.5" thickBot="1">
      <c r="A66" s="1109" t="s">
        <v>1409</v>
      </c>
      <c r="B66" s="1077" t="s">
        <v>1344</v>
      </c>
      <c r="C66" s="24" t="e">
        <f ca="1">ROUND(C48*F66,1)</f>
        <v>#N/A</v>
      </c>
      <c r="D66" s="1091" t="s">
        <v>1364</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1516</v>
      </c>
    </row>
    <row r="2" spans="1:1">
      <c r="A2" s="1629"/>
    </row>
    <row r="3" spans="1:1" ht="18">
      <c r="A3" s="1630" t="str">
        <f>项目基本情况!B5&amp;"："</f>
        <v>：</v>
      </c>
    </row>
    <row r="4" spans="1:1" ht="18">
      <c r="A4" s="1631" t="str">
        <f>"受贵公司委托，我公司对"&amp;项目基本情况!S1&amp;"进行了预评估。"</f>
        <v>受贵公司委托，我公司对北京市进行了预评估。</v>
      </c>
    </row>
    <row r="5" spans="1:1" ht="18.75">
      <c r="A5" s="1632" t="s">
        <v>1517</v>
      </c>
    </row>
    <row r="6" spans="1:1" ht="18.75">
      <c r="A6" s="1633" t="s">
        <v>1518</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估价对象为北京市房地产，为所有。根据《国有土地使用证》[]，估价对象（分摊）出让国有建设用地使用权面积为15403.06平方米，建筑面积为63823.66平方米。</v>
      </c>
    </row>
    <row r="8" spans="1:1" ht="57.75">
      <c r="A8" s="1634" t="s">
        <v>1519</v>
      </c>
    </row>
    <row r="9" spans="1:1" ht="18.75">
      <c r="A9" s="1633" t="s">
        <v>1520</v>
      </c>
    </row>
    <row r="10" spans="1:1" ht="54">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估价对象为北京市房地产,属开发建设的，该项目尚在开发建设中。根据《国有土地使用证》[]，估价对象（分摊）出让国有建设用地使用权面积为15403.06平方米，规划建筑面积为63823.66平方米。</v>
      </c>
    </row>
    <row r="11" spans="1:1" ht="76.5">
      <c r="A11" s="1634" t="s">
        <v>1521</v>
      </c>
    </row>
    <row r="12" spans="1:1" ht="18.75">
      <c r="A12" s="1632" t="s">
        <v>1522</v>
      </c>
    </row>
    <row r="13" spans="1:1" ht="38.25" customHeight="1">
      <c r="A13" s="1635" t="str">
        <f>IF(项目基本情况!B8="抵押",IF(项目基本情况!B5=项目基本情况!B6,定义!C51,定义!B51),定义!D51)</f>
        <v>为估价委托人了解估价对象房地产市场价值提供参考依据。</v>
      </c>
    </row>
    <row r="14" spans="1:1" ht="18.75">
      <c r="A14" s="1636" t="s">
        <v>1523</v>
      </c>
    </row>
    <row r="15" spans="1:1" ht="18">
      <c r="A15" s="1637" t="str">
        <f>TEXT(项目基本情况!D3,"yyyy年m月d日;;")&amp;IF(项目基本情况!D3=项目基本情况!B3,"（评估专业人员实地查勘之日）","")</f>
        <v>2022年4月1日（评估专业人员实地查勘之日）</v>
      </c>
    </row>
    <row r="16" spans="1:1" ht="18.75">
      <c r="A16" s="1636" t="s">
        <v>1524</v>
      </c>
    </row>
    <row r="17" spans="1:1" ht="75">
      <c r="A17" s="1631" t="s">
        <v>1525</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1514</v>
      </c>
    </row>
    <row r="24" spans="1:1" ht="18">
      <c r="A24" s="1638" t="str">
        <f>"本次评估采用的主估价方法为"&amp;结果表!K4&amp;"和"&amp;结果表!L4&amp;"。"</f>
        <v>本次评估采用的主估价方法为成本法和收益法。</v>
      </c>
    </row>
    <row r="25" spans="1:1" ht="18">
      <c r="A25" s="1638"/>
    </row>
    <row r="26" spans="1:1" ht="18.75">
      <c r="A26" s="1639" t="s">
        <v>1515</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26"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3243</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1204"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t="e">
        <f ca="1">ROUND(IF(F10="押一",C6/12*F11,IF(F10="押二",C6/12*2*F11,IF(F10="押三",C6/12*3*F11,C11*F11))),0)</f>
        <v>#N/A</v>
      </c>
      <c r="D10" s="1516" t="s">
        <v>2797</v>
      </c>
      <c r="E10" s="319" t="s">
        <v>1315</v>
      </c>
      <c r="F10" s="1244" t="s">
        <v>3244</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1209" t="s">
        <v>1320</v>
      </c>
      <c r="E13" s="120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1495" t="s">
        <v>1323</v>
      </c>
      <c r="E14" s="1492"/>
      <c r="F14" s="325"/>
      <c r="G14" s="1534"/>
      <c r="H14" s="1109" t="s">
        <v>1003</v>
      </c>
      <c r="I14" s="308" t="s">
        <v>1324</v>
      </c>
      <c r="J14" s="24" t="e">
        <f ca="1">C29</f>
        <v>#N/A</v>
      </c>
      <c r="K14" s="15"/>
      <c r="L14" s="912"/>
      <c r="M14" s="913"/>
    </row>
    <row r="15" spans="1:37" s="1547" customFormat="1" ht="18" customHeight="1" thickBot="1">
      <c r="A15" s="1109" t="s">
        <v>1004</v>
      </c>
      <c r="B15" s="308" t="s">
        <v>1325</v>
      </c>
      <c r="C15" s="24" t="e">
        <f ca="1">ROUND(C14*F15,0)</f>
        <v>#N/A</v>
      </c>
      <c r="D15" s="326" t="s">
        <v>1326</v>
      </c>
      <c r="E15" s="326"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1216"/>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1495" t="s">
        <v>1335</v>
      </c>
      <c r="L17" s="1494"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1494"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1510"/>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18</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1510"/>
      <c r="F22" s="26"/>
      <c r="G22" s="1534"/>
      <c r="H22" s="1109" t="s">
        <v>1007</v>
      </c>
      <c r="I22" s="308" t="s">
        <v>1354</v>
      </c>
      <c r="J22" s="24" t="e">
        <f ca="1">ROUND(J14*M22,1)</f>
        <v>#N/A</v>
      </c>
      <c r="K22" s="1494"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1494" t="s">
        <v>1359</v>
      </c>
      <c r="L23" s="308" t="s">
        <v>1360</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1298</v>
      </c>
      <c r="I24" s="1218" t="s">
        <v>1344</v>
      </c>
      <c r="J24" s="1219" t="e">
        <f ca="1">ROUND(J5*M24,1)</f>
        <v>#N/A</v>
      </c>
      <c r="K24" s="1220" t="s">
        <v>1364</v>
      </c>
      <c r="L24" s="1218" t="s">
        <v>1360</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1510"/>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6"/>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1216"/>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1495" t="s">
        <v>1335</v>
      </c>
      <c r="E31" s="1494"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t="e">
        <f ca="1">IF(项目基本情况!B11="自然人","——",ROUND(C6*F32/(1+'数据-取费表'!C42),2))</f>
        <v>#N/A</v>
      </c>
      <c r="D32" s="1494"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3245</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1494"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1494" t="s">
        <v>1359</v>
      </c>
      <c r="E37" s="308" t="s">
        <v>1360</v>
      </c>
      <c r="F37" s="336" t="e">
        <f ca="1">INDIRECT("'数据-取费表'!Al"&amp;$G$1)</f>
        <v>#N/A</v>
      </c>
      <c r="G37" s="1534"/>
      <c r="H37" s="2891"/>
      <c r="I37" s="1548"/>
      <c r="J37" s="1549"/>
      <c r="K37" s="2732"/>
      <c r="L37" s="2891"/>
      <c r="M37" s="2891"/>
    </row>
    <row r="38" spans="1:18" ht="18" customHeight="1" thickBot="1">
      <c r="A38" s="1217" t="s">
        <v>1298</v>
      </c>
      <c r="B38" s="1218" t="s">
        <v>1344</v>
      </c>
      <c r="C38" s="1219" t="e">
        <f ca="1">ROUND(C5*F38,1)</f>
        <v>#N/A</v>
      </c>
      <c r="D38" s="1220" t="s">
        <v>1364</v>
      </c>
      <c r="E38" s="1218" t="s">
        <v>1360</v>
      </c>
      <c r="F38" s="1214" t="e">
        <f ca="1">INDIRECT("'数据-取费表'!Am"&amp;$G$1)</f>
        <v>#N/A</v>
      </c>
      <c r="G38" s="1534"/>
      <c r="H38" s="2891"/>
      <c r="I38" s="1548"/>
      <c r="J38" s="1549"/>
      <c r="K38" s="2895"/>
      <c r="L38" s="2891"/>
      <c r="M38" s="2891"/>
    </row>
    <row r="39" spans="1:18" ht="24.6" customHeight="1" thickTop="1">
      <c r="A39" s="1207" t="s">
        <v>999</v>
      </c>
      <c r="B39" s="1222" t="s">
        <v>1388</v>
      </c>
      <c r="C39" s="316" t="e">
        <f ca="1">C5-C30</f>
        <v>#N/A</v>
      </c>
      <c r="D39" s="1223" t="s">
        <v>1389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3246</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1509" t="e">
        <f ca="1">C49+C53+C55</f>
        <v>#N/A</v>
      </c>
      <c r="D48" s="1240"/>
      <c r="E48" s="1241"/>
      <c r="F48" s="1089"/>
      <c r="G48" s="731"/>
      <c r="H48" s="732"/>
      <c r="I48" s="1571" t="s">
        <v>1435</v>
      </c>
      <c r="J48" s="1572" t="s">
        <v>3265</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2790</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f>'数据-取费表'!J9</f>
        <v>0</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1524"/>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3266</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1398</v>
      </c>
      <c r="C61" s="24" t="e">
        <f ca="1">IF(项目基本情况!B11="自然人","——",IF(D61="按租金收入计税",ROUND(C49*F61/(1+'数据-取费表'!C42),2),IF(D61="按房产原值计税",ROUND(C57*F61*0.7,2),INDIRECT("'数据-取费表'!Aj"&amp;$G$1))))</f>
        <v>#N/A</v>
      </c>
      <c r="D61" s="1520" t="s">
        <v>1343</v>
      </c>
      <c r="E61" s="1077" t="s">
        <v>1399</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1401</v>
      </c>
      <c r="C62" s="25" t="e">
        <f ca="1">IF(项目基本情况!B11="自然人","——",ROUND(F62*F63/10000,2))</f>
        <v>#N/A</v>
      </c>
      <c r="D62" s="1092" t="s">
        <v>1402</v>
      </c>
      <c r="E62" s="1077" t="s">
        <v>1403</v>
      </c>
      <c r="F62" s="331">
        <f t="shared" si="0"/>
        <v>0</v>
      </c>
      <c r="I62" s="1612" t="s">
        <v>1475</v>
      </c>
      <c r="J62" s="1613" t="s">
        <v>1476</v>
      </c>
      <c r="K62" s="1613" t="s">
        <v>1477</v>
      </c>
      <c r="L62" s="1613" t="s">
        <v>1478</v>
      </c>
      <c r="M62" s="1614" t="s">
        <v>1479</v>
      </c>
      <c r="O62" s="1568" t="s">
        <v>1014</v>
      </c>
      <c r="P62" s="1569" t="s">
        <v>1480</v>
      </c>
      <c r="Q62" s="1570" t="e">
        <f ca="1">Q56+Q57</f>
        <v>#N/A</v>
      </c>
      <c r="R62" s="1570" t="s">
        <v>1015</v>
      </c>
    </row>
    <row r="63" spans="1:18" s="1534" customFormat="1" ht="13.5" thickBot="1">
      <c r="A63" s="332"/>
      <c r="B63" s="1083"/>
      <c r="C63" s="29"/>
      <c r="D63" s="1093"/>
      <c r="E63" s="1077" t="s">
        <v>1404</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t="e">
        <f ca="1">ROUND(C57*F64,1)</f>
        <v>#N/A</v>
      </c>
      <c r="D64" s="1091" t="s">
        <v>1407</v>
      </c>
      <c r="E64" s="1077" t="s">
        <v>1399</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1360</v>
      </c>
      <c r="F65" s="336" t="e">
        <f t="shared" ca="1" si="0"/>
        <v>#N/A</v>
      </c>
      <c r="I65" s="1612" t="s">
        <v>1484</v>
      </c>
      <c r="J65" s="1613">
        <v>40</v>
      </c>
      <c r="K65" s="1613">
        <v>30</v>
      </c>
      <c r="L65" s="1613">
        <v>50</v>
      </c>
      <c r="M65" s="1615">
        <v>0.02</v>
      </c>
      <c r="O65" s="1568" t="s">
        <v>1008</v>
      </c>
      <c r="P65" s="1569" t="s">
        <v>1485</v>
      </c>
      <c r="Q65" s="1570" t="e">
        <f ca="1">C40+J29</f>
        <v>#N/A</v>
      </c>
      <c r="R65" s="1570" t="s">
        <v>1434</v>
      </c>
    </row>
    <row r="66" spans="1:18" s="1534" customFormat="1" ht="16.5" thickBot="1">
      <c r="A66" s="1109" t="s">
        <v>1409</v>
      </c>
      <c r="B66" s="1077" t="s">
        <v>1344</v>
      </c>
      <c r="C66" s="24" t="e">
        <f ca="1">ROUND(C48*F66,1)</f>
        <v>#N/A</v>
      </c>
      <c r="D66" s="1091" t="s">
        <v>1410</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c r="D1" s="1512"/>
      <c r="E1" s="1513" t="s">
        <v>1292</v>
      </c>
      <c r="F1" s="1189">
        <f ca="1">J53</f>
        <v>0</v>
      </c>
      <c r="G1" s="1528">
        <f>MATCH(C1,'数据-取费表'!A6:A16,0)+5</f>
        <v>8</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1495</v>
      </c>
      <c r="B2" s="1536" t="e">
        <f ca="1">ROUND(D2/10000,0)</f>
        <v>#DIV/0!</v>
      </c>
      <c r="C2" s="1537" t="s">
        <v>1496</v>
      </c>
      <c r="D2" s="1621" t="e">
        <f ca="1">C40+J29+L46</f>
        <v>#DIV/0!</v>
      </c>
      <c r="E2" s="1538" t="s">
        <v>1497</v>
      </c>
      <c r="F2" s="1539"/>
      <c r="G2" s="2897"/>
      <c r="H2" s="2886"/>
      <c r="I2" s="2886"/>
      <c r="J2" s="2886"/>
      <c r="K2" s="2887"/>
      <c r="L2" s="2886"/>
      <c r="M2" s="2886"/>
    </row>
    <row r="3" spans="1:37" ht="18" customHeight="1" thickBot="1">
      <c r="A3" s="1540" t="s">
        <v>1498</v>
      </c>
      <c r="B3" s="1541">
        <f ca="1">IF(ISERROR(D2/F43),0,ROUND(D2/F43,0))</f>
        <v>0</v>
      </c>
      <c r="C3" s="1537" t="s">
        <v>1499</v>
      </c>
      <c r="D3" s="1537"/>
      <c r="E3" s="1538"/>
      <c r="F3" s="1539"/>
      <c r="G3" s="2897"/>
      <c r="H3" s="692" t="s">
        <v>1493</v>
      </c>
      <c r="I3" s="1532"/>
      <c r="J3" s="1532"/>
      <c r="K3" s="1533"/>
      <c r="L3" s="1532"/>
      <c r="M3" s="1532"/>
    </row>
    <row r="4" spans="1:37" ht="18" customHeight="1">
      <c r="A4" s="301" t="s">
        <v>1500</v>
      </c>
      <c r="B4" s="302" t="s">
        <v>1501</v>
      </c>
      <c r="C4" s="302" t="s">
        <v>1502</v>
      </c>
      <c r="D4" s="302" t="s">
        <v>1503</v>
      </c>
      <c r="E4" s="303" t="s">
        <v>1504</v>
      </c>
      <c r="F4" s="304"/>
      <c r="G4" s="1534"/>
      <c r="H4" s="301" t="s">
        <v>1500</v>
      </c>
      <c r="I4" s="302" t="s">
        <v>1501</v>
      </c>
      <c r="J4" s="302" t="s">
        <v>1502</v>
      </c>
      <c r="K4" s="302" t="s">
        <v>1503</v>
      </c>
      <c r="L4" s="303" t="s">
        <v>1504</v>
      </c>
      <c r="M4" s="304"/>
    </row>
    <row r="5" spans="1:37" ht="18" customHeight="1">
      <c r="A5" s="305">
        <v>1</v>
      </c>
      <c r="B5" s="306" t="s">
        <v>1505</v>
      </c>
      <c r="C5" s="1198">
        <f ca="1">C6+C10+C12</f>
        <v>0</v>
      </c>
      <c r="D5" s="1514" t="s">
        <v>1506</v>
      </c>
      <c r="E5" s="1199"/>
      <c r="F5" s="1200"/>
      <c r="G5" s="1534"/>
      <c r="H5" s="305">
        <v>1</v>
      </c>
      <c r="I5" s="306" t="s">
        <v>1505</v>
      </c>
      <c r="J5" s="1198">
        <f ca="1">J6+J10+J12</f>
        <v>0</v>
      </c>
      <c r="K5" s="1514" t="s">
        <v>1506</v>
      </c>
      <c r="L5" s="1199"/>
      <c r="M5" s="1200"/>
    </row>
    <row r="6" spans="1:37" ht="18" customHeight="1">
      <c r="A6" s="1197" t="s">
        <v>1003</v>
      </c>
      <c r="B6" s="3709" t="s">
        <v>1308</v>
      </c>
      <c r="C6" s="1202">
        <f ca="1">ROUND(F6*F8*F7*(1-F9),0)</f>
        <v>0</v>
      </c>
      <c r="D6" s="160" t="s">
        <v>2786</v>
      </c>
      <c r="E6" s="308" t="s">
        <v>1310</v>
      </c>
      <c r="F6" s="309">
        <f ca="1">INDIRECT("'数据-取费表'!u"&amp;$G$1)</f>
        <v>0</v>
      </c>
      <c r="G6" s="1534"/>
      <c r="H6" s="1197" t="s">
        <v>1003</v>
      </c>
      <c r="I6" s="3709" t="s">
        <v>1308</v>
      </c>
      <c r="J6" s="307">
        <f ca="1">ROUND(M6*M8*M7*(1-M9),0)</f>
        <v>0</v>
      </c>
      <c r="K6" s="1526" t="s">
        <v>2787</v>
      </c>
      <c r="L6" s="308" t="s">
        <v>1310</v>
      </c>
      <c r="M6" s="309">
        <f ca="1">INDIRECT("'数据-取费表'!z"&amp;$G$1)</f>
        <v>0</v>
      </c>
    </row>
    <row r="7" spans="1:37" ht="18" customHeight="1">
      <c r="A7" s="1201"/>
      <c r="B7" s="3710"/>
      <c r="C7" s="1203"/>
      <c r="D7" s="313"/>
      <c r="E7" s="1204" t="s">
        <v>1311</v>
      </c>
      <c r="F7" s="309">
        <f ca="1">IF(INDIRECT("'数据-取费表'!ah"&amp;$G$1)="",INDIRECT("'数据-取费表'!k"&amp;$G$1),INDIRECT("'数据-取费表'!ah"&amp;$G$1))</f>
        <v>0</v>
      </c>
      <c r="G7" s="1534"/>
      <c r="H7" s="310"/>
      <c r="I7" s="3710"/>
      <c r="J7" s="312"/>
      <c r="K7" s="313"/>
      <c r="L7" s="308" t="s">
        <v>1311</v>
      </c>
      <c r="M7" s="309">
        <f ca="1">F7</f>
        <v>0</v>
      </c>
    </row>
    <row r="8" spans="1:37" ht="18" customHeight="1">
      <c r="A8" s="310"/>
      <c r="B8" s="3710"/>
      <c r="C8" s="312"/>
      <c r="D8" s="313"/>
      <c r="E8" s="308" t="s">
        <v>1312</v>
      </c>
      <c r="F8" s="309">
        <f ca="1">INDIRECT("'数据-取费表'!ai"&amp;$G$1)</f>
        <v>0</v>
      </c>
      <c r="G8" s="1534"/>
      <c r="H8" s="310"/>
      <c r="I8" s="3710"/>
      <c r="J8" s="312"/>
      <c r="K8" s="313"/>
      <c r="L8" s="308" t="s">
        <v>1312</v>
      </c>
      <c r="M8" s="309">
        <f ca="1">INDIRECT("'数据-取费表'!ai"&amp;$G$1)</f>
        <v>0</v>
      </c>
    </row>
    <row r="9" spans="1:37" ht="18" customHeight="1">
      <c r="A9" s="310"/>
      <c r="B9" s="3711"/>
      <c r="C9" s="312"/>
      <c r="D9" s="313"/>
      <c r="E9" s="308" t="s">
        <v>1313</v>
      </c>
      <c r="F9" s="318">
        <f ca="1">INDIRECT("'数据-取费表'!w"&amp;$G$1)</f>
        <v>0</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2796</v>
      </c>
      <c r="E10" s="319" t="s">
        <v>1315</v>
      </c>
      <c r="F10" s="1244"/>
      <c r="G10" s="1534"/>
      <c r="H10" s="1197" t="s">
        <v>1007</v>
      </c>
      <c r="I10" s="1515" t="s">
        <v>1314</v>
      </c>
      <c r="J10" s="307">
        <f ca="1">ROUND(IF(M10="押一",J6/12*M11,IF(M10="押二",J6/12*2*M11,IF(M10="押三",J6/12*3*M11,J11*M11))),0)</f>
        <v>0</v>
      </c>
      <c r="K10" s="1527" t="s">
        <v>2798</v>
      </c>
      <c r="L10" s="319" t="s">
        <v>1315</v>
      </c>
      <c r="M10" s="1244"/>
    </row>
    <row r="11" spans="1:37" ht="18" customHeight="1">
      <c r="A11" s="314"/>
      <c r="B11" s="1517" t="s">
        <v>1507</v>
      </c>
      <c r="C11" s="1086"/>
      <c r="D11" s="313"/>
      <c r="E11" s="319" t="s">
        <v>1317</v>
      </c>
      <c r="F11" s="320">
        <f ca="1">'数据-取费表'!B39</f>
        <v>1.4999999999999999E-2</v>
      </c>
      <c r="G11" s="1534"/>
      <c r="H11" s="1205"/>
      <c r="I11" s="1517" t="s">
        <v>1508</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0</v>
      </c>
      <c r="D13" s="1209" t="s">
        <v>1320</v>
      </c>
      <c r="E13" s="1209" t="s">
        <v>1321</v>
      </c>
      <c r="F13" s="1210">
        <f ca="1">INDIRECT("'数据-取费表'!y"&amp;$G$1)</f>
        <v>0</v>
      </c>
      <c r="G13" s="1534"/>
      <c r="H13" s="1207">
        <v>2</v>
      </c>
      <c r="I13" s="1208" t="s">
        <v>1319</v>
      </c>
      <c r="J13" s="1196">
        <f ca="1">ROUND(J14*J15,0)</f>
        <v>0</v>
      </c>
      <c r="K13" s="1215" t="s">
        <v>1320</v>
      </c>
      <c r="L13" s="1542"/>
      <c r="M13" s="1543"/>
    </row>
    <row r="14" spans="1:37" ht="18" customHeight="1">
      <c r="A14" s="1109" t="s">
        <v>1002</v>
      </c>
      <c r="B14" s="308" t="s">
        <v>1322</v>
      </c>
      <c r="C14" s="324">
        <f ca="1">ROUND(INDIRECT("'数据-取费表'!l"&amp;$G$1)*F43+'数据-取费表'!L14*INDIRECT("'数据-取费表'!S"&amp;$G$1),0)</f>
        <v>0</v>
      </c>
      <c r="D14" s="1495" t="s">
        <v>1323</v>
      </c>
      <c r="E14" s="1492"/>
      <c r="F14" s="325"/>
      <c r="G14" s="1534"/>
      <c r="H14" s="1109" t="s">
        <v>1003</v>
      </c>
      <c r="I14" s="308" t="s">
        <v>1324</v>
      </c>
      <c r="J14" s="24">
        <f ca="1">C29</f>
        <v>0</v>
      </c>
      <c r="K14" s="15"/>
      <c r="L14" s="912"/>
      <c r="M14" s="913"/>
    </row>
    <row r="15" spans="1:37" s="1547" customFormat="1" ht="18" customHeight="1" thickBot="1">
      <c r="A15" s="1109" t="s">
        <v>1004</v>
      </c>
      <c r="B15" s="308" t="s">
        <v>1325</v>
      </c>
      <c r="C15" s="24">
        <f ca="1">ROUND(C14*F15,0)</f>
        <v>0</v>
      </c>
      <c r="D15" s="326" t="s">
        <v>1326</v>
      </c>
      <c r="E15" s="326"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34"/>
      <c r="H16" s="1207" t="s">
        <v>998</v>
      </c>
      <c r="I16" s="1208" t="s">
        <v>1329</v>
      </c>
      <c r="J16" s="316">
        <f ca="1">ROUND(J17+J22+J23+J24,0)</f>
        <v>0</v>
      </c>
      <c r="K16" s="1215" t="s">
        <v>1330</v>
      </c>
      <c r="L16" s="1216"/>
      <c r="M16" s="1200"/>
    </row>
    <row r="17" spans="1:37" s="1547" customFormat="1" ht="18" customHeight="1">
      <c r="A17" s="1109" t="s">
        <v>1295</v>
      </c>
      <c r="B17" s="308" t="s">
        <v>1331</v>
      </c>
      <c r="C17" s="24">
        <f ca="1">ROUND(F17*(F43+INDIRECT("'数据-取费表'!S"&amp;$G$1)),0)</f>
        <v>0</v>
      </c>
      <c r="D17" s="308" t="s">
        <v>1332</v>
      </c>
      <c r="E17" s="308" t="s">
        <v>1333</v>
      </c>
      <c r="F17" s="26">
        <f>'数据-取费表'!B35</f>
        <v>200</v>
      </c>
      <c r="G17" s="1546"/>
      <c r="H17" s="1109" t="s">
        <v>1003</v>
      </c>
      <c r="I17" s="308" t="s">
        <v>1334</v>
      </c>
      <c r="J17" s="2497">
        <f ca="1">ROUND(IF(AND(项目基本情况!B11="自然人",项目基本情况!B10="北京市"),J6*M17/(1+'数据-取费表'!C42),J18+J19+J20),0)</f>
        <v>0</v>
      </c>
      <c r="K17" s="1495" t="s">
        <v>1335</v>
      </c>
      <c r="L17" s="1494"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0</v>
      </c>
      <c r="D18" s="308" t="s">
        <v>1326</v>
      </c>
      <c r="E18" s="308" t="s">
        <v>1327</v>
      </c>
      <c r="F18" s="328">
        <f>'数据-取费表'!B36</f>
        <v>1.4999999999999999E-2</v>
      </c>
      <c r="G18" s="1546"/>
      <c r="H18" s="1109" t="s">
        <v>1002</v>
      </c>
      <c r="I18" s="308" t="s">
        <v>1338</v>
      </c>
      <c r="J18" s="24">
        <f ca="1">ROUND(J6*M18/(1+'数据-取费表'!C42),0)</f>
        <v>0</v>
      </c>
      <c r="K18" s="1494"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0</v>
      </c>
      <c r="D19" s="136" t="s">
        <v>1341</v>
      </c>
      <c r="E19" s="1510"/>
      <c r="F19" s="26"/>
      <c r="G19" s="1534"/>
      <c r="H19" s="1109" t="s">
        <v>1004</v>
      </c>
      <c r="I19" s="308" t="s">
        <v>1342</v>
      </c>
      <c r="J19" s="24">
        <f ca="1">IF(K19="按租金收入计税",ROUND(J6*M19/(1+'数据-取费表'!C42),0),ROUND(C29*M19*0.7,0))</f>
        <v>0</v>
      </c>
      <c r="K19" s="1520" t="s">
        <v>1343</v>
      </c>
      <c r="L19" s="308" t="s">
        <v>1327</v>
      </c>
      <c r="M19" s="328">
        <f>IF(K19="按租金收入计税",'数据-取费表'!B51,'数据-取费表'!B50)</f>
        <v>1.2E-2</v>
      </c>
    </row>
    <row r="20" spans="1:37" s="1547" customFormat="1" ht="18" customHeight="1">
      <c r="A20" s="1109" t="s">
        <v>1007</v>
      </c>
      <c r="B20" s="308" t="s">
        <v>1344</v>
      </c>
      <c r="C20" s="24">
        <f ca="1">ROUND(C19*F20,0)</f>
        <v>0</v>
      </c>
      <c r="D20" s="329" t="s">
        <v>1345</v>
      </c>
      <c r="E20" s="308" t="s">
        <v>1327</v>
      </c>
      <c r="F20" s="328">
        <f>'数据-取费表'!B37</f>
        <v>0.02</v>
      </c>
      <c r="G20" s="1546"/>
      <c r="H20" s="1109" t="s">
        <v>1294</v>
      </c>
      <c r="I20" s="160" t="s">
        <v>1346</v>
      </c>
      <c r="J20" s="25">
        <f ca="1">ROUND(M20*M21,0)</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1510"/>
      <c r="F22" s="26"/>
      <c r="G22" s="1534"/>
      <c r="H22" s="1109" t="s">
        <v>1007</v>
      </c>
      <c r="I22" s="308" t="s">
        <v>1354</v>
      </c>
      <c r="J22" s="24">
        <f ca="1">ROUND(J14*M22,0)</f>
        <v>0</v>
      </c>
      <c r="K22" s="1494" t="s">
        <v>1355</v>
      </c>
      <c r="L22" s="308" t="s">
        <v>1327</v>
      </c>
      <c r="M22" s="334">
        <f ca="1">INDIRECT("'数据-取费表'!Ak"&amp;$G$1)</f>
        <v>0</v>
      </c>
    </row>
    <row r="23" spans="1:37" s="1547"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ROUND(J13*M23,0)</f>
        <v>0</v>
      </c>
      <c r="K23" s="1494" t="s">
        <v>1359</v>
      </c>
      <c r="L23" s="308" t="s">
        <v>1360</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1298</v>
      </c>
      <c r="I24" s="1218" t="s">
        <v>1344</v>
      </c>
      <c r="J24" s="1219">
        <f ca="1">ROUND(J5*M24,0)</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09" t="s">
        <v>1365</v>
      </c>
      <c r="B25" s="308" t="s">
        <v>1366</v>
      </c>
      <c r="C25" s="24"/>
      <c r="D25" s="136" t="s">
        <v>1367</v>
      </c>
      <c r="E25" s="1510"/>
      <c r="F25" s="26"/>
      <c r="G25" s="1534"/>
      <c r="H25" s="1207" t="s">
        <v>999</v>
      </c>
      <c r="I25" s="1222" t="s">
        <v>1368</v>
      </c>
      <c r="J25" s="316">
        <f ca="1">J5-J16</f>
        <v>0</v>
      </c>
      <c r="K25" s="1223" t="s">
        <v>1369</v>
      </c>
      <c r="L25" s="1224"/>
      <c r="M25" s="1225"/>
    </row>
    <row r="26" spans="1:37" ht="18" customHeight="1">
      <c r="A26" s="1109" t="s">
        <v>1002</v>
      </c>
      <c r="B26" s="308" t="s">
        <v>1370</v>
      </c>
      <c r="C26" s="24">
        <f ca="1">ROUND((C19+C20)*F26,0)</f>
        <v>0</v>
      </c>
      <c r="D26" s="329" t="s">
        <v>1371</v>
      </c>
      <c r="E26" s="319" t="s">
        <v>1372</v>
      </c>
      <c r="F26" s="318">
        <f ca="1">INDIRECT("'数据-取费表'!q"&amp;$G$1)</f>
        <v>0</v>
      </c>
      <c r="G26" s="1534"/>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40" t="s">
        <v>1001</v>
      </c>
      <c r="I29" s="341" t="s">
        <v>1384</v>
      </c>
      <c r="J29" s="342">
        <f ca="1">ROUND(J26/(1+F40)^F41,0)</f>
        <v>0</v>
      </c>
      <c r="K29" s="343" t="s">
        <v>1385</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0</v>
      </c>
      <c r="D30" s="1215" t="s">
        <v>1330</v>
      </c>
      <c r="E30" s="1216"/>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1495" t="s">
        <v>1335</v>
      </c>
      <c r="E31" s="1494"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f ca="1">IF(项目基本情况!B11="自然人","——",ROUND(C6*F32/(1+'数据-取费表'!C42),0))</f>
        <v>0</v>
      </c>
      <c r="D32" s="1494" t="s">
        <v>1339</v>
      </c>
      <c r="E32" s="308" t="s">
        <v>1327</v>
      </c>
      <c r="F32" s="337">
        <f>'数据-取费表'!B41</f>
        <v>1.575E-2</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20" t="s">
        <v>1343</v>
      </c>
      <c r="E33" s="308" t="s">
        <v>1327</v>
      </c>
      <c r="F33" s="328">
        <f>IF(D33="按票据","——",IF(D33="按租金收入计税",'数据-取费表'!B51,'数据-取费表'!B50))</f>
        <v>1.2E-2</v>
      </c>
      <c r="G33" s="1534"/>
      <c r="H33" s="2891"/>
      <c r="I33" s="1548"/>
      <c r="J33" s="1549"/>
      <c r="K33" s="2892"/>
      <c r="L33" s="2891"/>
      <c r="M33" s="2891"/>
    </row>
    <row r="34" spans="1:18" ht="18" customHeight="1">
      <c r="A34" s="1197" t="s">
        <v>1294</v>
      </c>
      <c r="B34" s="160" t="s">
        <v>1346</v>
      </c>
      <c r="C34" s="25">
        <f ca="1">IF(项目基本情况!B11="自然人","——",ROUND(F34*F35,))</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0</v>
      </c>
      <c r="G35" s="1534"/>
      <c r="H35" s="2888"/>
      <c r="I35" s="1548"/>
      <c r="J35" s="1549"/>
      <c r="K35" s="2892"/>
      <c r="L35" s="2891"/>
      <c r="M35" s="2891"/>
    </row>
    <row r="36" spans="1:18" ht="18" customHeight="1">
      <c r="A36" s="1230" t="s">
        <v>1007</v>
      </c>
      <c r="B36" s="308" t="s">
        <v>1354</v>
      </c>
      <c r="C36" s="24">
        <f ca="1">ROUND(C29*F36,0)</f>
        <v>0</v>
      </c>
      <c r="D36" s="1494" t="s">
        <v>1387</v>
      </c>
      <c r="E36" s="308" t="s">
        <v>1327</v>
      </c>
      <c r="F36" s="334">
        <f ca="1">INDIRECT("'数据-取费表'!Ak"&amp;$G$1)</f>
        <v>0</v>
      </c>
      <c r="G36" s="1534"/>
      <c r="H36" s="2891"/>
      <c r="I36" s="1548"/>
      <c r="J36" s="1549"/>
      <c r="K36" s="2732"/>
      <c r="L36" s="2891"/>
      <c r="M36" s="2891"/>
    </row>
    <row r="37" spans="1:18" ht="18" customHeight="1">
      <c r="A37" s="1109" t="s">
        <v>1043</v>
      </c>
      <c r="B37" s="308" t="s">
        <v>1358</v>
      </c>
      <c r="C37" s="24">
        <f ca="1">ROUND(C13*F37,0)</f>
        <v>0</v>
      </c>
      <c r="D37" s="1494" t="s">
        <v>1359</v>
      </c>
      <c r="E37" s="308" t="s">
        <v>1360</v>
      </c>
      <c r="F37" s="336">
        <f ca="1">INDIRECT("'数据-取费表'!Al"&amp;$G$1)</f>
        <v>0</v>
      </c>
      <c r="G37" s="1534"/>
      <c r="H37" s="2891"/>
      <c r="I37" s="1548"/>
      <c r="J37" s="1549"/>
      <c r="K37" s="2732"/>
      <c r="L37" s="2891"/>
      <c r="M37" s="2891"/>
    </row>
    <row r="38" spans="1:18" ht="18" customHeight="1" thickBot="1">
      <c r="A38" s="1217" t="s">
        <v>1298</v>
      </c>
      <c r="B38" s="1218" t="s">
        <v>1344</v>
      </c>
      <c r="C38" s="1219">
        <f ca="1">ROUND(C5*F38,1)</f>
        <v>0</v>
      </c>
      <c r="D38" s="1220" t="s">
        <v>1364</v>
      </c>
      <c r="E38" s="1218" t="s">
        <v>1360</v>
      </c>
      <c r="F38" s="1214">
        <f ca="1">INDIRECT("'数据-取费表'!Am"&amp;$G$1)</f>
        <v>0</v>
      </c>
      <c r="G38" s="1534"/>
      <c r="H38" s="2891"/>
      <c r="I38" s="1548"/>
      <c r="J38" s="1549"/>
      <c r="K38" s="2895"/>
      <c r="L38" s="2891"/>
      <c r="M38" s="2891"/>
    </row>
    <row r="39" spans="1:18" ht="24.6" customHeight="1" thickTop="1">
      <c r="A39" s="1207" t="s">
        <v>999</v>
      </c>
      <c r="B39" s="1222" t="s">
        <v>1388</v>
      </c>
      <c r="C39" s="316">
        <f ca="1">C5-C30</f>
        <v>0</v>
      </c>
      <c r="D39" s="1223" t="s">
        <v>1389</v>
      </c>
      <c r="E39" s="1224"/>
      <c r="F39" s="1225"/>
      <c r="G39" s="1534"/>
      <c r="H39" s="2891"/>
      <c r="I39" s="1548"/>
      <c r="J39" s="1549"/>
      <c r="K39" s="2895"/>
      <c r="L39" s="2891"/>
      <c r="M39" s="2891"/>
    </row>
    <row r="40" spans="1:18" ht="18" customHeight="1">
      <c r="A40" s="305" t="s">
        <v>1000</v>
      </c>
      <c r="B40" s="306" t="s">
        <v>1390</v>
      </c>
      <c r="C40" s="307" t="e">
        <f ca="1">ROUND(C39*(1-((1+F42)/(1+F40))^F41)/(F40-F42),0)</f>
        <v>#DIV/0!</v>
      </c>
      <c r="D40" s="330" t="s">
        <v>1374</v>
      </c>
      <c r="E40" s="308" t="s">
        <v>1375</v>
      </c>
      <c r="F40" s="318">
        <f ca="1">INDIRECT("'数据-取费表'!I"&amp;$G$1)</f>
        <v>0</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0</v>
      </c>
      <c r="G41" s="1534"/>
      <c r="H41" s="1321"/>
      <c r="I41" s="1548"/>
      <c r="J41" s="1549"/>
      <c r="K41" s="2732"/>
      <c r="L41" s="1321"/>
      <c r="M41" s="1321"/>
    </row>
    <row r="42" spans="1:18" ht="18" customHeight="1">
      <c r="A42" s="314"/>
      <c r="B42" s="315"/>
      <c r="C42" s="316"/>
      <c r="D42" s="333"/>
      <c r="E42" s="308" t="s">
        <v>1382</v>
      </c>
      <c r="F42" s="318">
        <f ca="1">INDIRECT("'数据-取费表'!v"&amp;$G$1)</f>
        <v>0</v>
      </c>
      <c r="G42" s="1534"/>
      <c r="H42" s="1321"/>
      <c r="I42" s="1548"/>
      <c r="J42" s="1549"/>
      <c r="K42" s="2732"/>
      <c r="L42" s="1321"/>
      <c r="M42" s="1321"/>
    </row>
    <row r="43" spans="1:18" ht="18" customHeight="1" thickBot="1">
      <c r="A43" s="340" t="s">
        <v>1001</v>
      </c>
      <c r="B43" s="341" t="s">
        <v>1392</v>
      </c>
      <c r="C43" s="342" t="e">
        <f ca="1">ROUND(C40/F43,0)</f>
        <v>#DIV/0!</v>
      </c>
      <c r="D43" s="343" t="s">
        <v>1393</v>
      </c>
      <c r="E43" s="344" t="s">
        <v>1394</v>
      </c>
      <c r="F43" s="345">
        <f ca="1">INDIRECT("'数据-取费表'!k"&amp;$G$1)</f>
        <v>0</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1509</v>
      </c>
      <c r="E45" s="1550"/>
      <c r="F45" s="1550"/>
      <c r="O45" s="1553" t="s">
        <v>1424</v>
      </c>
      <c r="P45" s="1611"/>
      <c r="Q45" s="1611"/>
      <c r="R45" s="1611"/>
    </row>
    <row r="46" spans="1:18" s="1534" customFormat="1" ht="13.5" thickBot="1">
      <c r="A46" s="1554" t="s">
        <v>1425</v>
      </c>
      <c r="C46" s="1555" t="e">
        <f ca="1">ROUND(C45/10000,0)</f>
        <v>#DIV/0!</v>
      </c>
      <c r="D46" s="1556" t="str">
        <f>C2</f>
        <v>万元</v>
      </c>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3" t="s">
        <v>1301</v>
      </c>
      <c r="B47" s="1105" t="s">
        <v>1302</v>
      </c>
      <c r="C47" s="1105" t="s">
        <v>1303</v>
      </c>
      <c r="D47" s="1105" t="s">
        <v>1304</v>
      </c>
      <c r="E47" s="1185" t="s">
        <v>1305</v>
      </c>
      <c r="F47" s="1186"/>
      <c r="G47" s="731"/>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6" t="s">
        <v>1306</v>
      </c>
      <c r="C48" s="1509">
        <f ca="1">C49+C53+C55</f>
        <v>0</v>
      </c>
      <c r="D48" s="1240"/>
      <c r="E48" s="1241"/>
      <c r="F48" s="1089"/>
      <c r="G48" s="731"/>
      <c r="H48" s="732"/>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2" t="s">
        <v>1045</v>
      </c>
      <c r="B49" s="1521" t="s">
        <v>1395</v>
      </c>
      <c r="C49" s="1242">
        <f ca="1">ROUND(F49*F51*F50*(1-F52),0)</f>
        <v>0</v>
      </c>
      <c r="D49" s="1182" t="s">
        <v>1309</v>
      </c>
      <c r="E49" s="1522" t="s">
        <v>1396</v>
      </c>
      <c r="F49" s="1187"/>
      <c r="G49" s="1575"/>
      <c r="H49" s="732"/>
      <c r="I49" s="1571" t="s">
        <v>1439</v>
      </c>
      <c r="J49" s="1576"/>
      <c r="K49" s="1573" t="s">
        <v>1440</v>
      </c>
      <c r="L49" s="1577"/>
      <c r="O49" s="1578" t="s">
        <v>1010</v>
      </c>
      <c r="P49" s="1569" t="s">
        <v>1441</v>
      </c>
      <c r="Q49" s="1570">
        <f ca="1">C29</f>
        <v>0</v>
      </c>
      <c r="R49" s="1570" t="s">
        <v>1434</v>
      </c>
    </row>
    <row r="50" spans="1:18" s="1534" customFormat="1" ht="13.5" thickBot="1">
      <c r="A50" s="1103"/>
      <c r="B50" s="1106"/>
      <c r="C50" s="1107"/>
      <c r="D50" s="1080"/>
      <c r="E50" s="1183" t="s">
        <v>1311</v>
      </c>
      <c r="F50" s="1184">
        <f ca="1">F7</f>
        <v>0</v>
      </c>
      <c r="H50" s="732"/>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4"/>
      <c r="B51" s="1106"/>
      <c r="C51" s="1107"/>
      <c r="D51" s="1080"/>
      <c r="E51" s="1108" t="s">
        <v>1312</v>
      </c>
      <c r="F51" s="309">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c r="K52" s="1587" t="s">
        <v>1449</v>
      </c>
      <c r="L52" s="1588"/>
      <c r="O52" s="1578" t="s">
        <v>1013</v>
      </c>
      <c r="P52" s="1569" t="s">
        <v>1450</v>
      </c>
      <c r="Q52" s="1570">
        <f ca="1">J53</f>
        <v>0</v>
      </c>
      <c r="R52" s="1570" t="s">
        <v>1451</v>
      </c>
    </row>
    <row r="53" spans="1:18" s="1534" customFormat="1" ht="30.75" customHeight="1" thickBot="1">
      <c r="A53" s="1239" t="s">
        <v>1046</v>
      </c>
      <c r="B53" s="329" t="s">
        <v>1314</v>
      </c>
      <c r="C53" s="322">
        <f ca="1">ROUND(IF(F53="押一",C49/12*F11,IF(F53="押二",C49/12*2*F11,IF(F53="押三",C49/12*3*F11,C54*F11))),0)</f>
        <v>0</v>
      </c>
      <c r="D53" s="1516" t="s">
        <v>2799</v>
      </c>
      <c r="E53" s="319" t="s">
        <v>1315</v>
      </c>
      <c r="F53" s="1244"/>
      <c r="I53" s="1589" t="s">
        <v>1452</v>
      </c>
      <c r="J53" s="2349">
        <f ca="1">IF(M47="住宅",IF(D1="——",MAX(J51,L48),MAX(J51,L48-'数据-取费表'!B24)),IF(D1="——",MIN(J51,L48),MIN(J51,L48-'数据-取费表'!B24)))</f>
        <v>0</v>
      </c>
      <c r="K53" s="3712" t="s">
        <v>1453</v>
      </c>
      <c r="L53" s="3713"/>
      <c r="O53" s="1568" t="s">
        <v>1014</v>
      </c>
      <c r="P53" s="1569" t="s">
        <v>1454</v>
      </c>
      <c r="Q53" s="1570" t="e">
        <f ca="1">Q47+Q48</f>
        <v>#DIV/0!</v>
      </c>
      <c r="R53" s="1570" t="s">
        <v>1015</v>
      </c>
    </row>
    <row r="54" spans="1:18" s="1534" customFormat="1" ht="13.5" thickBot="1">
      <c r="A54" s="1102"/>
      <c r="B54" s="1624" t="s">
        <v>1508</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c r="O55" s="1561" t="s">
        <v>1427</v>
      </c>
      <c r="P55" s="1562" t="s">
        <v>1428</v>
      </c>
      <c r="Q55" s="1563" t="s">
        <v>1429</v>
      </c>
      <c r="R55" s="1563" t="s">
        <v>1430</v>
      </c>
    </row>
    <row r="56" spans="1:18" s="1534" customFormat="1" ht="36" customHeight="1" thickTop="1" thickBot="1">
      <c r="A56" s="1084">
        <v>2</v>
      </c>
      <c r="B56" s="1085" t="s">
        <v>1319</v>
      </c>
      <c r="C56" s="238">
        <f ca="1">C13</f>
        <v>0</v>
      </c>
      <c r="D56" s="1597"/>
      <c r="E56" s="1598"/>
      <c r="F56" s="1590"/>
      <c r="I56" s="1599" t="s">
        <v>1459</v>
      </c>
      <c r="J56" s="1600"/>
      <c r="K56" s="1571" t="s">
        <v>1460</v>
      </c>
      <c r="L56" s="1574">
        <f ca="1">IF(L48&lt;J51,"——",L48-J51)</f>
        <v>0</v>
      </c>
      <c r="O56" s="1568" t="s">
        <v>1008</v>
      </c>
      <c r="P56" s="1569" t="s">
        <v>1433</v>
      </c>
      <c r="Q56" s="1570" t="e">
        <f ca="1">C40+J29</f>
        <v>#DIV/0!</v>
      </c>
      <c r="R56" s="1570" t="s">
        <v>1434</v>
      </c>
    </row>
    <row r="57" spans="1:18" s="1534" customFormat="1" ht="24.75" thickBot="1">
      <c r="A57" s="1601"/>
      <c r="B57" s="1077" t="s">
        <v>1383</v>
      </c>
      <c r="C57" s="244">
        <f ca="1">C29</f>
        <v>0</v>
      </c>
      <c r="D57" s="1602"/>
      <c r="E57" s="1603"/>
      <c r="F57" s="1604"/>
      <c r="I57" s="1605" t="s">
        <v>1461</v>
      </c>
      <c r="J57" s="1606">
        <f ca="1">IF(OR(M47="住宅",J51&lt;L48,J56="是"),"——",J51-L48)</f>
        <v>0</v>
      </c>
      <c r="K57" s="1571" t="s">
        <v>1510</v>
      </c>
      <c r="L57" s="1574">
        <f ca="1">IF(L48&lt;J51,"——",IF(L55="比较法",L49,IF(L55="基准地价",L50,L51)))</f>
        <v>0</v>
      </c>
      <c r="O57" s="1568" t="s">
        <v>1009</v>
      </c>
      <c r="P57" s="1569" t="s">
        <v>1511</v>
      </c>
      <c r="Q57" s="1570" t="e">
        <f ca="1">L60</f>
        <v>#DIV/0!</v>
      </c>
      <c r="R57" s="1570" t="s">
        <v>1512</v>
      </c>
    </row>
    <row r="58" spans="1:18" s="1534" customFormat="1" ht="24.75" thickBot="1">
      <c r="A58" s="321" t="s">
        <v>998</v>
      </c>
      <c r="B58" s="1085" t="s">
        <v>1329</v>
      </c>
      <c r="C58" s="322">
        <f ca="1">ROUND(C59+C64+C65+C66,0)</f>
        <v>0</v>
      </c>
      <c r="D58" s="1087" t="s">
        <v>1330</v>
      </c>
      <c r="E58" s="1088"/>
      <c r="F58" s="1089"/>
      <c r="I58" s="1605" t="s">
        <v>1465</v>
      </c>
      <c r="J58" s="1607" t="e">
        <f ca="1">IF(J55&lt;0.4,0.4,J55)</f>
        <v>#DIV/0!</v>
      </c>
      <c r="K58" s="1584" t="s">
        <v>1513</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f ca="1">ROUND(IF(AND(项目基本情况!B11="自然人",项目基本情况!B10="北京市"),C49*F59/(1+'数据-取费表'!C42),C60+C61+C62),0)</f>
        <v>0</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IF(项目基本情况!B11="自然人","——",ROUND(C48*F60/(1+'数据-取费表'!C42),0))</f>
        <v>0</v>
      </c>
      <c r="D60" s="1091" t="s">
        <v>1339</v>
      </c>
      <c r="E60" s="1077" t="s">
        <v>1327</v>
      </c>
      <c r="F60" s="337">
        <f t="shared" ref="F60:F66" si="0">F32</f>
        <v>1.575E-2</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09" t="s">
        <v>1397</v>
      </c>
      <c r="B61" s="1077" t="s">
        <v>1398</v>
      </c>
      <c r="C61" s="24">
        <f ca="1">IF(项目基本情况!B11="自然人","——",IF(D61="按租金收入计税",ROUND(C49*F61/(1+'数据-取费表'!C42),0),IF(D61="按房产原值计税",ROUND(C57*F61*0.7,0),INDIRECT("'数据-取费表'!Aj"&amp;$G$1))))</f>
        <v>0</v>
      </c>
      <c r="D61" s="1520" t="s">
        <v>1343</v>
      </c>
      <c r="E61" s="1077" t="s">
        <v>1399</v>
      </c>
      <c r="F61" s="328">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09" t="s">
        <v>1400</v>
      </c>
      <c r="B62" s="1076" t="s">
        <v>1401</v>
      </c>
      <c r="C62" s="25">
        <f ca="1">IF(项目基本情况!B11="自然人","——",ROUND(F62*F63,0))</f>
        <v>0</v>
      </c>
      <c r="D62" s="1092" t="s">
        <v>1402</v>
      </c>
      <c r="E62" s="1077" t="s">
        <v>1403</v>
      </c>
      <c r="F62" s="331">
        <f t="shared" si="0"/>
        <v>0</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2"/>
      <c r="B63" s="1083"/>
      <c r="C63" s="29"/>
      <c r="D63" s="1093"/>
      <c r="E63" s="1077" t="s">
        <v>1404</v>
      </c>
      <c r="F63" s="309">
        <f t="shared" ca="1" si="0"/>
        <v>0</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f ca="1">ROUND(C57*F64,0)</f>
        <v>0</v>
      </c>
      <c r="D64" s="1091" t="s">
        <v>1407</v>
      </c>
      <c r="E64" s="1077" t="s">
        <v>1399</v>
      </c>
      <c r="F64" s="334">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ROUND(C56*F65,0)</f>
        <v>0</v>
      </c>
      <c r="D65" s="1091" t="s">
        <v>1359</v>
      </c>
      <c r="E65" s="1077" t="s">
        <v>1360</v>
      </c>
      <c r="F65" s="336">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09" t="s">
        <v>1409</v>
      </c>
      <c r="B66" s="1077" t="s">
        <v>1344</v>
      </c>
      <c r="C66" s="24">
        <f ca="1">ROUND(C48*F66,0)</f>
        <v>0</v>
      </c>
      <c r="D66" s="1091" t="s">
        <v>1410</v>
      </c>
      <c r="E66" s="1077" t="s">
        <v>1327</v>
      </c>
      <c r="F66" s="318">
        <f t="shared" ca="1" si="0"/>
        <v>0</v>
      </c>
      <c r="O66" s="1568" t="s">
        <v>1009</v>
      </c>
      <c r="P66" s="1569" t="s">
        <v>1463</v>
      </c>
      <c r="Q66" s="1570" t="e">
        <f ca="1">L60</f>
        <v>#DIV/0!</v>
      </c>
      <c r="R66" s="1570" t="s">
        <v>1486</v>
      </c>
    </row>
    <row r="67" spans="1:18" s="1534" customFormat="1" ht="16.5" thickBot="1">
      <c r="A67" s="1084" t="s">
        <v>999</v>
      </c>
      <c r="B67" s="1094" t="s">
        <v>1368</v>
      </c>
      <c r="C67" s="322">
        <f ca="1">C48-C58</f>
        <v>0</v>
      </c>
      <c r="D67" s="1090" t="s">
        <v>1369</v>
      </c>
      <c r="E67" s="1095"/>
      <c r="F67" s="1096"/>
      <c r="O67" s="1578" t="s">
        <v>1010</v>
      </c>
      <c r="P67" s="1569" t="s">
        <v>1467</v>
      </c>
      <c r="Q67" s="1616">
        <f ca="1">L51</f>
        <v>0</v>
      </c>
      <c r="R67" s="1570" t="s">
        <v>1487</v>
      </c>
    </row>
    <row r="68" spans="1:18" s="1534" customFormat="1" ht="16.5" thickBot="1">
      <c r="A68" s="1074" t="s">
        <v>1000</v>
      </c>
      <c r="B68" s="1075" t="s">
        <v>1390</v>
      </c>
      <c r="C68" s="307" t="e">
        <f ca="1">ROUND(C67*(1-((1+F70)/(1+F68))^F69)/(F68-F70),0)</f>
        <v>#DIV/0!</v>
      </c>
      <c r="D68" s="1092" t="s">
        <v>1374</v>
      </c>
      <c r="E68" s="1077" t="s">
        <v>1375</v>
      </c>
      <c r="F68" s="318">
        <f ca="1">F40</f>
        <v>0</v>
      </c>
      <c r="O68" s="1578" t="s">
        <v>1011</v>
      </c>
      <c r="P68" s="1617" t="s">
        <v>1488</v>
      </c>
      <c r="Q68" s="1570">
        <f ca="1">ROUND(Q69-Q70*Q71,0)</f>
        <v>0</v>
      </c>
      <c r="R68" s="1570" t="s">
        <v>1019</v>
      </c>
    </row>
    <row r="69" spans="1:18" s="1534" customFormat="1" ht="13.5" thickBot="1">
      <c r="A69" s="1078"/>
      <c r="B69" s="1079"/>
      <c r="C69" s="312"/>
      <c r="D69" s="1097" t="s">
        <v>1378</v>
      </c>
      <c r="E69" s="1077" t="s">
        <v>1379</v>
      </c>
      <c r="F69" s="339">
        <f ca="1">F41</f>
        <v>0</v>
      </c>
      <c r="O69" s="1578" t="s">
        <v>1016</v>
      </c>
      <c r="P69" s="1617" t="s">
        <v>1489</v>
      </c>
      <c r="Q69" s="1570">
        <f ca="1">C39</f>
        <v>0</v>
      </c>
      <c r="R69" s="1570" t="s">
        <v>1434</v>
      </c>
    </row>
    <row r="70" spans="1:18" s="1534" customFormat="1" ht="13.5" thickBot="1">
      <c r="A70" s="1081"/>
      <c r="B70" s="1082"/>
      <c r="C70" s="316"/>
      <c r="D70" s="1093"/>
      <c r="E70" s="1077" t="s">
        <v>1382</v>
      </c>
      <c r="F70" s="1181">
        <f ca="1">F42</f>
        <v>0</v>
      </c>
      <c r="O70" s="1578" t="s">
        <v>1017</v>
      </c>
      <c r="P70" s="1617" t="s">
        <v>1490</v>
      </c>
      <c r="Q70" s="1570">
        <f ca="1">C13</f>
        <v>0</v>
      </c>
      <c r="R70" s="1570" t="s">
        <v>1434</v>
      </c>
    </row>
    <row r="71" spans="1:18" s="1534" customFormat="1" ht="13.5" thickBot="1">
      <c r="A71" s="1098" t="s">
        <v>1001</v>
      </c>
      <c r="B71" s="1099" t="s">
        <v>1392</v>
      </c>
      <c r="C71" s="342" t="e">
        <f ca="1">ROUND(C68/F71,0)</f>
        <v>#DIV/0!</v>
      </c>
      <c r="D71" s="1100" t="s">
        <v>1393</v>
      </c>
      <c r="E71" s="1101" t="s">
        <v>1394</v>
      </c>
      <c r="F71" s="345">
        <f ca="1">F43</f>
        <v>0</v>
      </c>
      <c r="O71" s="1578" t="s">
        <v>1018</v>
      </c>
      <c r="P71" s="1617" t="s">
        <v>1491</v>
      </c>
      <c r="Q71" s="1581">
        <f ca="1">C76</f>
        <v>0</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6" t="s">
        <v>1411</v>
      </c>
      <c r="C75" s="347">
        <f ca="1">ROUND(C13*C76,0)</f>
        <v>0</v>
      </c>
      <c r="D75" s="1534"/>
      <c r="E75" s="1534"/>
      <c r="F75" s="1534"/>
      <c r="K75" s="1552"/>
      <c r="L75" s="1534"/>
      <c r="O75" s="1568" t="s">
        <v>1014</v>
      </c>
      <c r="P75" s="1569" t="s">
        <v>1454</v>
      </c>
      <c r="Q75" s="1570" t="e">
        <f ca="1">Q65+Q66</f>
        <v>#DIV/0!</v>
      </c>
      <c r="R75" s="1570" t="s">
        <v>1015</v>
      </c>
    </row>
    <row r="76" spans="1:18">
      <c r="B76" s="348" t="s">
        <v>1412</v>
      </c>
      <c r="C76" s="349">
        <f ca="1">INDIRECT("'数据-取费表'!j"&amp;$G$1)</f>
        <v>0</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1" sqref="E1:F1"/>
    </sheetView>
  </sheetViews>
  <sheetFormatPr defaultRowHeight="13.15" customHeight="1"/>
  <cols>
    <col min="1" max="1" width="9.5" style="3035" customWidth="1"/>
    <col min="2" max="2" width="8.875" style="3035"/>
    <col min="3" max="5" width="12.875" style="3035" customWidth="1"/>
    <col min="6" max="6" width="47.5" style="3035" customWidth="1"/>
    <col min="7" max="7" width="13" style="3194" customWidth="1"/>
    <col min="8" max="8" width="8.875" style="3029"/>
    <col min="9" max="9" width="8.875" style="3030"/>
    <col min="10" max="10" width="5.75" style="3195" customWidth="1"/>
    <col min="11" max="11" width="11.75" style="3195" customWidth="1"/>
    <col min="12" max="13" width="10.75" style="3195" customWidth="1"/>
    <col min="14" max="14" width="10" style="3195" customWidth="1"/>
    <col min="15" max="16" width="10.5" style="3195" bestFit="1" customWidth="1"/>
    <col min="17" max="17" width="10" style="3195" customWidth="1"/>
    <col min="18" max="18" width="10.125" style="3195" customWidth="1"/>
    <col min="19" max="19" width="10" style="3195" customWidth="1"/>
    <col min="20" max="20" width="26.125" style="3195" customWidth="1"/>
    <col min="21" max="21" width="8.875" style="3195"/>
    <col min="22" max="22" width="8.875" style="3030"/>
    <col min="23" max="256" width="8.875" style="3035"/>
    <col min="257" max="257" width="9.5" style="3035" customWidth="1"/>
    <col min="258" max="258" width="8.875" style="3035"/>
    <col min="259" max="261" width="12.875" style="3035" customWidth="1"/>
    <col min="262" max="262" width="47.5" style="3035" customWidth="1"/>
    <col min="263" max="263" width="13" style="3035" customWidth="1"/>
    <col min="264" max="265" width="8.875" style="3035"/>
    <col min="266" max="266" width="5.75" style="3035" customWidth="1"/>
    <col min="267" max="267" width="11.75" style="3035" customWidth="1"/>
    <col min="268" max="269" width="10.75" style="3035" customWidth="1"/>
    <col min="270" max="270" width="10" style="3035" customWidth="1"/>
    <col min="271" max="272" width="10.5" style="3035" bestFit="1" customWidth="1"/>
    <col min="273" max="273" width="10" style="3035" customWidth="1"/>
    <col min="274" max="274" width="10.125" style="3035" customWidth="1"/>
    <col min="275" max="275" width="10" style="3035" customWidth="1"/>
    <col min="276" max="276" width="26.125" style="3035" customWidth="1"/>
    <col min="277" max="512" width="8.875" style="3035"/>
    <col min="513" max="513" width="9.5" style="3035" customWidth="1"/>
    <col min="514" max="514" width="8.875" style="3035"/>
    <col min="515" max="517" width="12.875" style="3035" customWidth="1"/>
    <col min="518" max="518" width="47.5" style="3035" customWidth="1"/>
    <col min="519" max="519" width="13" style="3035" customWidth="1"/>
    <col min="520" max="521" width="8.875" style="3035"/>
    <col min="522" max="522" width="5.75" style="3035" customWidth="1"/>
    <col min="523" max="523" width="11.75" style="3035" customWidth="1"/>
    <col min="524" max="525" width="10.75" style="3035" customWidth="1"/>
    <col min="526" max="526" width="10" style="3035" customWidth="1"/>
    <col min="527" max="528" width="10.5" style="3035" bestFit="1" customWidth="1"/>
    <col min="529" max="529" width="10" style="3035" customWidth="1"/>
    <col min="530" max="530" width="10.125" style="3035" customWidth="1"/>
    <col min="531" max="531" width="10" style="3035" customWidth="1"/>
    <col min="532" max="532" width="26.125" style="3035" customWidth="1"/>
    <col min="533" max="768" width="8.875" style="3035"/>
    <col min="769" max="769" width="9.5" style="3035" customWidth="1"/>
    <col min="770" max="770" width="8.875" style="3035"/>
    <col min="771" max="773" width="12.875" style="3035" customWidth="1"/>
    <col min="774" max="774" width="47.5" style="3035" customWidth="1"/>
    <col min="775" max="775" width="13" style="3035" customWidth="1"/>
    <col min="776" max="777" width="8.875" style="3035"/>
    <col min="778" max="778" width="5.75" style="3035" customWidth="1"/>
    <col min="779" max="779" width="11.75" style="3035" customWidth="1"/>
    <col min="780" max="781" width="10.75" style="3035" customWidth="1"/>
    <col min="782" max="782" width="10" style="3035" customWidth="1"/>
    <col min="783" max="784" width="10.5" style="3035" bestFit="1" customWidth="1"/>
    <col min="785" max="785" width="10" style="3035" customWidth="1"/>
    <col min="786" max="786" width="10.125" style="3035" customWidth="1"/>
    <col min="787" max="787" width="10" style="3035" customWidth="1"/>
    <col min="788" max="788" width="26.125" style="3035" customWidth="1"/>
    <col min="789" max="1024" width="8.875" style="3035"/>
    <col min="1025" max="1025" width="9.5" style="3035" customWidth="1"/>
    <col min="1026" max="1026" width="8.875" style="3035"/>
    <col min="1027" max="1029" width="12.875" style="3035" customWidth="1"/>
    <col min="1030" max="1030" width="47.5" style="3035" customWidth="1"/>
    <col min="1031" max="1031" width="13" style="3035" customWidth="1"/>
    <col min="1032" max="1033" width="8.875" style="3035"/>
    <col min="1034" max="1034" width="5.75" style="3035" customWidth="1"/>
    <col min="1035" max="1035" width="11.75" style="3035" customWidth="1"/>
    <col min="1036" max="1037" width="10.75" style="3035" customWidth="1"/>
    <col min="1038" max="1038" width="10" style="3035" customWidth="1"/>
    <col min="1039" max="1040" width="10.5" style="3035" bestFit="1" customWidth="1"/>
    <col min="1041" max="1041" width="10" style="3035" customWidth="1"/>
    <col min="1042" max="1042" width="10.125" style="3035" customWidth="1"/>
    <col min="1043" max="1043" width="10" style="3035" customWidth="1"/>
    <col min="1044" max="1044" width="26.125" style="3035" customWidth="1"/>
    <col min="1045" max="1280" width="8.875" style="3035"/>
    <col min="1281" max="1281" width="9.5" style="3035" customWidth="1"/>
    <col min="1282" max="1282" width="8.875" style="3035"/>
    <col min="1283" max="1285" width="12.875" style="3035" customWidth="1"/>
    <col min="1286" max="1286" width="47.5" style="3035" customWidth="1"/>
    <col min="1287" max="1287" width="13" style="3035" customWidth="1"/>
    <col min="1288" max="1289" width="8.875" style="3035"/>
    <col min="1290" max="1290" width="5.75" style="3035" customWidth="1"/>
    <col min="1291" max="1291" width="11.75" style="3035" customWidth="1"/>
    <col min="1292" max="1293" width="10.75" style="3035" customWidth="1"/>
    <col min="1294" max="1294" width="10" style="3035" customWidth="1"/>
    <col min="1295" max="1296" width="10.5" style="3035" bestFit="1" customWidth="1"/>
    <col min="1297" max="1297" width="10" style="3035" customWidth="1"/>
    <col min="1298" max="1298" width="10.125" style="3035" customWidth="1"/>
    <col min="1299" max="1299" width="10" style="3035" customWidth="1"/>
    <col min="1300" max="1300" width="26.125" style="3035" customWidth="1"/>
    <col min="1301" max="1536" width="8.875" style="3035"/>
    <col min="1537" max="1537" width="9.5" style="3035" customWidth="1"/>
    <col min="1538" max="1538" width="8.875" style="3035"/>
    <col min="1539" max="1541" width="12.875" style="3035" customWidth="1"/>
    <col min="1542" max="1542" width="47.5" style="3035" customWidth="1"/>
    <col min="1543" max="1543" width="13" style="3035" customWidth="1"/>
    <col min="1544" max="1545" width="8.875" style="3035"/>
    <col min="1546" max="1546" width="5.75" style="3035" customWidth="1"/>
    <col min="1547" max="1547" width="11.75" style="3035" customWidth="1"/>
    <col min="1548" max="1549" width="10.75" style="3035" customWidth="1"/>
    <col min="1550" max="1550" width="10" style="3035" customWidth="1"/>
    <col min="1551" max="1552" width="10.5" style="3035" bestFit="1" customWidth="1"/>
    <col min="1553" max="1553" width="10" style="3035" customWidth="1"/>
    <col min="1554" max="1554" width="10.125" style="3035" customWidth="1"/>
    <col min="1555" max="1555" width="10" style="3035" customWidth="1"/>
    <col min="1556" max="1556" width="26.125" style="3035" customWidth="1"/>
    <col min="1557" max="1792" width="8.875" style="3035"/>
    <col min="1793" max="1793" width="9.5" style="3035" customWidth="1"/>
    <col min="1794" max="1794" width="8.875" style="3035"/>
    <col min="1795" max="1797" width="12.875" style="3035" customWidth="1"/>
    <col min="1798" max="1798" width="47.5" style="3035" customWidth="1"/>
    <col min="1799" max="1799" width="13" style="3035" customWidth="1"/>
    <col min="1800" max="1801" width="8.875" style="3035"/>
    <col min="1802" max="1802" width="5.75" style="3035" customWidth="1"/>
    <col min="1803" max="1803" width="11.75" style="3035" customWidth="1"/>
    <col min="1804" max="1805" width="10.75" style="3035" customWidth="1"/>
    <col min="1806" max="1806" width="10" style="3035" customWidth="1"/>
    <col min="1807" max="1808" width="10.5" style="3035" bestFit="1" customWidth="1"/>
    <col min="1809" max="1809" width="10" style="3035" customWidth="1"/>
    <col min="1810" max="1810" width="10.125" style="3035" customWidth="1"/>
    <col min="1811" max="1811" width="10" style="3035" customWidth="1"/>
    <col min="1812" max="1812" width="26.125" style="3035" customWidth="1"/>
    <col min="1813" max="2048" width="8.875" style="3035"/>
    <col min="2049" max="2049" width="9.5" style="3035" customWidth="1"/>
    <col min="2050" max="2050" width="8.875" style="3035"/>
    <col min="2051" max="2053" width="12.875" style="3035" customWidth="1"/>
    <col min="2054" max="2054" width="47.5" style="3035" customWidth="1"/>
    <col min="2055" max="2055" width="13" style="3035" customWidth="1"/>
    <col min="2056" max="2057" width="8.875" style="3035"/>
    <col min="2058" max="2058" width="5.75" style="3035" customWidth="1"/>
    <col min="2059" max="2059" width="11.75" style="3035" customWidth="1"/>
    <col min="2060" max="2061" width="10.75" style="3035" customWidth="1"/>
    <col min="2062" max="2062" width="10" style="3035" customWidth="1"/>
    <col min="2063" max="2064" width="10.5" style="3035" bestFit="1" customWidth="1"/>
    <col min="2065" max="2065" width="10" style="3035" customWidth="1"/>
    <col min="2066" max="2066" width="10.125" style="3035" customWidth="1"/>
    <col min="2067" max="2067" width="10" style="3035" customWidth="1"/>
    <col min="2068" max="2068" width="26.125" style="3035" customWidth="1"/>
    <col min="2069" max="2304" width="8.875" style="3035"/>
    <col min="2305" max="2305" width="9.5" style="3035" customWidth="1"/>
    <col min="2306" max="2306" width="8.875" style="3035"/>
    <col min="2307" max="2309" width="12.875" style="3035" customWidth="1"/>
    <col min="2310" max="2310" width="47.5" style="3035" customWidth="1"/>
    <col min="2311" max="2311" width="13" style="3035" customWidth="1"/>
    <col min="2312" max="2313" width="8.875" style="3035"/>
    <col min="2314" max="2314" width="5.75" style="3035" customWidth="1"/>
    <col min="2315" max="2315" width="11.75" style="3035" customWidth="1"/>
    <col min="2316" max="2317" width="10.75" style="3035" customWidth="1"/>
    <col min="2318" max="2318" width="10" style="3035" customWidth="1"/>
    <col min="2319" max="2320" width="10.5" style="3035" bestFit="1" customWidth="1"/>
    <col min="2321" max="2321" width="10" style="3035" customWidth="1"/>
    <col min="2322" max="2322" width="10.125" style="3035" customWidth="1"/>
    <col min="2323" max="2323" width="10" style="3035" customWidth="1"/>
    <col min="2324" max="2324" width="26.125" style="3035" customWidth="1"/>
    <col min="2325" max="2560" width="8.875" style="3035"/>
    <col min="2561" max="2561" width="9.5" style="3035" customWidth="1"/>
    <col min="2562" max="2562" width="8.875" style="3035"/>
    <col min="2563" max="2565" width="12.875" style="3035" customWidth="1"/>
    <col min="2566" max="2566" width="47.5" style="3035" customWidth="1"/>
    <col min="2567" max="2567" width="13" style="3035" customWidth="1"/>
    <col min="2568" max="2569" width="8.875" style="3035"/>
    <col min="2570" max="2570" width="5.75" style="3035" customWidth="1"/>
    <col min="2571" max="2571" width="11.75" style="3035" customWidth="1"/>
    <col min="2572" max="2573" width="10.75" style="3035" customWidth="1"/>
    <col min="2574" max="2574" width="10" style="3035" customWidth="1"/>
    <col min="2575" max="2576" width="10.5" style="3035" bestFit="1" customWidth="1"/>
    <col min="2577" max="2577" width="10" style="3035" customWidth="1"/>
    <col min="2578" max="2578" width="10.125" style="3035" customWidth="1"/>
    <col min="2579" max="2579" width="10" style="3035" customWidth="1"/>
    <col min="2580" max="2580" width="26.125" style="3035" customWidth="1"/>
    <col min="2581" max="2816" width="8.875" style="3035"/>
    <col min="2817" max="2817" width="9.5" style="3035" customWidth="1"/>
    <col min="2818" max="2818" width="8.875" style="3035"/>
    <col min="2819" max="2821" width="12.875" style="3035" customWidth="1"/>
    <col min="2822" max="2822" width="47.5" style="3035" customWidth="1"/>
    <col min="2823" max="2823" width="13" style="3035" customWidth="1"/>
    <col min="2824" max="2825" width="8.875" style="3035"/>
    <col min="2826" max="2826" width="5.75" style="3035" customWidth="1"/>
    <col min="2827" max="2827" width="11.75" style="3035" customWidth="1"/>
    <col min="2828" max="2829" width="10.75" style="3035" customWidth="1"/>
    <col min="2830" max="2830" width="10" style="3035" customWidth="1"/>
    <col min="2831" max="2832" width="10.5" style="3035" bestFit="1" customWidth="1"/>
    <col min="2833" max="2833" width="10" style="3035" customWidth="1"/>
    <col min="2834" max="2834" width="10.125" style="3035" customWidth="1"/>
    <col min="2835" max="2835" width="10" style="3035" customWidth="1"/>
    <col min="2836" max="2836" width="26.125" style="3035" customWidth="1"/>
    <col min="2837" max="3072" width="8.875" style="3035"/>
    <col min="3073" max="3073" width="9.5" style="3035" customWidth="1"/>
    <col min="3074" max="3074" width="8.875" style="3035"/>
    <col min="3075" max="3077" width="12.875" style="3035" customWidth="1"/>
    <col min="3078" max="3078" width="47.5" style="3035" customWidth="1"/>
    <col min="3079" max="3079" width="13" style="3035" customWidth="1"/>
    <col min="3080" max="3081" width="8.875" style="3035"/>
    <col min="3082" max="3082" width="5.75" style="3035" customWidth="1"/>
    <col min="3083" max="3083" width="11.75" style="3035" customWidth="1"/>
    <col min="3084" max="3085" width="10.75" style="3035" customWidth="1"/>
    <col min="3086" max="3086" width="10" style="3035" customWidth="1"/>
    <col min="3087" max="3088" width="10.5" style="3035" bestFit="1" customWidth="1"/>
    <col min="3089" max="3089" width="10" style="3035" customWidth="1"/>
    <col min="3090" max="3090" width="10.125" style="3035" customWidth="1"/>
    <col min="3091" max="3091" width="10" style="3035" customWidth="1"/>
    <col min="3092" max="3092" width="26.125" style="3035" customWidth="1"/>
    <col min="3093" max="3328" width="8.875" style="3035"/>
    <col min="3329" max="3329" width="9.5" style="3035" customWidth="1"/>
    <col min="3330" max="3330" width="8.875" style="3035"/>
    <col min="3331" max="3333" width="12.875" style="3035" customWidth="1"/>
    <col min="3334" max="3334" width="47.5" style="3035" customWidth="1"/>
    <col min="3335" max="3335" width="13" style="3035" customWidth="1"/>
    <col min="3336" max="3337" width="8.875" style="3035"/>
    <col min="3338" max="3338" width="5.75" style="3035" customWidth="1"/>
    <col min="3339" max="3339" width="11.75" style="3035" customWidth="1"/>
    <col min="3340" max="3341" width="10.75" style="3035" customWidth="1"/>
    <col min="3342" max="3342" width="10" style="3035" customWidth="1"/>
    <col min="3343" max="3344" width="10.5" style="3035" bestFit="1" customWidth="1"/>
    <col min="3345" max="3345" width="10" style="3035" customWidth="1"/>
    <col min="3346" max="3346" width="10.125" style="3035" customWidth="1"/>
    <col min="3347" max="3347" width="10" style="3035" customWidth="1"/>
    <col min="3348" max="3348" width="26.125" style="3035" customWidth="1"/>
    <col min="3349" max="3584" width="8.875" style="3035"/>
    <col min="3585" max="3585" width="9.5" style="3035" customWidth="1"/>
    <col min="3586" max="3586" width="8.875" style="3035"/>
    <col min="3587" max="3589" width="12.875" style="3035" customWidth="1"/>
    <col min="3590" max="3590" width="47.5" style="3035" customWidth="1"/>
    <col min="3591" max="3591" width="13" style="3035" customWidth="1"/>
    <col min="3592" max="3593" width="8.875" style="3035"/>
    <col min="3594" max="3594" width="5.75" style="3035" customWidth="1"/>
    <col min="3595" max="3595" width="11.75" style="3035" customWidth="1"/>
    <col min="3596" max="3597" width="10.75" style="3035" customWidth="1"/>
    <col min="3598" max="3598" width="10" style="3035" customWidth="1"/>
    <col min="3599" max="3600" width="10.5" style="3035" bestFit="1" customWidth="1"/>
    <col min="3601" max="3601" width="10" style="3035" customWidth="1"/>
    <col min="3602" max="3602" width="10.125" style="3035" customWidth="1"/>
    <col min="3603" max="3603" width="10" style="3035" customWidth="1"/>
    <col min="3604" max="3604" width="26.125" style="3035" customWidth="1"/>
    <col min="3605" max="3840" width="8.875" style="3035"/>
    <col min="3841" max="3841" width="9.5" style="3035" customWidth="1"/>
    <col min="3842" max="3842" width="8.875" style="3035"/>
    <col min="3843" max="3845" width="12.875" style="3035" customWidth="1"/>
    <col min="3846" max="3846" width="47.5" style="3035" customWidth="1"/>
    <col min="3847" max="3847" width="13" style="3035" customWidth="1"/>
    <col min="3848" max="3849" width="8.875" style="3035"/>
    <col min="3850" max="3850" width="5.75" style="3035" customWidth="1"/>
    <col min="3851" max="3851" width="11.75" style="3035" customWidth="1"/>
    <col min="3852" max="3853" width="10.75" style="3035" customWidth="1"/>
    <col min="3854" max="3854" width="10" style="3035" customWidth="1"/>
    <col min="3855" max="3856" width="10.5" style="3035" bestFit="1" customWidth="1"/>
    <col min="3857" max="3857" width="10" style="3035" customWidth="1"/>
    <col min="3858" max="3858" width="10.125" style="3035" customWidth="1"/>
    <col min="3859" max="3859" width="10" style="3035" customWidth="1"/>
    <col min="3860" max="3860" width="26.125" style="3035" customWidth="1"/>
    <col min="3861" max="4096" width="8.875" style="3035"/>
    <col min="4097" max="4097" width="9.5" style="3035" customWidth="1"/>
    <col min="4098" max="4098" width="8.875" style="3035"/>
    <col min="4099" max="4101" width="12.875" style="3035" customWidth="1"/>
    <col min="4102" max="4102" width="47.5" style="3035" customWidth="1"/>
    <col min="4103" max="4103" width="13" style="3035" customWidth="1"/>
    <col min="4104" max="4105" width="8.875" style="3035"/>
    <col min="4106" max="4106" width="5.75" style="3035" customWidth="1"/>
    <col min="4107" max="4107" width="11.75" style="3035" customWidth="1"/>
    <col min="4108" max="4109" width="10.75" style="3035" customWidth="1"/>
    <col min="4110" max="4110" width="10" style="3035" customWidth="1"/>
    <col min="4111" max="4112" width="10.5" style="3035" bestFit="1" customWidth="1"/>
    <col min="4113" max="4113" width="10" style="3035" customWidth="1"/>
    <col min="4114" max="4114" width="10.125" style="3035" customWidth="1"/>
    <col min="4115" max="4115" width="10" style="3035" customWidth="1"/>
    <col min="4116" max="4116" width="26.125" style="3035" customWidth="1"/>
    <col min="4117" max="4352" width="8.875" style="3035"/>
    <col min="4353" max="4353" width="9.5" style="3035" customWidth="1"/>
    <col min="4354" max="4354" width="8.875" style="3035"/>
    <col min="4355" max="4357" width="12.875" style="3035" customWidth="1"/>
    <col min="4358" max="4358" width="47.5" style="3035" customWidth="1"/>
    <col min="4359" max="4359" width="13" style="3035" customWidth="1"/>
    <col min="4360" max="4361" width="8.875" style="3035"/>
    <col min="4362" max="4362" width="5.75" style="3035" customWidth="1"/>
    <col min="4363" max="4363" width="11.75" style="3035" customWidth="1"/>
    <col min="4364" max="4365" width="10.75" style="3035" customWidth="1"/>
    <col min="4366" max="4366" width="10" style="3035" customWidth="1"/>
    <col min="4367" max="4368" width="10.5" style="3035" bestFit="1" customWidth="1"/>
    <col min="4369" max="4369" width="10" style="3035" customWidth="1"/>
    <col min="4370" max="4370" width="10.125" style="3035" customWidth="1"/>
    <col min="4371" max="4371" width="10" style="3035" customWidth="1"/>
    <col min="4372" max="4372" width="26.125" style="3035" customWidth="1"/>
    <col min="4373" max="4608" width="8.875" style="3035"/>
    <col min="4609" max="4609" width="9.5" style="3035" customWidth="1"/>
    <col min="4610" max="4610" width="8.875" style="3035"/>
    <col min="4611" max="4613" width="12.875" style="3035" customWidth="1"/>
    <col min="4614" max="4614" width="47.5" style="3035" customWidth="1"/>
    <col min="4615" max="4615" width="13" style="3035" customWidth="1"/>
    <col min="4616" max="4617" width="8.875" style="3035"/>
    <col min="4618" max="4618" width="5.75" style="3035" customWidth="1"/>
    <col min="4619" max="4619" width="11.75" style="3035" customWidth="1"/>
    <col min="4620" max="4621" width="10.75" style="3035" customWidth="1"/>
    <col min="4622" max="4622" width="10" style="3035" customWidth="1"/>
    <col min="4623" max="4624" width="10.5" style="3035" bestFit="1" customWidth="1"/>
    <col min="4625" max="4625" width="10" style="3035" customWidth="1"/>
    <col min="4626" max="4626" width="10.125" style="3035" customWidth="1"/>
    <col min="4627" max="4627" width="10" style="3035" customWidth="1"/>
    <col min="4628" max="4628" width="26.125" style="3035" customWidth="1"/>
    <col min="4629" max="4864" width="8.875" style="3035"/>
    <col min="4865" max="4865" width="9.5" style="3035" customWidth="1"/>
    <col min="4866" max="4866" width="8.875" style="3035"/>
    <col min="4867" max="4869" width="12.875" style="3035" customWidth="1"/>
    <col min="4870" max="4870" width="47.5" style="3035" customWidth="1"/>
    <col min="4871" max="4871" width="13" style="3035" customWidth="1"/>
    <col min="4872" max="4873" width="8.875" style="3035"/>
    <col min="4874" max="4874" width="5.75" style="3035" customWidth="1"/>
    <col min="4875" max="4875" width="11.75" style="3035" customWidth="1"/>
    <col min="4876" max="4877" width="10.75" style="3035" customWidth="1"/>
    <col min="4878" max="4878" width="10" style="3035" customWidth="1"/>
    <col min="4879" max="4880" width="10.5" style="3035" bestFit="1" customWidth="1"/>
    <col min="4881" max="4881" width="10" style="3035" customWidth="1"/>
    <col min="4882" max="4882" width="10.125" style="3035" customWidth="1"/>
    <col min="4883" max="4883" width="10" style="3035" customWidth="1"/>
    <col min="4884" max="4884" width="26.125" style="3035" customWidth="1"/>
    <col min="4885" max="5120" width="8.875" style="3035"/>
    <col min="5121" max="5121" width="9.5" style="3035" customWidth="1"/>
    <col min="5122" max="5122" width="8.875" style="3035"/>
    <col min="5123" max="5125" width="12.875" style="3035" customWidth="1"/>
    <col min="5126" max="5126" width="47.5" style="3035" customWidth="1"/>
    <col min="5127" max="5127" width="13" style="3035" customWidth="1"/>
    <col min="5128" max="5129" width="8.875" style="3035"/>
    <col min="5130" max="5130" width="5.75" style="3035" customWidth="1"/>
    <col min="5131" max="5131" width="11.75" style="3035" customWidth="1"/>
    <col min="5132" max="5133" width="10.75" style="3035" customWidth="1"/>
    <col min="5134" max="5134" width="10" style="3035" customWidth="1"/>
    <col min="5135" max="5136" width="10.5" style="3035" bestFit="1" customWidth="1"/>
    <col min="5137" max="5137" width="10" style="3035" customWidth="1"/>
    <col min="5138" max="5138" width="10.125" style="3035" customWidth="1"/>
    <col min="5139" max="5139" width="10" style="3035" customWidth="1"/>
    <col min="5140" max="5140" width="26.125" style="3035" customWidth="1"/>
    <col min="5141" max="5376" width="8.875" style="3035"/>
    <col min="5377" max="5377" width="9.5" style="3035" customWidth="1"/>
    <col min="5378" max="5378" width="8.875" style="3035"/>
    <col min="5379" max="5381" width="12.875" style="3035" customWidth="1"/>
    <col min="5382" max="5382" width="47.5" style="3035" customWidth="1"/>
    <col min="5383" max="5383" width="13" style="3035" customWidth="1"/>
    <col min="5384" max="5385" width="8.875" style="3035"/>
    <col min="5386" max="5386" width="5.75" style="3035" customWidth="1"/>
    <col min="5387" max="5387" width="11.75" style="3035" customWidth="1"/>
    <col min="5388" max="5389" width="10.75" style="3035" customWidth="1"/>
    <col min="5390" max="5390" width="10" style="3035" customWidth="1"/>
    <col min="5391" max="5392" width="10.5" style="3035" bestFit="1" customWidth="1"/>
    <col min="5393" max="5393" width="10" style="3035" customWidth="1"/>
    <col min="5394" max="5394" width="10.125" style="3035" customWidth="1"/>
    <col min="5395" max="5395" width="10" style="3035" customWidth="1"/>
    <col min="5396" max="5396" width="26.125" style="3035" customWidth="1"/>
    <col min="5397" max="5632" width="8.875" style="3035"/>
    <col min="5633" max="5633" width="9.5" style="3035" customWidth="1"/>
    <col min="5634" max="5634" width="8.875" style="3035"/>
    <col min="5635" max="5637" width="12.875" style="3035" customWidth="1"/>
    <col min="5638" max="5638" width="47.5" style="3035" customWidth="1"/>
    <col min="5639" max="5639" width="13" style="3035" customWidth="1"/>
    <col min="5640" max="5641" width="8.875" style="3035"/>
    <col min="5642" max="5642" width="5.75" style="3035" customWidth="1"/>
    <col min="5643" max="5643" width="11.75" style="3035" customWidth="1"/>
    <col min="5644" max="5645" width="10.75" style="3035" customWidth="1"/>
    <col min="5646" max="5646" width="10" style="3035" customWidth="1"/>
    <col min="5647" max="5648" width="10.5" style="3035" bestFit="1" customWidth="1"/>
    <col min="5649" max="5649" width="10" style="3035" customWidth="1"/>
    <col min="5650" max="5650" width="10.125" style="3035" customWidth="1"/>
    <col min="5651" max="5651" width="10" style="3035" customWidth="1"/>
    <col min="5652" max="5652" width="26.125" style="3035" customWidth="1"/>
    <col min="5653" max="5888" width="8.875" style="3035"/>
    <col min="5889" max="5889" width="9.5" style="3035" customWidth="1"/>
    <col min="5890" max="5890" width="8.875" style="3035"/>
    <col min="5891" max="5893" width="12.875" style="3035" customWidth="1"/>
    <col min="5894" max="5894" width="47.5" style="3035" customWidth="1"/>
    <col min="5895" max="5895" width="13" style="3035" customWidth="1"/>
    <col min="5896" max="5897" width="8.875" style="3035"/>
    <col min="5898" max="5898" width="5.75" style="3035" customWidth="1"/>
    <col min="5899" max="5899" width="11.75" style="3035" customWidth="1"/>
    <col min="5900" max="5901" width="10.75" style="3035" customWidth="1"/>
    <col min="5902" max="5902" width="10" style="3035" customWidth="1"/>
    <col min="5903" max="5904" width="10.5" style="3035" bestFit="1" customWidth="1"/>
    <col min="5905" max="5905" width="10" style="3035" customWidth="1"/>
    <col min="5906" max="5906" width="10.125" style="3035" customWidth="1"/>
    <col min="5907" max="5907" width="10" style="3035" customWidth="1"/>
    <col min="5908" max="5908" width="26.125" style="3035" customWidth="1"/>
    <col min="5909" max="6144" width="8.875" style="3035"/>
    <col min="6145" max="6145" width="9.5" style="3035" customWidth="1"/>
    <col min="6146" max="6146" width="8.875" style="3035"/>
    <col min="6147" max="6149" width="12.875" style="3035" customWidth="1"/>
    <col min="6150" max="6150" width="47.5" style="3035" customWidth="1"/>
    <col min="6151" max="6151" width="13" style="3035" customWidth="1"/>
    <col min="6152" max="6153" width="8.875" style="3035"/>
    <col min="6154" max="6154" width="5.75" style="3035" customWidth="1"/>
    <col min="6155" max="6155" width="11.75" style="3035" customWidth="1"/>
    <col min="6156" max="6157" width="10.75" style="3035" customWidth="1"/>
    <col min="6158" max="6158" width="10" style="3035" customWidth="1"/>
    <col min="6159" max="6160" width="10.5" style="3035" bestFit="1" customWidth="1"/>
    <col min="6161" max="6161" width="10" style="3035" customWidth="1"/>
    <col min="6162" max="6162" width="10.125" style="3035" customWidth="1"/>
    <col min="6163" max="6163" width="10" style="3035" customWidth="1"/>
    <col min="6164" max="6164" width="26.125" style="3035" customWidth="1"/>
    <col min="6165" max="6400" width="8.875" style="3035"/>
    <col min="6401" max="6401" width="9.5" style="3035" customWidth="1"/>
    <col min="6402" max="6402" width="8.875" style="3035"/>
    <col min="6403" max="6405" width="12.875" style="3035" customWidth="1"/>
    <col min="6406" max="6406" width="47.5" style="3035" customWidth="1"/>
    <col min="6407" max="6407" width="13" style="3035" customWidth="1"/>
    <col min="6408" max="6409" width="8.875" style="3035"/>
    <col min="6410" max="6410" width="5.75" style="3035" customWidth="1"/>
    <col min="6411" max="6411" width="11.75" style="3035" customWidth="1"/>
    <col min="6412" max="6413" width="10.75" style="3035" customWidth="1"/>
    <col min="6414" max="6414" width="10" style="3035" customWidth="1"/>
    <col min="6415" max="6416" width="10.5" style="3035" bestFit="1" customWidth="1"/>
    <col min="6417" max="6417" width="10" style="3035" customWidth="1"/>
    <col min="6418" max="6418" width="10.125" style="3035" customWidth="1"/>
    <col min="6419" max="6419" width="10" style="3035" customWidth="1"/>
    <col min="6420" max="6420" width="26.125" style="3035" customWidth="1"/>
    <col min="6421" max="6656" width="8.875" style="3035"/>
    <col min="6657" max="6657" width="9.5" style="3035" customWidth="1"/>
    <col min="6658" max="6658" width="8.875" style="3035"/>
    <col min="6659" max="6661" width="12.875" style="3035" customWidth="1"/>
    <col min="6662" max="6662" width="47.5" style="3035" customWidth="1"/>
    <col min="6663" max="6663" width="13" style="3035" customWidth="1"/>
    <col min="6664" max="6665" width="8.875" style="3035"/>
    <col min="6666" max="6666" width="5.75" style="3035" customWidth="1"/>
    <col min="6667" max="6667" width="11.75" style="3035" customWidth="1"/>
    <col min="6668" max="6669" width="10.75" style="3035" customWidth="1"/>
    <col min="6670" max="6670" width="10" style="3035" customWidth="1"/>
    <col min="6671" max="6672" width="10.5" style="3035" bestFit="1" customWidth="1"/>
    <col min="6673" max="6673" width="10" style="3035" customWidth="1"/>
    <col min="6674" max="6674" width="10.125" style="3035" customWidth="1"/>
    <col min="6675" max="6675" width="10" style="3035" customWidth="1"/>
    <col min="6676" max="6676" width="26.125" style="3035" customWidth="1"/>
    <col min="6677" max="6912" width="8.875" style="3035"/>
    <col min="6913" max="6913" width="9.5" style="3035" customWidth="1"/>
    <col min="6914" max="6914" width="8.875" style="3035"/>
    <col min="6915" max="6917" width="12.875" style="3035" customWidth="1"/>
    <col min="6918" max="6918" width="47.5" style="3035" customWidth="1"/>
    <col min="6919" max="6919" width="13" style="3035" customWidth="1"/>
    <col min="6920" max="6921" width="8.875" style="3035"/>
    <col min="6922" max="6922" width="5.75" style="3035" customWidth="1"/>
    <col min="6923" max="6923" width="11.75" style="3035" customWidth="1"/>
    <col min="6924" max="6925" width="10.75" style="3035" customWidth="1"/>
    <col min="6926" max="6926" width="10" style="3035" customWidth="1"/>
    <col min="6927" max="6928" width="10.5" style="3035" bestFit="1" customWidth="1"/>
    <col min="6929" max="6929" width="10" style="3035" customWidth="1"/>
    <col min="6930" max="6930" width="10.125" style="3035" customWidth="1"/>
    <col min="6931" max="6931" width="10" style="3035" customWidth="1"/>
    <col min="6932" max="6932" width="26.125" style="3035" customWidth="1"/>
    <col min="6933" max="7168" width="8.875" style="3035"/>
    <col min="7169" max="7169" width="9.5" style="3035" customWidth="1"/>
    <col min="7170" max="7170" width="8.875" style="3035"/>
    <col min="7171" max="7173" width="12.875" style="3035" customWidth="1"/>
    <col min="7174" max="7174" width="47.5" style="3035" customWidth="1"/>
    <col min="7175" max="7175" width="13" style="3035" customWidth="1"/>
    <col min="7176" max="7177" width="8.875" style="3035"/>
    <col min="7178" max="7178" width="5.75" style="3035" customWidth="1"/>
    <col min="7179" max="7179" width="11.75" style="3035" customWidth="1"/>
    <col min="7180" max="7181" width="10.75" style="3035" customWidth="1"/>
    <col min="7182" max="7182" width="10" style="3035" customWidth="1"/>
    <col min="7183" max="7184" width="10.5" style="3035" bestFit="1" customWidth="1"/>
    <col min="7185" max="7185" width="10" style="3035" customWidth="1"/>
    <col min="7186" max="7186" width="10.125" style="3035" customWidth="1"/>
    <col min="7187" max="7187" width="10" style="3035" customWidth="1"/>
    <col min="7188" max="7188" width="26.125" style="3035" customWidth="1"/>
    <col min="7189" max="7424" width="8.875" style="3035"/>
    <col min="7425" max="7425" width="9.5" style="3035" customWidth="1"/>
    <col min="7426" max="7426" width="8.875" style="3035"/>
    <col min="7427" max="7429" width="12.875" style="3035" customWidth="1"/>
    <col min="7430" max="7430" width="47.5" style="3035" customWidth="1"/>
    <col min="7431" max="7431" width="13" style="3035" customWidth="1"/>
    <col min="7432" max="7433" width="8.875" style="3035"/>
    <col min="7434" max="7434" width="5.75" style="3035" customWidth="1"/>
    <col min="7435" max="7435" width="11.75" style="3035" customWidth="1"/>
    <col min="7436" max="7437" width="10.75" style="3035" customWidth="1"/>
    <col min="7438" max="7438" width="10" style="3035" customWidth="1"/>
    <col min="7439" max="7440" width="10.5" style="3035" bestFit="1" customWidth="1"/>
    <col min="7441" max="7441" width="10" style="3035" customWidth="1"/>
    <col min="7442" max="7442" width="10.125" style="3035" customWidth="1"/>
    <col min="7443" max="7443" width="10" style="3035" customWidth="1"/>
    <col min="7444" max="7444" width="26.125" style="3035" customWidth="1"/>
    <col min="7445" max="7680" width="8.875" style="3035"/>
    <col min="7681" max="7681" width="9.5" style="3035" customWidth="1"/>
    <col min="7682" max="7682" width="8.875" style="3035"/>
    <col min="7683" max="7685" width="12.875" style="3035" customWidth="1"/>
    <col min="7686" max="7686" width="47.5" style="3035" customWidth="1"/>
    <col min="7687" max="7687" width="13" style="3035" customWidth="1"/>
    <col min="7688" max="7689" width="8.875" style="3035"/>
    <col min="7690" max="7690" width="5.75" style="3035" customWidth="1"/>
    <col min="7691" max="7691" width="11.75" style="3035" customWidth="1"/>
    <col min="7692" max="7693" width="10.75" style="3035" customWidth="1"/>
    <col min="7694" max="7694" width="10" style="3035" customWidth="1"/>
    <col min="7695" max="7696" width="10.5" style="3035" bestFit="1" customWidth="1"/>
    <col min="7697" max="7697" width="10" style="3035" customWidth="1"/>
    <col min="7698" max="7698" width="10.125" style="3035" customWidth="1"/>
    <col min="7699" max="7699" width="10" style="3035" customWidth="1"/>
    <col min="7700" max="7700" width="26.125" style="3035" customWidth="1"/>
    <col min="7701" max="7936" width="8.875" style="3035"/>
    <col min="7937" max="7937" width="9.5" style="3035" customWidth="1"/>
    <col min="7938" max="7938" width="8.875" style="3035"/>
    <col min="7939" max="7941" width="12.875" style="3035" customWidth="1"/>
    <col min="7942" max="7942" width="47.5" style="3035" customWidth="1"/>
    <col min="7943" max="7943" width="13" style="3035" customWidth="1"/>
    <col min="7944" max="7945" width="8.875" style="3035"/>
    <col min="7946" max="7946" width="5.75" style="3035" customWidth="1"/>
    <col min="7947" max="7947" width="11.75" style="3035" customWidth="1"/>
    <col min="7948" max="7949" width="10.75" style="3035" customWidth="1"/>
    <col min="7950" max="7950" width="10" style="3035" customWidth="1"/>
    <col min="7951" max="7952" width="10.5" style="3035" bestFit="1" customWidth="1"/>
    <col min="7953" max="7953" width="10" style="3035" customWidth="1"/>
    <col min="7954" max="7954" width="10.125" style="3035" customWidth="1"/>
    <col min="7955" max="7955" width="10" style="3035" customWidth="1"/>
    <col min="7956" max="7956" width="26.125" style="3035" customWidth="1"/>
    <col min="7957" max="8192" width="8.875" style="3035"/>
    <col min="8193" max="8193" width="9.5" style="3035" customWidth="1"/>
    <col min="8194" max="8194" width="8.875" style="3035"/>
    <col min="8195" max="8197" width="12.875" style="3035" customWidth="1"/>
    <col min="8198" max="8198" width="47.5" style="3035" customWidth="1"/>
    <col min="8199" max="8199" width="13" style="3035" customWidth="1"/>
    <col min="8200" max="8201" width="8.875" style="3035"/>
    <col min="8202" max="8202" width="5.75" style="3035" customWidth="1"/>
    <col min="8203" max="8203" width="11.75" style="3035" customWidth="1"/>
    <col min="8204" max="8205" width="10.75" style="3035" customWidth="1"/>
    <col min="8206" max="8206" width="10" style="3035" customWidth="1"/>
    <col min="8207" max="8208" width="10.5" style="3035" bestFit="1" customWidth="1"/>
    <col min="8209" max="8209" width="10" style="3035" customWidth="1"/>
    <col min="8210" max="8210" width="10.125" style="3035" customWidth="1"/>
    <col min="8211" max="8211" width="10" style="3035" customWidth="1"/>
    <col min="8212" max="8212" width="26.125" style="3035" customWidth="1"/>
    <col min="8213" max="8448" width="8.875" style="3035"/>
    <col min="8449" max="8449" width="9.5" style="3035" customWidth="1"/>
    <col min="8450" max="8450" width="8.875" style="3035"/>
    <col min="8451" max="8453" width="12.875" style="3035" customWidth="1"/>
    <col min="8454" max="8454" width="47.5" style="3035" customWidth="1"/>
    <col min="8455" max="8455" width="13" style="3035" customWidth="1"/>
    <col min="8456" max="8457" width="8.875" style="3035"/>
    <col min="8458" max="8458" width="5.75" style="3035" customWidth="1"/>
    <col min="8459" max="8459" width="11.75" style="3035" customWidth="1"/>
    <col min="8460" max="8461" width="10.75" style="3035" customWidth="1"/>
    <col min="8462" max="8462" width="10" style="3035" customWidth="1"/>
    <col min="8463" max="8464" width="10.5" style="3035" bestFit="1" customWidth="1"/>
    <col min="8465" max="8465" width="10" style="3035" customWidth="1"/>
    <col min="8466" max="8466" width="10.125" style="3035" customWidth="1"/>
    <col min="8467" max="8467" width="10" style="3035" customWidth="1"/>
    <col min="8468" max="8468" width="26.125" style="3035" customWidth="1"/>
    <col min="8469" max="8704" width="8.875" style="3035"/>
    <col min="8705" max="8705" width="9.5" style="3035" customWidth="1"/>
    <col min="8706" max="8706" width="8.875" style="3035"/>
    <col min="8707" max="8709" width="12.875" style="3035" customWidth="1"/>
    <col min="8710" max="8710" width="47.5" style="3035" customWidth="1"/>
    <col min="8711" max="8711" width="13" style="3035" customWidth="1"/>
    <col min="8712" max="8713" width="8.875" style="3035"/>
    <col min="8714" max="8714" width="5.75" style="3035" customWidth="1"/>
    <col min="8715" max="8715" width="11.75" style="3035" customWidth="1"/>
    <col min="8716" max="8717" width="10.75" style="3035" customWidth="1"/>
    <col min="8718" max="8718" width="10" style="3035" customWidth="1"/>
    <col min="8719" max="8720" width="10.5" style="3035" bestFit="1" customWidth="1"/>
    <col min="8721" max="8721" width="10" style="3035" customWidth="1"/>
    <col min="8722" max="8722" width="10.125" style="3035" customWidth="1"/>
    <col min="8723" max="8723" width="10" style="3035" customWidth="1"/>
    <col min="8724" max="8724" width="26.125" style="3035" customWidth="1"/>
    <col min="8725" max="8960" width="8.875" style="3035"/>
    <col min="8961" max="8961" width="9.5" style="3035" customWidth="1"/>
    <col min="8962" max="8962" width="8.875" style="3035"/>
    <col min="8963" max="8965" width="12.875" style="3035" customWidth="1"/>
    <col min="8966" max="8966" width="47.5" style="3035" customWidth="1"/>
    <col min="8967" max="8967" width="13" style="3035" customWidth="1"/>
    <col min="8968" max="8969" width="8.875" style="3035"/>
    <col min="8970" max="8970" width="5.75" style="3035" customWidth="1"/>
    <col min="8971" max="8971" width="11.75" style="3035" customWidth="1"/>
    <col min="8972" max="8973" width="10.75" style="3035" customWidth="1"/>
    <col min="8974" max="8974" width="10" style="3035" customWidth="1"/>
    <col min="8975" max="8976" width="10.5" style="3035" bestFit="1" customWidth="1"/>
    <col min="8977" max="8977" width="10" style="3035" customWidth="1"/>
    <col min="8978" max="8978" width="10.125" style="3035" customWidth="1"/>
    <col min="8979" max="8979" width="10" style="3035" customWidth="1"/>
    <col min="8980" max="8980" width="26.125" style="3035" customWidth="1"/>
    <col min="8981" max="9216" width="8.875" style="3035"/>
    <col min="9217" max="9217" width="9.5" style="3035" customWidth="1"/>
    <col min="9218" max="9218" width="8.875" style="3035"/>
    <col min="9219" max="9221" width="12.875" style="3035" customWidth="1"/>
    <col min="9222" max="9222" width="47.5" style="3035" customWidth="1"/>
    <col min="9223" max="9223" width="13" style="3035" customWidth="1"/>
    <col min="9224" max="9225" width="8.875" style="3035"/>
    <col min="9226" max="9226" width="5.75" style="3035" customWidth="1"/>
    <col min="9227" max="9227" width="11.75" style="3035" customWidth="1"/>
    <col min="9228" max="9229" width="10.75" style="3035" customWidth="1"/>
    <col min="9230" max="9230" width="10" style="3035" customWidth="1"/>
    <col min="9231" max="9232" width="10.5" style="3035" bestFit="1" customWidth="1"/>
    <col min="9233" max="9233" width="10" style="3035" customWidth="1"/>
    <col min="9234" max="9234" width="10.125" style="3035" customWidth="1"/>
    <col min="9235" max="9235" width="10" style="3035" customWidth="1"/>
    <col min="9236" max="9236" width="26.125" style="3035" customWidth="1"/>
    <col min="9237" max="9472" width="8.875" style="3035"/>
    <col min="9473" max="9473" width="9.5" style="3035" customWidth="1"/>
    <col min="9474" max="9474" width="8.875" style="3035"/>
    <col min="9475" max="9477" width="12.875" style="3035" customWidth="1"/>
    <col min="9478" max="9478" width="47.5" style="3035" customWidth="1"/>
    <col min="9479" max="9479" width="13" style="3035" customWidth="1"/>
    <col min="9480" max="9481" width="8.875" style="3035"/>
    <col min="9482" max="9482" width="5.75" style="3035" customWidth="1"/>
    <col min="9483" max="9483" width="11.75" style="3035" customWidth="1"/>
    <col min="9484" max="9485" width="10.75" style="3035" customWidth="1"/>
    <col min="9486" max="9486" width="10" style="3035" customWidth="1"/>
    <col min="9487" max="9488" width="10.5" style="3035" bestFit="1" customWidth="1"/>
    <col min="9489" max="9489" width="10" style="3035" customWidth="1"/>
    <col min="9490" max="9490" width="10.125" style="3035" customWidth="1"/>
    <col min="9491" max="9491" width="10" style="3035" customWidth="1"/>
    <col min="9492" max="9492" width="26.125" style="3035" customWidth="1"/>
    <col min="9493" max="9728" width="8.875" style="3035"/>
    <col min="9729" max="9729" width="9.5" style="3035" customWidth="1"/>
    <col min="9730" max="9730" width="8.875" style="3035"/>
    <col min="9731" max="9733" width="12.875" style="3035" customWidth="1"/>
    <col min="9734" max="9734" width="47.5" style="3035" customWidth="1"/>
    <col min="9735" max="9735" width="13" style="3035" customWidth="1"/>
    <col min="9736" max="9737" width="8.875" style="3035"/>
    <col min="9738" max="9738" width="5.75" style="3035" customWidth="1"/>
    <col min="9739" max="9739" width="11.75" style="3035" customWidth="1"/>
    <col min="9740" max="9741" width="10.75" style="3035" customWidth="1"/>
    <col min="9742" max="9742" width="10" style="3035" customWidth="1"/>
    <col min="9743" max="9744" width="10.5" style="3035" bestFit="1" customWidth="1"/>
    <col min="9745" max="9745" width="10" style="3035" customWidth="1"/>
    <col min="9746" max="9746" width="10.125" style="3035" customWidth="1"/>
    <col min="9747" max="9747" width="10" style="3035" customWidth="1"/>
    <col min="9748" max="9748" width="26.125" style="3035" customWidth="1"/>
    <col min="9749" max="9984" width="8.875" style="3035"/>
    <col min="9985" max="9985" width="9.5" style="3035" customWidth="1"/>
    <col min="9986" max="9986" width="8.875" style="3035"/>
    <col min="9987" max="9989" width="12.875" style="3035" customWidth="1"/>
    <col min="9990" max="9990" width="47.5" style="3035" customWidth="1"/>
    <col min="9991" max="9991" width="13" style="3035" customWidth="1"/>
    <col min="9992" max="9993" width="8.875" style="3035"/>
    <col min="9994" max="9994" width="5.75" style="3035" customWidth="1"/>
    <col min="9995" max="9995" width="11.75" style="3035" customWidth="1"/>
    <col min="9996" max="9997" width="10.75" style="3035" customWidth="1"/>
    <col min="9998" max="9998" width="10" style="3035" customWidth="1"/>
    <col min="9999" max="10000" width="10.5" style="3035" bestFit="1" customWidth="1"/>
    <col min="10001" max="10001" width="10" style="3035" customWidth="1"/>
    <col min="10002" max="10002" width="10.125" style="3035" customWidth="1"/>
    <col min="10003" max="10003" width="10" style="3035" customWidth="1"/>
    <col min="10004" max="10004" width="26.125" style="3035" customWidth="1"/>
    <col min="10005" max="10240" width="8.875" style="3035"/>
    <col min="10241" max="10241" width="9.5" style="3035" customWidth="1"/>
    <col min="10242" max="10242" width="8.875" style="3035"/>
    <col min="10243" max="10245" width="12.875" style="3035" customWidth="1"/>
    <col min="10246" max="10246" width="47.5" style="3035" customWidth="1"/>
    <col min="10247" max="10247" width="13" style="3035" customWidth="1"/>
    <col min="10248" max="10249" width="8.875" style="3035"/>
    <col min="10250" max="10250" width="5.75" style="3035" customWidth="1"/>
    <col min="10251" max="10251" width="11.75" style="3035" customWidth="1"/>
    <col min="10252" max="10253" width="10.75" style="3035" customWidth="1"/>
    <col min="10254" max="10254" width="10" style="3035" customWidth="1"/>
    <col min="10255" max="10256" width="10.5" style="3035" bestFit="1" customWidth="1"/>
    <col min="10257" max="10257" width="10" style="3035" customWidth="1"/>
    <col min="10258" max="10258" width="10.125" style="3035" customWidth="1"/>
    <col min="10259" max="10259" width="10" style="3035" customWidth="1"/>
    <col min="10260" max="10260" width="26.125" style="3035" customWidth="1"/>
    <col min="10261" max="10496" width="8.875" style="3035"/>
    <col min="10497" max="10497" width="9.5" style="3035" customWidth="1"/>
    <col min="10498" max="10498" width="8.875" style="3035"/>
    <col min="10499" max="10501" width="12.875" style="3035" customWidth="1"/>
    <col min="10502" max="10502" width="47.5" style="3035" customWidth="1"/>
    <col min="10503" max="10503" width="13" style="3035" customWidth="1"/>
    <col min="10504" max="10505" width="8.875" style="3035"/>
    <col min="10506" max="10506" width="5.75" style="3035" customWidth="1"/>
    <col min="10507" max="10507" width="11.75" style="3035" customWidth="1"/>
    <col min="10508" max="10509" width="10.75" style="3035" customWidth="1"/>
    <col min="10510" max="10510" width="10" style="3035" customWidth="1"/>
    <col min="10511" max="10512" width="10.5" style="3035" bestFit="1" customWidth="1"/>
    <col min="10513" max="10513" width="10" style="3035" customWidth="1"/>
    <col min="10514" max="10514" width="10.125" style="3035" customWidth="1"/>
    <col min="10515" max="10515" width="10" style="3035" customWidth="1"/>
    <col min="10516" max="10516" width="26.125" style="3035" customWidth="1"/>
    <col min="10517" max="10752" width="8.875" style="3035"/>
    <col min="10753" max="10753" width="9.5" style="3035" customWidth="1"/>
    <col min="10754" max="10754" width="8.875" style="3035"/>
    <col min="10755" max="10757" width="12.875" style="3035" customWidth="1"/>
    <col min="10758" max="10758" width="47.5" style="3035" customWidth="1"/>
    <col min="10759" max="10759" width="13" style="3035" customWidth="1"/>
    <col min="10760" max="10761" width="8.875" style="3035"/>
    <col min="10762" max="10762" width="5.75" style="3035" customWidth="1"/>
    <col min="10763" max="10763" width="11.75" style="3035" customWidth="1"/>
    <col min="10764" max="10765" width="10.75" style="3035" customWidth="1"/>
    <col min="10766" max="10766" width="10" style="3035" customWidth="1"/>
    <col min="10767" max="10768" width="10.5" style="3035" bestFit="1" customWidth="1"/>
    <col min="10769" max="10769" width="10" style="3035" customWidth="1"/>
    <col min="10770" max="10770" width="10.125" style="3035" customWidth="1"/>
    <col min="10771" max="10771" width="10" style="3035" customWidth="1"/>
    <col min="10772" max="10772" width="26.125" style="3035" customWidth="1"/>
    <col min="10773" max="11008" width="8.875" style="3035"/>
    <col min="11009" max="11009" width="9.5" style="3035" customWidth="1"/>
    <col min="11010" max="11010" width="8.875" style="3035"/>
    <col min="11011" max="11013" width="12.875" style="3035" customWidth="1"/>
    <col min="11014" max="11014" width="47.5" style="3035" customWidth="1"/>
    <col min="11015" max="11015" width="13" style="3035" customWidth="1"/>
    <col min="11016" max="11017" width="8.875" style="3035"/>
    <col min="11018" max="11018" width="5.75" style="3035" customWidth="1"/>
    <col min="11019" max="11019" width="11.75" style="3035" customWidth="1"/>
    <col min="11020" max="11021" width="10.75" style="3035" customWidth="1"/>
    <col min="11022" max="11022" width="10" style="3035" customWidth="1"/>
    <col min="11023" max="11024" width="10.5" style="3035" bestFit="1" customWidth="1"/>
    <col min="11025" max="11025" width="10" style="3035" customWidth="1"/>
    <col min="11026" max="11026" width="10.125" style="3035" customWidth="1"/>
    <col min="11027" max="11027" width="10" style="3035" customWidth="1"/>
    <col min="11028" max="11028" width="26.125" style="3035" customWidth="1"/>
    <col min="11029" max="11264" width="8.875" style="3035"/>
    <col min="11265" max="11265" width="9.5" style="3035" customWidth="1"/>
    <col min="11266" max="11266" width="8.875" style="3035"/>
    <col min="11267" max="11269" width="12.875" style="3035" customWidth="1"/>
    <col min="11270" max="11270" width="47.5" style="3035" customWidth="1"/>
    <col min="11271" max="11271" width="13" style="3035" customWidth="1"/>
    <col min="11272" max="11273" width="8.875" style="3035"/>
    <col min="11274" max="11274" width="5.75" style="3035" customWidth="1"/>
    <col min="11275" max="11275" width="11.75" style="3035" customWidth="1"/>
    <col min="11276" max="11277" width="10.75" style="3035" customWidth="1"/>
    <col min="11278" max="11278" width="10" style="3035" customWidth="1"/>
    <col min="11279" max="11280" width="10.5" style="3035" bestFit="1" customWidth="1"/>
    <col min="11281" max="11281" width="10" style="3035" customWidth="1"/>
    <col min="11282" max="11282" width="10.125" style="3035" customWidth="1"/>
    <col min="11283" max="11283" width="10" style="3035" customWidth="1"/>
    <col min="11284" max="11284" width="26.125" style="3035" customWidth="1"/>
    <col min="11285" max="11520" width="8.875" style="3035"/>
    <col min="11521" max="11521" width="9.5" style="3035" customWidth="1"/>
    <col min="11522" max="11522" width="8.875" style="3035"/>
    <col min="11523" max="11525" width="12.875" style="3035" customWidth="1"/>
    <col min="11526" max="11526" width="47.5" style="3035" customWidth="1"/>
    <col min="11527" max="11527" width="13" style="3035" customWidth="1"/>
    <col min="11528" max="11529" width="8.875" style="3035"/>
    <col min="11530" max="11530" width="5.75" style="3035" customWidth="1"/>
    <col min="11531" max="11531" width="11.75" style="3035" customWidth="1"/>
    <col min="11532" max="11533" width="10.75" style="3035" customWidth="1"/>
    <col min="11534" max="11534" width="10" style="3035" customWidth="1"/>
    <col min="11535" max="11536" width="10.5" style="3035" bestFit="1" customWidth="1"/>
    <col min="11537" max="11537" width="10" style="3035" customWidth="1"/>
    <col min="11538" max="11538" width="10.125" style="3035" customWidth="1"/>
    <col min="11539" max="11539" width="10" style="3035" customWidth="1"/>
    <col min="11540" max="11540" width="26.125" style="3035" customWidth="1"/>
    <col min="11541" max="11776" width="8.875" style="3035"/>
    <col min="11777" max="11777" width="9.5" style="3035" customWidth="1"/>
    <col min="11778" max="11778" width="8.875" style="3035"/>
    <col min="11779" max="11781" width="12.875" style="3035" customWidth="1"/>
    <col min="11782" max="11782" width="47.5" style="3035" customWidth="1"/>
    <col min="11783" max="11783" width="13" style="3035" customWidth="1"/>
    <col min="11784" max="11785" width="8.875" style="3035"/>
    <col min="11786" max="11786" width="5.75" style="3035" customWidth="1"/>
    <col min="11787" max="11787" width="11.75" style="3035" customWidth="1"/>
    <col min="11788" max="11789" width="10.75" style="3035" customWidth="1"/>
    <col min="11790" max="11790" width="10" style="3035" customWidth="1"/>
    <col min="11791" max="11792" width="10.5" style="3035" bestFit="1" customWidth="1"/>
    <col min="11793" max="11793" width="10" style="3035" customWidth="1"/>
    <col min="11794" max="11794" width="10.125" style="3035" customWidth="1"/>
    <col min="11795" max="11795" width="10" style="3035" customWidth="1"/>
    <col min="11796" max="11796" width="26.125" style="3035" customWidth="1"/>
    <col min="11797" max="12032" width="8.875" style="3035"/>
    <col min="12033" max="12033" width="9.5" style="3035" customWidth="1"/>
    <col min="12034" max="12034" width="8.875" style="3035"/>
    <col min="12035" max="12037" width="12.875" style="3035" customWidth="1"/>
    <col min="12038" max="12038" width="47.5" style="3035" customWidth="1"/>
    <col min="12039" max="12039" width="13" style="3035" customWidth="1"/>
    <col min="12040" max="12041" width="8.875" style="3035"/>
    <col min="12042" max="12042" width="5.75" style="3035" customWidth="1"/>
    <col min="12043" max="12043" width="11.75" style="3035" customWidth="1"/>
    <col min="12044" max="12045" width="10.75" style="3035" customWidth="1"/>
    <col min="12046" max="12046" width="10" style="3035" customWidth="1"/>
    <col min="12047" max="12048" width="10.5" style="3035" bestFit="1" customWidth="1"/>
    <col min="12049" max="12049" width="10" style="3035" customWidth="1"/>
    <col min="12050" max="12050" width="10.125" style="3035" customWidth="1"/>
    <col min="12051" max="12051" width="10" style="3035" customWidth="1"/>
    <col min="12052" max="12052" width="26.125" style="3035" customWidth="1"/>
    <col min="12053" max="12288" width="8.875" style="3035"/>
    <col min="12289" max="12289" width="9.5" style="3035" customWidth="1"/>
    <col min="12290" max="12290" width="8.875" style="3035"/>
    <col min="12291" max="12293" width="12.875" style="3035" customWidth="1"/>
    <col min="12294" max="12294" width="47.5" style="3035" customWidth="1"/>
    <col min="12295" max="12295" width="13" style="3035" customWidth="1"/>
    <col min="12296" max="12297" width="8.875" style="3035"/>
    <col min="12298" max="12298" width="5.75" style="3035" customWidth="1"/>
    <col min="12299" max="12299" width="11.75" style="3035" customWidth="1"/>
    <col min="12300" max="12301" width="10.75" style="3035" customWidth="1"/>
    <col min="12302" max="12302" width="10" style="3035" customWidth="1"/>
    <col min="12303" max="12304" width="10.5" style="3035" bestFit="1" customWidth="1"/>
    <col min="12305" max="12305" width="10" style="3035" customWidth="1"/>
    <col min="12306" max="12306" width="10.125" style="3035" customWidth="1"/>
    <col min="12307" max="12307" width="10" style="3035" customWidth="1"/>
    <col min="12308" max="12308" width="26.125" style="3035" customWidth="1"/>
    <col min="12309" max="12544" width="8.875" style="3035"/>
    <col min="12545" max="12545" width="9.5" style="3035" customWidth="1"/>
    <col min="12546" max="12546" width="8.875" style="3035"/>
    <col min="12547" max="12549" width="12.875" style="3035" customWidth="1"/>
    <col min="12550" max="12550" width="47.5" style="3035" customWidth="1"/>
    <col min="12551" max="12551" width="13" style="3035" customWidth="1"/>
    <col min="12552" max="12553" width="8.875" style="3035"/>
    <col min="12554" max="12554" width="5.75" style="3035" customWidth="1"/>
    <col min="12555" max="12555" width="11.75" style="3035" customWidth="1"/>
    <col min="12556" max="12557" width="10.75" style="3035" customWidth="1"/>
    <col min="12558" max="12558" width="10" style="3035" customWidth="1"/>
    <col min="12559" max="12560" width="10.5" style="3035" bestFit="1" customWidth="1"/>
    <col min="12561" max="12561" width="10" style="3035" customWidth="1"/>
    <col min="12562" max="12562" width="10.125" style="3035" customWidth="1"/>
    <col min="12563" max="12563" width="10" style="3035" customWidth="1"/>
    <col min="12564" max="12564" width="26.125" style="3035" customWidth="1"/>
    <col min="12565" max="12800" width="8.875" style="3035"/>
    <col min="12801" max="12801" width="9.5" style="3035" customWidth="1"/>
    <col min="12802" max="12802" width="8.875" style="3035"/>
    <col min="12803" max="12805" width="12.875" style="3035" customWidth="1"/>
    <col min="12806" max="12806" width="47.5" style="3035" customWidth="1"/>
    <col min="12807" max="12807" width="13" style="3035" customWidth="1"/>
    <col min="12808" max="12809" width="8.875" style="3035"/>
    <col min="12810" max="12810" width="5.75" style="3035" customWidth="1"/>
    <col min="12811" max="12811" width="11.75" style="3035" customWidth="1"/>
    <col min="12812" max="12813" width="10.75" style="3035" customWidth="1"/>
    <col min="12814" max="12814" width="10" style="3035" customWidth="1"/>
    <col min="12815" max="12816" width="10.5" style="3035" bestFit="1" customWidth="1"/>
    <col min="12817" max="12817" width="10" style="3035" customWidth="1"/>
    <col min="12818" max="12818" width="10.125" style="3035" customWidth="1"/>
    <col min="12819" max="12819" width="10" style="3035" customWidth="1"/>
    <col min="12820" max="12820" width="26.125" style="3035" customWidth="1"/>
    <col min="12821" max="13056" width="8.875" style="3035"/>
    <col min="13057" max="13057" width="9.5" style="3035" customWidth="1"/>
    <col min="13058" max="13058" width="8.875" style="3035"/>
    <col min="13059" max="13061" width="12.875" style="3035" customWidth="1"/>
    <col min="13062" max="13062" width="47.5" style="3035" customWidth="1"/>
    <col min="13063" max="13063" width="13" style="3035" customWidth="1"/>
    <col min="13064" max="13065" width="8.875" style="3035"/>
    <col min="13066" max="13066" width="5.75" style="3035" customWidth="1"/>
    <col min="13067" max="13067" width="11.75" style="3035" customWidth="1"/>
    <col min="13068" max="13069" width="10.75" style="3035" customWidth="1"/>
    <col min="13070" max="13070" width="10" style="3035" customWidth="1"/>
    <col min="13071" max="13072" width="10.5" style="3035" bestFit="1" customWidth="1"/>
    <col min="13073" max="13073" width="10" style="3035" customWidth="1"/>
    <col min="13074" max="13074" width="10.125" style="3035" customWidth="1"/>
    <col min="13075" max="13075" width="10" style="3035" customWidth="1"/>
    <col min="13076" max="13076" width="26.125" style="3035" customWidth="1"/>
    <col min="13077" max="13312" width="8.875" style="3035"/>
    <col min="13313" max="13313" width="9.5" style="3035" customWidth="1"/>
    <col min="13314" max="13314" width="8.875" style="3035"/>
    <col min="13315" max="13317" width="12.875" style="3035" customWidth="1"/>
    <col min="13318" max="13318" width="47.5" style="3035" customWidth="1"/>
    <col min="13319" max="13319" width="13" style="3035" customWidth="1"/>
    <col min="13320" max="13321" width="8.875" style="3035"/>
    <col min="13322" max="13322" width="5.75" style="3035" customWidth="1"/>
    <col min="13323" max="13323" width="11.75" style="3035" customWidth="1"/>
    <col min="13324" max="13325" width="10.75" style="3035" customWidth="1"/>
    <col min="13326" max="13326" width="10" style="3035" customWidth="1"/>
    <col min="13327" max="13328" width="10.5" style="3035" bestFit="1" customWidth="1"/>
    <col min="13329" max="13329" width="10" style="3035" customWidth="1"/>
    <col min="13330" max="13330" width="10.125" style="3035" customWidth="1"/>
    <col min="13331" max="13331" width="10" style="3035" customWidth="1"/>
    <col min="13332" max="13332" width="26.125" style="3035" customWidth="1"/>
    <col min="13333" max="13568" width="8.875" style="3035"/>
    <col min="13569" max="13569" width="9.5" style="3035" customWidth="1"/>
    <col min="13570" max="13570" width="8.875" style="3035"/>
    <col min="13571" max="13573" width="12.875" style="3035" customWidth="1"/>
    <col min="13574" max="13574" width="47.5" style="3035" customWidth="1"/>
    <col min="13575" max="13575" width="13" style="3035" customWidth="1"/>
    <col min="13576" max="13577" width="8.875" style="3035"/>
    <col min="13578" max="13578" width="5.75" style="3035" customWidth="1"/>
    <col min="13579" max="13579" width="11.75" style="3035" customWidth="1"/>
    <col min="13580" max="13581" width="10.75" style="3035" customWidth="1"/>
    <col min="13582" max="13582" width="10" style="3035" customWidth="1"/>
    <col min="13583" max="13584" width="10.5" style="3035" bestFit="1" customWidth="1"/>
    <col min="13585" max="13585" width="10" style="3035" customWidth="1"/>
    <col min="13586" max="13586" width="10.125" style="3035" customWidth="1"/>
    <col min="13587" max="13587" width="10" style="3035" customWidth="1"/>
    <col min="13588" max="13588" width="26.125" style="3035" customWidth="1"/>
    <col min="13589" max="13824" width="8.875" style="3035"/>
    <col min="13825" max="13825" width="9.5" style="3035" customWidth="1"/>
    <col min="13826" max="13826" width="8.875" style="3035"/>
    <col min="13827" max="13829" width="12.875" style="3035" customWidth="1"/>
    <col min="13830" max="13830" width="47.5" style="3035" customWidth="1"/>
    <col min="13831" max="13831" width="13" style="3035" customWidth="1"/>
    <col min="13832" max="13833" width="8.875" style="3035"/>
    <col min="13834" max="13834" width="5.75" style="3035" customWidth="1"/>
    <col min="13835" max="13835" width="11.75" style="3035" customWidth="1"/>
    <col min="13836" max="13837" width="10.75" style="3035" customWidth="1"/>
    <col min="13838" max="13838" width="10" style="3035" customWidth="1"/>
    <col min="13839" max="13840" width="10.5" style="3035" bestFit="1" customWidth="1"/>
    <col min="13841" max="13841" width="10" style="3035" customWidth="1"/>
    <col min="13842" max="13842" width="10.125" style="3035" customWidth="1"/>
    <col min="13843" max="13843" width="10" style="3035" customWidth="1"/>
    <col min="13844" max="13844" width="26.125" style="3035" customWidth="1"/>
    <col min="13845" max="14080" width="8.875" style="3035"/>
    <col min="14081" max="14081" width="9.5" style="3035" customWidth="1"/>
    <col min="14082" max="14082" width="8.875" style="3035"/>
    <col min="14083" max="14085" width="12.875" style="3035" customWidth="1"/>
    <col min="14086" max="14086" width="47.5" style="3035" customWidth="1"/>
    <col min="14087" max="14087" width="13" style="3035" customWidth="1"/>
    <col min="14088" max="14089" width="8.875" style="3035"/>
    <col min="14090" max="14090" width="5.75" style="3035" customWidth="1"/>
    <col min="14091" max="14091" width="11.75" style="3035" customWidth="1"/>
    <col min="14092" max="14093" width="10.75" style="3035" customWidth="1"/>
    <col min="14094" max="14094" width="10" style="3035" customWidth="1"/>
    <col min="14095" max="14096" width="10.5" style="3035" bestFit="1" customWidth="1"/>
    <col min="14097" max="14097" width="10" style="3035" customWidth="1"/>
    <col min="14098" max="14098" width="10.125" style="3035" customWidth="1"/>
    <col min="14099" max="14099" width="10" style="3035" customWidth="1"/>
    <col min="14100" max="14100" width="26.125" style="3035" customWidth="1"/>
    <col min="14101" max="14336" width="8.875" style="3035"/>
    <col min="14337" max="14337" width="9.5" style="3035" customWidth="1"/>
    <col min="14338" max="14338" width="8.875" style="3035"/>
    <col min="14339" max="14341" width="12.875" style="3035" customWidth="1"/>
    <col min="14342" max="14342" width="47.5" style="3035" customWidth="1"/>
    <col min="14343" max="14343" width="13" style="3035" customWidth="1"/>
    <col min="14344" max="14345" width="8.875" style="3035"/>
    <col min="14346" max="14346" width="5.75" style="3035" customWidth="1"/>
    <col min="14347" max="14347" width="11.75" style="3035" customWidth="1"/>
    <col min="14348" max="14349" width="10.75" style="3035" customWidth="1"/>
    <col min="14350" max="14350" width="10" style="3035" customWidth="1"/>
    <col min="14351" max="14352" width="10.5" style="3035" bestFit="1" customWidth="1"/>
    <col min="14353" max="14353" width="10" style="3035" customWidth="1"/>
    <col min="14354" max="14354" width="10.125" style="3035" customWidth="1"/>
    <col min="14355" max="14355" width="10" style="3035" customWidth="1"/>
    <col min="14356" max="14356" width="26.125" style="3035" customWidth="1"/>
    <col min="14357" max="14592" width="8.875" style="3035"/>
    <col min="14593" max="14593" width="9.5" style="3035" customWidth="1"/>
    <col min="14594" max="14594" width="8.875" style="3035"/>
    <col min="14595" max="14597" width="12.875" style="3035" customWidth="1"/>
    <col min="14598" max="14598" width="47.5" style="3035" customWidth="1"/>
    <col min="14599" max="14599" width="13" style="3035" customWidth="1"/>
    <col min="14600" max="14601" width="8.875" style="3035"/>
    <col min="14602" max="14602" width="5.75" style="3035" customWidth="1"/>
    <col min="14603" max="14603" width="11.75" style="3035" customWidth="1"/>
    <col min="14604" max="14605" width="10.75" style="3035" customWidth="1"/>
    <col min="14606" max="14606" width="10" style="3035" customWidth="1"/>
    <col min="14607" max="14608" width="10.5" style="3035" bestFit="1" customWidth="1"/>
    <col min="14609" max="14609" width="10" style="3035" customWidth="1"/>
    <col min="14610" max="14610" width="10.125" style="3035" customWidth="1"/>
    <col min="14611" max="14611" width="10" style="3035" customWidth="1"/>
    <col min="14612" max="14612" width="26.125" style="3035" customWidth="1"/>
    <col min="14613" max="14848" width="8.875" style="3035"/>
    <col min="14849" max="14849" width="9.5" style="3035" customWidth="1"/>
    <col min="14850" max="14850" width="8.875" style="3035"/>
    <col min="14851" max="14853" width="12.875" style="3035" customWidth="1"/>
    <col min="14854" max="14854" width="47.5" style="3035" customWidth="1"/>
    <col min="14855" max="14855" width="13" style="3035" customWidth="1"/>
    <col min="14856" max="14857" width="8.875" style="3035"/>
    <col min="14858" max="14858" width="5.75" style="3035" customWidth="1"/>
    <col min="14859" max="14859" width="11.75" style="3035" customWidth="1"/>
    <col min="14860" max="14861" width="10.75" style="3035" customWidth="1"/>
    <col min="14862" max="14862" width="10" style="3035" customWidth="1"/>
    <col min="14863" max="14864" width="10.5" style="3035" bestFit="1" customWidth="1"/>
    <col min="14865" max="14865" width="10" style="3035" customWidth="1"/>
    <col min="14866" max="14866" width="10.125" style="3035" customWidth="1"/>
    <col min="14867" max="14867" width="10" style="3035" customWidth="1"/>
    <col min="14868" max="14868" width="26.125" style="3035" customWidth="1"/>
    <col min="14869" max="15104" width="8.875" style="3035"/>
    <col min="15105" max="15105" width="9.5" style="3035" customWidth="1"/>
    <col min="15106" max="15106" width="8.875" style="3035"/>
    <col min="15107" max="15109" width="12.875" style="3035" customWidth="1"/>
    <col min="15110" max="15110" width="47.5" style="3035" customWidth="1"/>
    <col min="15111" max="15111" width="13" style="3035" customWidth="1"/>
    <col min="15112" max="15113" width="8.875" style="3035"/>
    <col min="15114" max="15114" width="5.75" style="3035" customWidth="1"/>
    <col min="15115" max="15115" width="11.75" style="3035" customWidth="1"/>
    <col min="15116" max="15117" width="10.75" style="3035" customWidth="1"/>
    <col min="15118" max="15118" width="10" style="3035" customWidth="1"/>
    <col min="15119" max="15120" width="10.5" style="3035" bestFit="1" customWidth="1"/>
    <col min="15121" max="15121" width="10" style="3035" customWidth="1"/>
    <col min="15122" max="15122" width="10.125" style="3035" customWidth="1"/>
    <col min="15123" max="15123" width="10" style="3035" customWidth="1"/>
    <col min="15124" max="15124" width="26.125" style="3035" customWidth="1"/>
    <col min="15125" max="15360" width="8.875" style="3035"/>
    <col min="15361" max="15361" width="9.5" style="3035" customWidth="1"/>
    <col min="15362" max="15362" width="8.875" style="3035"/>
    <col min="15363" max="15365" width="12.875" style="3035" customWidth="1"/>
    <col min="15366" max="15366" width="47.5" style="3035" customWidth="1"/>
    <col min="15367" max="15367" width="13" style="3035" customWidth="1"/>
    <col min="15368" max="15369" width="8.875" style="3035"/>
    <col min="15370" max="15370" width="5.75" style="3035" customWidth="1"/>
    <col min="15371" max="15371" width="11.75" style="3035" customWidth="1"/>
    <col min="15372" max="15373" width="10.75" style="3035" customWidth="1"/>
    <col min="15374" max="15374" width="10" style="3035" customWidth="1"/>
    <col min="15375" max="15376" width="10.5" style="3035" bestFit="1" customWidth="1"/>
    <col min="15377" max="15377" width="10" style="3035" customWidth="1"/>
    <col min="15378" max="15378" width="10.125" style="3035" customWidth="1"/>
    <col min="15379" max="15379" width="10" style="3035" customWidth="1"/>
    <col min="15380" max="15380" width="26.125" style="3035" customWidth="1"/>
    <col min="15381" max="15616" width="8.875" style="3035"/>
    <col min="15617" max="15617" width="9.5" style="3035" customWidth="1"/>
    <col min="15618" max="15618" width="8.875" style="3035"/>
    <col min="15619" max="15621" width="12.875" style="3035" customWidth="1"/>
    <col min="15622" max="15622" width="47.5" style="3035" customWidth="1"/>
    <col min="15623" max="15623" width="13" style="3035" customWidth="1"/>
    <col min="15624" max="15625" width="8.875" style="3035"/>
    <col min="15626" max="15626" width="5.75" style="3035" customWidth="1"/>
    <col min="15627" max="15627" width="11.75" style="3035" customWidth="1"/>
    <col min="15628" max="15629" width="10.75" style="3035" customWidth="1"/>
    <col min="15630" max="15630" width="10" style="3035" customWidth="1"/>
    <col min="15631" max="15632" width="10.5" style="3035" bestFit="1" customWidth="1"/>
    <col min="15633" max="15633" width="10" style="3035" customWidth="1"/>
    <col min="15634" max="15634" width="10.125" style="3035" customWidth="1"/>
    <col min="15635" max="15635" width="10" style="3035" customWidth="1"/>
    <col min="15636" max="15636" width="26.125" style="3035" customWidth="1"/>
    <col min="15637" max="15872" width="8.875" style="3035"/>
    <col min="15873" max="15873" width="9.5" style="3035" customWidth="1"/>
    <col min="15874" max="15874" width="8.875" style="3035"/>
    <col min="15875" max="15877" width="12.875" style="3035" customWidth="1"/>
    <col min="15878" max="15878" width="47.5" style="3035" customWidth="1"/>
    <col min="15879" max="15879" width="13" style="3035" customWidth="1"/>
    <col min="15880" max="15881" width="8.875" style="3035"/>
    <col min="15882" max="15882" width="5.75" style="3035" customWidth="1"/>
    <col min="15883" max="15883" width="11.75" style="3035" customWidth="1"/>
    <col min="15884" max="15885" width="10.75" style="3035" customWidth="1"/>
    <col min="15886" max="15886" width="10" style="3035" customWidth="1"/>
    <col min="15887" max="15888" width="10.5" style="3035" bestFit="1" customWidth="1"/>
    <col min="15889" max="15889" width="10" style="3035" customWidth="1"/>
    <col min="15890" max="15890" width="10.125" style="3035" customWidth="1"/>
    <col min="15891" max="15891" width="10" style="3035" customWidth="1"/>
    <col min="15892" max="15892" width="26.125" style="3035" customWidth="1"/>
    <col min="15893" max="16128" width="8.875" style="3035"/>
    <col min="16129" max="16129" width="9.5" style="3035" customWidth="1"/>
    <col min="16130" max="16130" width="8.875" style="3035"/>
    <col min="16131" max="16133" width="12.875" style="3035" customWidth="1"/>
    <col min="16134" max="16134" width="47.5" style="3035" customWidth="1"/>
    <col min="16135" max="16135" width="13" style="3035" customWidth="1"/>
    <col min="16136" max="16137" width="8.875" style="3035"/>
    <col min="16138" max="16138" width="5.75" style="3035" customWidth="1"/>
    <col min="16139" max="16139" width="11.75" style="3035" customWidth="1"/>
    <col min="16140" max="16141" width="10.75" style="3035" customWidth="1"/>
    <col min="16142" max="16142" width="10" style="3035" customWidth="1"/>
    <col min="16143" max="16144" width="10.5" style="3035" bestFit="1" customWidth="1"/>
    <col min="16145" max="16145" width="10" style="3035" customWidth="1"/>
    <col min="16146" max="16146" width="10.125" style="3035" customWidth="1"/>
    <col min="16147" max="16147" width="10" style="3035" customWidth="1"/>
    <col min="16148" max="16148" width="26.125" style="3035" customWidth="1"/>
    <col min="16149" max="16384" width="8.875" style="3035"/>
  </cols>
  <sheetData>
    <row r="1" spans="1:22" ht="21" customHeight="1">
      <c r="A1" s="3024" t="s">
        <v>3123</v>
      </c>
      <c r="B1" s="3025"/>
      <c r="C1" s="3037"/>
      <c r="D1" s="3037"/>
      <c r="E1" s="3026"/>
      <c r="F1" s="3027"/>
      <c r="G1" s="3028"/>
      <c r="J1" s="3031" t="s">
        <v>3002</v>
      </c>
      <c r="K1" s="3032"/>
      <c r="L1" s="3032"/>
      <c r="M1" s="3032"/>
      <c r="N1" s="3032"/>
      <c r="O1" s="3032"/>
      <c r="P1" s="3032"/>
      <c r="Q1" s="3032"/>
      <c r="R1" s="3033"/>
      <c r="S1" s="3034"/>
      <c r="T1" s="3034"/>
      <c r="U1" s="3034"/>
    </row>
    <row r="2" spans="1:22" s="3046" customFormat="1" ht="13.15" customHeight="1">
      <c r="A2" s="1535" t="s">
        <v>3003</v>
      </c>
      <c r="B2" s="3036" t="e">
        <f>C40</f>
        <v>#DIV/0!</v>
      </c>
      <c r="C2" s="3037" t="s">
        <v>3004</v>
      </c>
      <c r="D2" s="3037"/>
      <c r="E2" s="3038"/>
      <c r="F2" s="3039"/>
      <c r="G2" s="3040"/>
      <c r="H2" s="3041"/>
      <c r="I2" s="3042"/>
      <c r="J2" s="3720" t="s">
        <v>3005</v>
      </c>
      <c r="K2" s="3721"/>
      <c r="L2" s="3043" t="s">
        <v>3006</v>
      </c>
      <c r="M2" s="3043" t="s">
        <v>3007</v>
      </c>
      <c r="N2" s="3043" t="s">
        <v>3008</v>
      </c>
      <c r="O2" s="3043" t="s">
        <v>3009</v>
      </c>
      <c r="P2" s="3043" t="s">
        <v>3010</v>
      </c>
      <c r="Q2" s="3044" t="s">
        <v>3011</v>
      </c>
      <c r="R2" s="3045" t="s">
        <v>3012</v>
      </c>
      <c r="S2" s="3034"/>
      <c r="T2" s="3034"/>
      <c r="U2" s="3034"/>
      <c r="V2" s="3042"/>
    </row>
    <row r="3" spans="1:22" s="3046" customFormat="1" ht="13.15" customHeight="1">
      <c r="A3" s="3047" t="s">
        <v>3013</v>
      </c>
      <c r="B3" s="3048" t="e">
        <f>ROUND(B2*10000/B4,0)</f>
        <v>#DIV/0!</v>
      </c>
      <c r="C3" s="3037" t="s">
        <v>3014</v>
      </c>
      <c r="D3" s="3037"/>
      <c r="E3" s="3038"/>
      <c r="F3" s="3039"/>
      <c r="G3" s="3040"/>
      <c r="H3" s="3041"/>
      <c r="I3" s="3042"/>
      <c r="J3" s="3722" t="s">
        <v>3015</v>
      </c>
      <c r="K3" s="3723"/>
      <c r="L3" s="3049"/>
      <c r="M3" s="3049"/>
      <c r="N3" s="3049"/>
      <c r="O3" s="3049"/>
      <c r="P3" s="3049"/>
      <c r="Q3" s="3050"/>
      <c r="R3" s="3051">
        <f>SUM(L3:Q3)</f>
        <v>0</v>
      </c>
      <c r="S3" s="3034"/>
      <c r="T3" s="3034"/>
      <c r="U3" s="3034"/>
      <c r="V3" s="3042"/>
    </row>
    <row r="4" spans="1:22" s="3046" customFormat="1" ht="13.15" customHeight="1">
      <c r="A4" s="3052" t="s">
        <v>3016</v>
      </c>
      <c r="B4" s="3053"/>
      <c r="C4" s="3037"/>
      <c r="D4" s="3037"/>
      <c r="E4" s="3038"/>
      <c r="F4" s="3039"/>
      <c r="G4" s="3040"/>
      <c r="H4" s="3041"/>
      <c r="I4" s="3042"/>
      <c r="J4" s="3722" t="s">
        <v>3017</v>
      </c>
      <c r="K4" s="3723"/>
      <c r="L4" s="3054"/>
      <c r="M4" s="3054"/>
      <c r="N4" s="3054"/>
      <c r="O4" s="3054"/>
      <c r="P4" s="3054"/>
      <c r="Q4" s="3055"/>
      <c r="R4" s="3056">
        <f>SUM(L4:Q4)</f>
        <v>0</v>
      </c>
      <c r="S4" s="3034"/>
      <c r="T4" s="3034"/>
      <c r="U4" s="3034"/>
      <c r="V4" s="3042"/>
    </row>
    <row r="5" spans="1:22" s="3046" customFormat="1" ht="13.15" customHeight="1" thickBot="1">
      <c r="A5" s="3057" t="s">
        <v>3018</v>
      </c>
      <c r="B5" s="3058"/>
      <c r="C5" s="3037"/>
      <c r="D5" s="3059"/>
      <c r="E5" s="3039"/>
      <c r="F5" s="3039"/>
      <c r="G5" s="3040"/>
      <c r="H5" s="3041"/>
      <c r="I5" s="3042"/>
      <c r="J5" s="3060" t="s">
        <v>3019</v>
      </c>
      <c r="K5" s="3061"/>
      <c r="L5" s="3061"/>
      <c r="M5" s="3062"/>
      <c r="N5" s="3062"/>
      <c r="O5" s="3062"/>
      <c r="P5" s="3062"/>
      <c r="Q5" s="3062"/>
      <c r="R5" s="3045">
        <f>SUM(R14,R19,R24,R25,R27,R28)</f>
        <v>0</v>
      </c>
      <c r="S5" s="3034"/>
      <c r="T5" s="3034" t="s">
        <v>3020</v>
      </c>
      <c r="U5" s="3034" t="e">
        <f>ROUND(R5*10000/365/R3,1)</f>
        <v>#DIV/0!</v>
      </c>
      <c r="V5" s="3042"/>
    </row>
    <row r="6" spans="1:22" s="3046" customFormat="1" ht="13.15" customHeight="1" thickBot="1">
      <c r="A6" s="3728" t="s">
        <v>3021</v>
      </c>
      <c r="B6" s="3729"/>
      <c r="C6" s="3730"/>
      <c r="D6" s="3063"/>
      <c r="E6" s="3064"/>
      <c r="F6" s="3065"/>
      <c r="G6" s="3066"/>
      <c r="H6" s="3041"/>
      <c r="I6" s="3042"/>
      <c r="J6" s="3714">
        <v>1</v>
      </c>
      <c r="K6" s="3715" t="s">
        <v>3022</v>
      </c>
      <c r="L6" s="3067" t="s">
        <v>3023</v>
      </c>
      <c r="M6" s="3068" t="s">
        <v>3024</v>
      </c>
      <c r="N6" s="3068" t="s">
        <v>3025</v>
      </c>
      <c r="O6" s="3068" t="s">
        <v>3026</v>
      </c>
      <c r="P6" s="3068" t="s">
        <v>3027</v>
      </c>
      <c r="Q6" s="3068" t="s">
        <v>3028</v>
      </c>
      <c r="R6" s="3051" t="s">
        <v>3029</v>
      </c>
      <c r="S6" s="3034"/>
      <c r="T6" s="3034" t="s">
        <v>3030</v>
      </c>
      <c r="U6" s="3034"/>
      <c r="V6" s="3042"/>
    </row>
    <row r="7" spans="1:22" s="3046" customFormat="1" ht="13.15" customHeight="1">
      <c r="A7" s="3069" t="s">
        <v>3031</v>
      </c>
      <c r="B7" s="3070"/>
      <c r="C7" s="3071"/>
      <c r="D7" s="3072">
        <f>SUM(D9,D10,D11,D17,0)</f>
        <v>0</v>
      </c>
      <c r="E7" s="3073" t="e">
        <f>E9+E10+E11+E17</f>
        <v>#DIV/0!</v>
      </c>
      <c r="F7" s="3074"/>
      <c r="G7" s="3075"/>
      <c r="H7" s="3041"/>
      <c r="I7" s="3042"/>
      <c r="J7" s="3714"/>
      <c r="K7" s="3716"/>
      <c r="L7" s="3076" t="s">
        <v>3032</v>
      </c>
      <c r="M7" s="3077"/>
      <c r="N7" s="3053"/>
      <c r="O7" s="3078"/>
      <c r="P7" s="3078"/>
      <c r="Q7" s="3079">
        <v>365</v>
      </c>
      <c r="R7" s="3080">
        <f>ROUND(M7*N7*O7*P7*Q7/10000,0)</f>
        <v>0</v>
      </c>
      <c r="S7" s="3034"/>
      <c r="T7" s="3034" t="s">
        <v>3033</v>
      </c>
      <c r="U7" s="3034"/>
      <c r="V7" s="3042"/>
    </row>
    <row r="8" spans="1:22" s="3046" customFormat="1" ht="13.15" customHeight="1">
      <c r="A8" s="3081" t="s">
        <v>3034</v>
      </c>
      <c r="B8" s="3731" t="s">
        <v>3035</v>
      </c>
      <c r="C8" s="3732"/>
      <c r="D8" s="3082" t="s">
        <v>3036</v>
      </c>
      <c r="E8" s="3083" t="s">
        <v>3037</v>
      </c>
      <c r="F8" s="3084" t="s">
        <v>3038</v>
      </c>
      <c r="G8" s="3085"/>
      <c r="H8" s="3041"/>
      <c r="I8" s="3042"/>
      <c r="J8" s="3714"/>
      <c r="K8" s="3716"/>
      <c r="L8" s="3076" t="s">
        <v>3039</v>
      </c>
      <c r="M8" s="3077"/>
      <c r="N8" s="3053"/>
      <c r="O8" s="3078"/>
      <c r="P8" s="3078"/>
      <c r="Q8" s="3079">
        <v>365</v>
      </c>
      <c r="R8" s="3080">
        <f t="shared" ref="R8:R13" si="0">ROUND(M8*N8*O8*P8*Q8/10000,0)</f>
        <v>0</v>
      </c>
      <c r="S8" s="3034"/>
      <c r="T8" s="3034" t="s">
        <v>3040</v>
      </c>
      <c r="U8" s="3034"/>
      <c r="V8" s="3042"/>
    </row>
    <row r="9" spans="1:22" s="3046" customFormat="1" ht="13.15" customHeight="1">
      <c r="A9" s="3081">
        <v>1</v>
      </c>
      <c r="B9" s="3731" t="s">
        <v>3041</v>
      </c>
      <c r="C9" s="3732"/>
      <c r="D9" s="3082">
        <f>ROUND(D6*E9,0)</f>
        <v>0</v>
      </c>
      <c r="E9" s="3086"/>
      <c r="F9" s="3087" t="s">
        <v>3042</v>
      </c>
      <c r="G9" s="3066"/>
      <c r="H9" s="3041"/>
      <c r="I9" s="3042"/>
      <c r="J9" s="3714"/>
      <c r="K9" s="3716"/>
      <c r="L9" s="3076" t="s">
        <v>3043</v>
      </c>
      <c r="M9" s="3077"/>
      <c r="N9" s="3053"/>
      <c r="O9" s="3078"/>
      <c r="P9" s="3078"/>
      <c r="Q9" s="3079">
        <v>365</v>
      </c>
      <c r="R9" s="3080">
        <f t="shared" si="0"/>
        <v>0</v>
      </c>
      <c r="S9" s="3034"/>
      <c r="T9" s="3034"/>
      <c r="U9" s="3034"/>
      <c r="V9" s="3042"/>
    </row>
    <row r="10" spans="1:22" s="3046" customFormat="1" ht="13.15" customHeight="1">
      <c r="A10" s="3081">
        <v>2</v>
      </c>
      <c r="B10" s="3731" t="s">
        <v>3044</v>
      </c>
      <c r="C10" s="3732"/>
      <c r="D10" s="3082">
        <f>ROUND(D6*E10,0)</f>
        <v>0</v>
      </c>
      <c r="E10" s="3086"/>
      <c r="F10" s="3087" t="s">
        <v>3045</v>
      </c>
      <c r="G10" s="3066"/>
      <c r="H10" s="3041"/>
      <c r="I10" s="3042"/>
      <c r="J10" s="3714"/>
      <c r="K10" s="3716"/>
      <c r="L10" s="3076" t="s">
        <v>3046</v>
      </c>
      <c r="M10" s="3077"/>
      <c r="N10" s="3053"/>
      <c r="O10" s="3078"/>
      <c r="P10" s="3078"/>
      <c r="Q10" s="3079">
        <v>365</v>
      </c>
      <c r="R10" s="3080">
        <f t="shared" si="0"/>
        <v>0</v>
      </c>
      <c r="S10" s="3034"/>
      <c r="T10" s="3034"/>
      <c r="U10" s="3034"/>
      <c r="V10" s="3042"/>
    </row>
    <row r="11" spans="1:22" s="3046" customFormat="1" ht="13.15" customHeight="1">
      <c r="A11" s="3081">
        <v>3</v>
      </c>
      <c r="B11" s="3731" t="s">
        <v>3047</v>
      </c>
      <c r="C11" s="3732"/>
      <c r="D11" s="3082">
        <f>D12+D14+D15+D16</f>
        <v>0</v>
      </c>
      <c r="E11" s="3088" t="e">
        <f>D11/D6</f>
        <v>#DIV/0!</v>
      </c>
      <c r="F11" s="3084"/>
      <c r="G11" s="3085"/>
      <c r="H11" s="3041"/>
      <c r="I11" s="3042"/>
      <c r="J11" s="3714"/>
      <c r="K11" s="3716"/>
      <c r="L11" s="3076" t="s">
        <v>3048</v>
      </c>
      <c r="M11" s="3077"/>
      <c r="N11" s="3053"/>
      <c r="O11" s="3078"/>
      <c r="P11" s="3078"/>
      <c r="Q11" s="3079">
        <v>365</v>
      </c>
      <c r="R11" s="3080">
        <f t="shared" si="0"/>
        <v>0</v>
      </c>
      <c r="S11" s="3034"/>
      <c r="T11" s="3034"/>
      <c r="U11" s="3034"/>
      <c r="V11" s="3042"/>
    </row>
    <row r="12" spans="1:22" s="3046" customFormat="1" ht="13.15" customHeight="1">
      <c r="A12" s="3089" t="s">
        <v>3049</v>
      </c>
      <c r="B12" s="3724" t="s">
        <v>3050</v>
      </c>
      <c r="C12" s="3725"/>
      <c r="D12" s="3090">
        <f>ROUND(D13*1.2%*(1-30%),0)</f>
        <v>0</v>
      </c>
      <c r="E12" s="3091">
        <v>1.2E-2</v>
      </c>
      <c r="F12" s="3084" t="s">
        <v>3051</v>
      </c>
      <c r="G12" s="3085"/>
      <c r="H12" s="3041"/>
      <c r="I12" s="3042"/>
      <c r="J12" s="3714"/>
      <c r="K12" s="3716"/>
      <c r="L12" s="3076" t="s">
        <v>3052</v>
      </c>
      <c r="M12" s="3077"/>
      <c r="N12" s="3053"/>
      <c r="O12" s="3078"/>
      <c r="P12" s="3078"/>
      <c r="Q12" s="3079">
        <v>365</v>
      </c>
      <c r="R12" s="3080">
        <f t="shared" si="0"/>
        <v>0</v>
      </c>
      <c r="S12" s="3034"/>
      <c r="T12" s="3034"/>
      <c r="U12" s="3034"/>
      <c r="V12" s="3042"/>
    </row>
    <row r="13" spans="1:22" s="3046" customFormat="1" ht="13.15" customHeight="1">
      <c r="A13" s="3089"/>
      <c r="B13" s="3092"/>
      <c r="C13" s="3093" t="s">
        <v>3053</v>
      </c>
      <c r="D13" s="3094"/>
      <c r="E13" s="3095"/>
      <c r="F13" s="3084"/>
      <c r="G13" s="3085"/>
      <c r="H13" s="3041"/>
      <c r="I13" s="3042"/>
      <c r="J13" s="3714"/>
      <c r="K13" s="3716"/>
      <c r="L13" s="3076" t="s">
        <v>3054</v>
      </c>
      <c r="M13" s="3077"/>
      <c r="N13" s="3053"/>
      <c r="O13" s="3078"/>
      <c r="P13" s="3078"/>
      <c r="Q13" s="3079">
        <v>365</v>
      </c>
      <c r="R13" s="3080">
        <f t="shared" si="0"/>
        <v>0</v>
      </c>
      <c r="S13" s="3034"/>
      <c r="T13" s="3034"/>
      <c r="U13" s="3034"/>
      <c r="V13" s="3042"/>
    </row>
    <row r="14" spans="1:22" s="3046" customFormat="1" ht="13.15" customHeight="1">
      <c r="A14" s="3089" t="s">
        <v>3055</v>
      </c>
      <c r="B14" s="3724" t="s">
        <v>3056</v>
      </c>
      <c r="C14" s="3725"/>
      <c r="D14" s="3090">
        <f>ROUND(E14*B5/10000,0)</f>
        <v>0</v>
      </c>
      <c r="E14" s="3079"/>
      <c r="F14" s="3084" t="s">
        <v>3057</v>
      </c>
      <c r="G14" s="3085"/>
      <c r="H14" s="3041"/>
      <c r="I14" s="3042"/>
      <c r="J14" s="3714"/>
      <c r="K14" s="3717"/>
      <c r="L14" s="3096" t="s">
        <v>3058</v>
      </c>
      <c r="M14" s="3097">
        <f>SUM(M7:M13)</f>
        <v>0</v>
      </c>
      <c r="N14" s="3097" t="e">
        <f>ROUND((N7*M7+N8*M8+N9*M9+N10*M10+N11*M11+N12*M12+N13*M13)/M14,0)</f>
        <v>#DIV/0!</v>
      </c>
      <c r="O14" s="3098"/>
      <c r="P14" s="3098"/>
      <c r="Q14" s="3099"/>
      <c r="R14" s="3045">
        <f>SUM(R7:R13)</f>
        <v>0</v>
      </c>
      <c r="S14" s="3034"/>
      <c r="T14" s="3034"/>
      <c r="U14" s="3034"/>
      <c r="V14" s="3042"/>
    </row>
    <row r="15" spans="1:22" s="3046" customFormat="1" ht="13.15" customHeight="1">
      <c r="A15" s="3089" t="s">
        <v>3059</v>
      </c>
      <c r="B15" s="3724" t="s">
        <v>3060</v>
      </c>
      <c r="C15" s="3725"/>
      <c r="D15" s="3090">
        <f>ROUND(D6*E15,0)</f>
        <v>0</v>
      </c>
      <c r="E15" s="3091">
        <v>5.5E-2</v>
      </c>
      <c r="F15" s="3084" t="s">
        <v>3061</v>
      </c>
      <c r="G15" s="3066"/>
      <c r="H15" s="3041"/>
      <c r="I15" s="3042"/>
      <c r="J15" s="3714">
        <v>2</v>
      </c>
      <c r="K15" s="3715" t="s">
        <v>3062</v>
      </c>
      <c r="L15" s="3076" t="s">
        <v>3063</v>
      </c>
      <c r="M15" s="3077" t="s">
        <v>3064</v>
      </c>
      <c r="N15" s="3077" t="s">
        <v>3065</v>
      </c>
      <c r="O15" s="3078" t="s">
        <v>3066</v>
      </c>
      <c r="P15" s="3078" t="s">
        <v>3028</v>
      </c>
      <c r="Q15" s="3053" t="s">
        <v>3067</v>
      </c>
      <c r="R15" s="3100" t="s">
        <v>3029</v>
      </c>
      <c r="S15" s="3034"/>
      <c r="T15" s="3034"/>
      <c r="U15" s="3034"/>
      <c r="V15" s="3042"/>
    </row>
    <row r="16" spans="1:22" s="3046" customFormat="1" ht="13.15" customHeight="1">
      <c r="A16" s="3089" t="s">
        <v>3068</v>
      </c>
      <c r="B16" s="3724" t="s">
        <v>3069</v>
      </c>
      <c r="C16" s="3725"/>
      <c r="D16" s="3101">
        <f>D6*E16</f>
        <v>0</v>
      </c>
      <c r="E16" s="3102"/>
      <c r="F16" s="3087" t="s">
        <v>3070</v>
      </c>
      <c r="G16" s="3066"/>
      <c r="H16" s="3041"/>
      <c r="I16" s="3042"/>
      <c r="J16" s="3714"/>
      <c r="K16" s="3716"/>
      <c r="L16" s="3076" t="s">
        <v>3071</v>
      </c>
      <c r="M16" s="3077"/>
      <c r="N16" s="3077"/>
      <c r="O16" s="3078"/>
      <c r="P16" s="3079">
        <v>365</v>
      </c>
      <c r="Q16" s="3053"/>
      <c r="R16" s="3100">
        <f>ROUND(M16*N16*O16*P16/10000,0)</f>
        <v>0</v>
      </c>
      <c r="S16" s="3034"/>
      <c r="T16" s="3034"/>
      <c r="U16" s="3034"/>
      <c r="V16" s="3042"/>
    </row>
    <row r="17" spans="1:22" s="3046" customFormat="1" ht="13.15" customHeight="1" thickBot="1">
      <c r="A17" s="3103">
        <v>4</v>
      </c>
      <c r="B17" s="3726" t="s">
        <v>3072</v>
      </c>
      <c r="C17" s="3727"/>
      <c r="D17" s="3104">
        <f>ROUND(D6*E17,0)</f>
        <v>0</v>
      </c>
      <c r="E17" s="3105"/>
      <c r="F17" s="3106" t="s">
        <v>3073</v>
      </c>
      <c r="G17" s="3066"/>
      <c r="H17" s="3041"/>
      <c r="I17" s="3042"/>
      <c r="J17" s="3714"/>
      <c r="K17" s="3716"/>
      <c r="L17" s="3076" t="s">
        <v>3074</v>
      </c>
      <c r="M17" s="3077"/>
      <c r="N17" s="3077"/>
      <c r="O17" s="3078"/>
      <c r="P17" s="3079">
        <v>365</v>
      </c>
      <c r="Q17" s="3053"/>
      <c r="R17" s="3100">
        <f>ROUND(M17*N17*O17*P17/10000,0)</f>
        <v>0</v>
      </c>
      <c r="S17" s="3034"/>
      <c r="T17" s="3034"/>
      <c r="U17" s="3034"/>
      <c r="V17" s="3042"/>
    </row>
    <row r="18" spans="1:22" s="3046" customFormat="1" ht="13.15" customHeight="1" thickBot="1">
      <c r="A18" s="3069" t="s">
        <v>3075</v>
      </c>
      <c r="B18" s="3070"/>
      <c r="C18" s="3070"/>
      <c r="D18" s="3107">
        <f>ROUND(D6*E18,0)</f>
        <v>0</v>
      </c>
      <c r="E18" s="3108"/>
      <c r="F18" s="3109" t="s">
        <v>3076</v>
      </c>
      <c r="G18" s="3066"/>
      <c r="H18" s="3041"/>
      <c r="I18" s="3042"/>
      <c r="J18" s="3714"/>
      <c r="K18" s="3716"/>
      <c r="L18" s="3076" t="s">
        <v>3077</v>
      </c>
      <c r="M18" s="3077"/>
      <c r="N18" s="3077"/>
      <c r="O18" s="3078"/>
      <c r="P18" s="3079">
        <v>365</v>
      </c>
      <c r="Q18" s="3053"/>
      <c r="R18" s="3100">
        <f>ROUND(M18*N18*O18*P18/10000,0)</f>
        <v>0</v>
      </c>
      <c r="S18" s="3034"/>
      <c r="T18" s="3034"/>
      <c r="U18" s="3034"/>
      <c r="V18" s="3042"/>
    </row>
    <row r="19" spans="1:22" s="3046" customFormat="1" ht="13.15" customHeight="1" thickBot="1">
      <c r="A19" s="3110" t="s">
        <v>3078</v>
      </c>
      <c r="B19" s="3064"/>
      <c r="C19" s="3064"/>
      <c r="D19" s="3064"/>
      <c r="E19" s="3064"/>
      <c r="F19" s="3065"/>
      <c r="G19" s="3085"/>
      <c r="H19" s="3041"/>
      <c r="I19" s="3042"/>
      <c r="J19" s="3714"/>
      <c r="K19" s="3717"/>
      <c r="L19" s="3096" t="s">
        <v>3058</v>
      </c>
      <c r="M19" s="3097"/>
      <c r="N19" s="3097">
        <f>SUM(N16:N18)</f>
        <v>0</v>
      </c>
      <c r="O19" s="3098"/>
      <c r="P19" s="3111" t="s">
        <v>3122</v>
      </c>
      <c r="Q19" s="3078">
        <v>0</v>
      </c>
      <c r="R19" s="3112">
        <f>ROUND(IF(P19="按比例",R14*Q19,SUM(R16:R18)),0)</f>
        <v>0</v>
      </c>
      <c r="S19" s="3034"/>
      <c r="T19" s="3034"/>
      <c r="U19" s="3034"/>
      <c r="V19" s="3042"/>
    </row>
    <row r="20" spans="1:22" s="3046" customFormat="1" ht="13.15" customHeight="1">
      <c r="A20" s="3069"/>
      <c r="B20" s="3070"/>
      <c r="C20" s="3070"/>
      <c r="D20" s="3070"/>
      <c r="E20" s="3070"/>
      <c r="F20" s="3113"/>
      <c r="G20" s="3085"/>
      <c r="H20" s="3041"/>
      <c r="I20" s="3042"/>
      <c r="J20" s="3714">
        <v>3</v>
      </c>
      <c r="K20" s="3715" t="s">
        <v>3079</v>
      </c>
      <c r="L20" s="3076" t="s">
        <v>3080</v>
      </c>
      <c r="M20" s="3077" t="s">
        <v>3081</v>
      </c>
      <c r="N20" s="3114" t="s">
        <v>3082</v>
      </c>
      <c r="O20" s="3078" t="s">
        <v>3083</v>
      </c>
      <c r="P20" s="3079" t="s">
        <v>3084</v>
      </c>
      <c r="Q20" s="3053" t="s">
        <v>3085</v>
      </c>
      <c r="R20" s="3100" t="s">
        <v>3086</v>
      </c>
      <c r="S20" s="3115"/>
      <c r="T20" s="3115"/>
      <c r="U20" s="3115"/>
      <c r="V20" s="3042"/>
    </row>
    <row r="21" spans="1:22" s="3046" customFormat="1" ht="13.15" customHeight="1">
      <c r="A21" s="3069"/>
      <c r="B21" s="3070"/>
      <c r="C21" s="3116" t="s">
        <v>3087</v>
      </c>
      <c r="D21" s="3117" t="s">
        <v>3088</v>
      </c>
      <c r="E21" s="3118" t="s">
        <v>3089</v>
      </c>
      <c r="F21" s="3113"/>
      <c r="G21" s="3085"/>
      <c r="H21" s="3041"/>
      <c r="I21" s="3042"/>
      <c r="J21" s="3714"/>
      <c r="K21" s="3716"/>
      <c r="L21" s="3076" t="s">
        <v>3090</v>
      </c>
      <c r="M21" s="3077"/>
      <c r="N21" s="3077"/>
      <c r="O21" s="3078"/>
      <c r="P21" s="3079">
        <v>365</v>
      </c>
      <c r="Q21" s="3053"/>
      <c r="R21" s="3119">
        <f>ROUND(M21*N21*O21*P21/10000,0)</f>
        <v>0</v>
      </c>
      <c r="S21" s="3115"/>
      <c r="T21" s="3115"/>
      <c r="U21" s="3115"/>
      <c r="V21" s="3042"/>
    </row>
    <row r="22" spans="1:22" s="3046" customFormat="1" ht="13.15" customHeight="1">
      <c r="A22" s="3069"/>
      <c r="B22" s="3070"/>
      <c r="C22" s="3120" t="s">
        <v>3091</v>
      </c>
      <c r="D22" s="3121" t="s">
        <v>3092</v>
      </c>
      <c r="E22" s="3122" t="s">
        <v>3093</v>
      </c>
      <c r="F22" s="3113"/>
      <c r="G22" s="3123"/>
      <c r="H22" s="3041"/>
      <c r="I22" s="3042"/>
      <c r="J22" s="3714"/>
      <c r="K22" s="3716"/>
      <c r="L22" s="3076" t="s">
        <v>3094</v>
      </c>
      <c r="M22" s="3077"/>
      <c r="N22" s="3077"/>
      <c r="O22" s="3078"/>
      <c r="P22" s="3079">
        <v>365</v>
      </c>
      <c r="Q22" s="3053"/>
      <c r="R22" s="3119">
        <f>ROUND(M22*N22*O22*P22/10000,0)</f>
        <v>0</v>
      </c>
      <c r="S22" s="3115"/>
      <c r="T22" s="3115"/>
      <c r="U22" s="3115"/>
      <c r="V22" s="3042"/>
    </row>
    <row r="23" spans="1:22" s="3046" customFormat="1" ht="13.15" customHeight="1">
      <c r="A23" s="3124">
        <v>1</v>
      </c>
      <c r="B23" s="3125" t="s">
        <v>3095</v>
      </c>
      <c r="C23" s="3126">
        <f>D6</f>
        <v>0</v>
      </c>
      <c r="D23" s="3127">
        <f>C23*(1+D24)</f>
        <v>0</v>
      </c>
      <c r="E23" s="3128">
        <f>D23*(1+E24)</f>
        <v>0</v>
      </c>
      <c r="F23" s="3129"/>
      <c r="G23" s="3130"/>
      <c r="H23" s="3041"/>
      <c r="I23" s="3042"/>
      <c r="J23" s="3714"/>
      <c r="K23" s="3716"/>
      <c r="L23" s="3076" t="s">
        <v>3096</v>
      </c>
      <c r="M23" s="3077"/>
      <c r="N23" s="3077"/>
      <c r="O23" s="3078"/>
      <c r="P23" s="3079">
        <v>365</v>
      </c>
      <c r="Q23" s="3053"/>
      <c r="R23" s="3119">
        <f>ROUND(M23*N23*O23*P23/10000,0)</f>
        <v>0</v>
      </c>
      <c r="S23" s="3034"/>
      <c r="T23" s="3034"/>
      <c r="U23" s="3034"/>
      <c r="V23" s="3042"/>
    </row>
    <row r="24" spans="1:22" s="3046" customFormat="1" ht="13.15" customHeight="1">
      <c r="A24" s="3131"/>
      <c r="B24" s="3132" t="s">
        <v>3097</v>
      </c>
      <c r="C24" s="3133"/>
      <c r="D24" s="3134"/>
      <c r="E24" s="3135"/>
      <c r="F24" s="3136"/>
      <c r="G24" s="3130"/>
      <c r="H24" s="3041"/>
      <c r="I24" s="3042"/>
      <c r="J24" s="3714"/>
      <c r="K24" s="3717"/>
      <c r="L24" s="3096" t="s">
        <v>3058</v>
      </c>
      <c r="M24" s="3097">
        <f>SUM(M21:M23)</f>
        <v>0</v>
      </c>
      <c r="N24" s="3097"/>
      <c r="O24" s="3098"/>
      <c r="P24" s="3111" t="s">
        <v>3122</v>
      </c>
      <c r="Q24" s="3078">
        <v>0</v>
      </c>
      <c r="R24" s="3112">
        <f>ROUND(IF(P24="按比例",R14*Q24,SUM(R21:R23)),0)</f>
        <v>0</v>
      </c>
      <c r="S24" s="3034"/>
      <c r="T24" s="3034"/>
      <c r="U24" s="3034"/>
      <c r="V24" s="3042"/>
    </row>
    <row r="25" spans="1:22" s="3143" customFormat="1" ht="13.15" customHeight="1">
      <c r="A25" s="3131"/>
      <c r="B25" s="3132"/>
      <c r="C25" s="3133"/>
      <c r="D25" s="3134"/>
      <c r="E25" s="3135"/>
      <c r="F25" s="3136"/>
      <c r="G25" s="3123"/>
      <c r="H25" s="3041"/>
      <c r="I25" s="3042"/>
      <c r="J25" s="3137">
        <v>4</v>
      </c>
      <c r="K25" s="3138" t="s">
        <v>3098</v>
      </c>
      <c r="L25" s="3139"/>
      <c r="M25" s="3139"/>
      <c r="N25" s="3139"/>
      <c r="O25" s="3139"/>
      <c r="P25" s="3140"/>
      <c r="Q25" s="3141">
        <v>0</v>
      </c>
      <c r="R25" s="3112">
        <f>ROUND(R14*Q25,0)</f>
        <v>0</v>
      </c>
      <c r="S25" s="3034"/>
      <c r="T25" s="3034"/>
      <c r="U25" s="3034"/>
      <c r="V25" s="3142"/>
    </row>
    <row r="26" spans="1:22" s="3143" customFormat="1" ht="13.15" customHeight="1">
      <c r="A26" s="3124">
        <v>2</v>
      </c>
      <c r="B26" s="3125" t="s">
        <v>3099</v>
      </c>
      <c r="C26" s="3126">
        <f>D7</f>
        <v>0</v>
      </c>
      <c r="D26" s="3127">
        <f>D23*D27</f>
        <v>0</v>
      </c>
      <c r="E26" s="3128">
        <f>E23*E27</f>
        <v>0</v>
      </c>
      <c r="F26" s="3129"/>
      <c r="G26" s="3130"/>
      <c r="H26" s="3041"/>
      <c r="I26" s="3042"/>
      <c r="J26" s="3718">
        <v>5</v>
      </c>
      <c r="K26" s="3144" t="s">
        <v>3100</v>
      </c>
      <c r="L26" s="3145"/>
      <c r="M26" s="3146"/>
      <c r="N26" s="3147" t="s">
        <v>3101</v>
      </c>
      <c r="O26" s="3147" t="s">
        <v>3102</v>
      </c>
      <c r="P26" s="3148" t="s">
        <v>3103</v>
      </c>
      <c r="Q26" s="3148" t="s">
        <v>3104</v>
      </c>
      <c r="R26" s="3051" t="s">
        <v>3029</v>
      </c>
      <c r="S26" s="3149"/>
      <c r="T26" s="3149"/>
      <c r="U26" s="3149"/>
      <c r="V26" s="3142"/>
    </row>
    <row r="27" spans="1:22" s="3046" customFormat="1" ht="13.15" customHeight="1">
      <c r="A27" s="3131"/>
      <c r="B27" s="3132" t="s">
        <v>3105</v>
      </c>
      <c r="C27" s="3150" t="e">
        <f>E7</f>
        <v>#DIV/0!</v>
      </c>
      <c r="D27" s="3134"/>
      <c r="E27" s="3135"/>
      <c r="F27" s="3136"/>
      <c r="G27" s="3130"/>
      <c r="H27" s="3151"/>
      <c r="I27" s="3142"/>
      <c r="J27" s="3719"/>
      <c r="K27" s="3152"/>
      <c r="L27" s="3153"/>
      <c r="M27" s="3154"/>
      <c r="N27" s="3155"/>
      <c r="O27" s="3155"/>
      <c r="P27" s="3155"/>
      <c r="Q27" s="3156"/>
      <c r="R27" s="3112">
        <f>ROUND(O27*N27*P27*(1-Q27)/10000,0)</f>
        <v>0</v>
      </c>
      <c r="S27" s="3034"/>
      <c r="T27" s="3034"/>
      <c r="U27" s="3034"/>
      <c r="V27" s="3042"/>
    </row>
    <row r="28" spans="1:22" s="3143" customFormat="1" ht="13.15" customHeight="1" thickBot="1">
      <c r="A28" s="3131"/>
      <c r="B28" s="3132"/>
      <c r="C28" s="3150"/>
      <c r="D28" s="3134"/>
      <c r="E28" s="3135" t="s">
        <v>3106</v>
      </c>
      <c r="F28" s="3136"/>
      <c r="G28" s="3123"/>
      <c r="H28" s="3151"/>
      <c r="I28" s="3142"/>
      <c r="J28" s="3157">
        <v>6</v>
      </c>
      <c r="K28" s="3158" t="s">
        <v>3107</v>
      </c>
      <c r="L28" s="3159" t="s">
        <v>3108</v>
      </c>
      <c r="M28" s="3160"/>
      <c r="N28" s="3159" t="s">
        <v>3109</v>
      </c>
      <c r="O28" s="3161"/>
      <c r="P28" s="3159" t="s">
        <v>3110</v>
      </c>
      <c r="Q28" s="3162">
        <v>1.4999999999999999E-2</v>
      </c>
      <c r="R28" s="3163"/>
      <c r="S28" s="3115"/>
      <c r="T28" s="3115"/>
      <c r="U28" s="3115"/>
      <c r="V28" s="3142"/>
    </row>
    <row r="29" spans="1:22" s="3143" customFormat="1" ht="13.15" customHeight="1">
      <c r="A29" s="3124">
        <v>3</v>
      </c>
      <c r="B29" s="3125" t="s">
        <v>3111</v>
      </c>
      <c r="C29" s="3126">
        <f>C23*C30</f>
        <v>0</v>
      </c>
      <c r="D29" s="3127">
        <f>D23*C30</f>
        <v>0</v>
      </c>
      <c r="E29" s="3128">
        <f>E23*C30</f>
        <v>0</v>
      </c>
      <c r="F29" s="3129"/>
      <c r="G29" s="3130"/>
      <c r="H29" s="3041"/>
      <c r="I29" s="3042"/>
      <c r="J29" s="3115"/>
      <c r="K29" s="3115"/>
      <c r="L29" s="3115"/>
      <c r="M29" s="3115"/>
      <c r="N29" s="3115"/>
      <c r="O29" s="3115"/>
      <c r="P29" s="3115"/>
      <c r="Q29" s="3115"/>
      <c r="R29" s="3115"/>
      <c r="S29" s="3115"/>
      <c r="T29" s="3115"/>
      <c r="U29" s="3115"/>
      <c r="V29" s="3142"/>
    </row>
    <row r="30" spans="1:22" s="3046" customFormat="1" ht="13.15" customHeight="1" thickBot="1">
      <c r="A30" s="3131"/>
      <c r="B30" s="3132" t="s">
        <v>3105</v>
      </c>
      <c r="C30" s="3150">
        <f>E18</f>
        <v>0</v>
      </c>
      <c r="D30" s="3164"/>
      <c r="E30" s="3095"/>
      <c r="F30" s="3136"/>
      <c r="G30" s="3130"/>
      <c r="H30" s="3151"/>
      <c r="I30" s="3142"/>
      <c r="J30" s="3115"/>
      <c r="K30" s="3115"/>
      <c r="L30" s="3115"/>
      <c r="M30" s="3115"/>
      <c r="N30" s="3115"/>
      <c r="O30" s="3115"/>
      <c r="P30" s="3115"/>
      <c r="Q30" s="3115"/>
      <c r="R30" s="3115"/>
      <c r="S30" s="3115"/>
      <c r="T30" s="3115"/>
      <c r="U30" s="3034"/>
      <c r="V30" s="3042"/>
    </row>
    <row r="31" spans="1:22" s="3143" customFormat="1" ht="13.15" customHeight="1">
      <c r="A31" s="3131"/>
      <c r="B31" s="3132"/>
      <c r="C31" s="3165"/>
      <c r="D31" s="3164"/>
      <c r="E31" s="3095"/>
      <c r="F31" s="3136"/>
      <c r="G31" s="3123"/>
      <c r="H31" s="3151"/>
      <c r="I31" s="3142"/>
      <c r="J31" s="3031" t="s">
        <v>3112</v>
      </c>
      <c r="K31" s="3032"/>
      <c r="L31" s="3032"/>
      <c r="M31" s="3032"/>
      <c r="N31" s="3032"/>
      <c r="O31" s="3032"/>
      <c r="P31" s="3032"/>
      <c r="Q31" s="3032"/>
      <c r="R31" s="3033"/>
      <c r="S31" s="3115"/>
      <c r="T31" s="3034"/>
      <c r="U31" s="3034"/>
      <c r="V31" s="3142"/>
    </row>
    <row r="32" spans="1:22" s="3143" customFormat="1" ht="13.15" customHeight="1">
      <c r="A32" s="3124">
        <v>4</v>
      </c>
      <c r="B32" s="3125" t="s">
        <v>3113</v>
      </c>
      <c r="C32" s="3126">
        <f>C23-C26-C29</f>
        <v>0</v>
      </c>
      <c r="D32" s="3127">
        <f>D23-D26-D29</f>
        <v>0</v>
      </c>
      <c r="E32" s="3128">
        <f>E23-E26-E29</f>
        <v>0</v>
      </c>
      <c r="F32" s="3129"/>
      <c r="G32" s="3123"/>
      <c r="H32" s="3041"/>
      <c r="I32" s="3042"/>
      <c r="J32" s="3720" t="s">
        <v>3005</v>
      </c>
      <c r="K32" s="3721"/>
      <c r="L32" s="3043" t="s">
        <v>3006</v>
      </c>
      <c r="M32" s="3043" t="s">
        <v>3007</v>
      </c>
      <c r="N32" s="3043" t="s">
        <v>3008</v>
      </c>
      <c r="O32" s="3043" t="s">
        <v>3009</v>
      </c>
      <c r="P32" s="3043" t="s">
        <v>3010</v>
      </c>
      <c r="Q32" s="3044" t="s">
        <v>3011</v>
      </c>
      <c r="R32" s="3166" t="s">
        <v>3012</v>
      </c>
      <c r="S32" s="3115"/>
      <c r="T32" s="3034"/>
      <c r="U32" s="3034"/>
      <c r="V32" s="3142"/>
    </row>
    <row r="33" spans="1:23" s="3046" customFormat="1" ht="13.15" customHeight="1">
      <c r="A33" s="3124"/>
      <c r="B33" s="3125"/>
      <c r="C33" s="3126"/>
      <c r="D33" s="3167"/>
      <c r="E33" s="3168"/>
      <c r="F33" s="3129"/>
      <c r="G33" s="3123"/>
      <c r="H33" s="3151"/>
      <c r="I33" s="3142"/>
      <c r="J33" s="3722" t="s">
        <v>3015</v>
      </c>
      <c r="K33" s="3723"/>
      <c r="L33" s="3049"/>
      <c r="M33" s="3049"/>
      <c r="N33" s="3049"/>
      <c r="O33" s="3049"/>
      <c r="P33" s="3049"/>
      <c r="Q33" s="3050"/>
      <c r="R33" s="3169">
        <f>SUM(L33:Q33)</f>
        <v>0</v>
      </c>
      <c r="S33" s="3115"/>
      <c r="T33" s="3034"/>
      <c r="U33" s="3034"/>
      <c r="V33" s="3042"/>
    </row>
    <row r="34" spans="1:23" s="3046" customFormat="1" ht="13.15" customHeight="1">
      <c r="A34" s="3124">
        <v>5</v>
      </c>
      <c r="B34" s="3125" t="s">
        <v>3114</v>
      </c>
      <c r="C34" s="3170"/>
      <c r="D34" s="3171"/>
      <c r="E34" s="3172"/>
      <c r="F34" s="3129"/>
      <c r="G34" s="3123"/>
      <c r="H34" s="3151"/>
      <c r="I34" s="3142"/>
      <c r="J34" s="3722" t="s">
        <v>3017</v>
      </c>
      <c r="K34" s="3723"/>
      <c r="L34" s="3054"/>
      <c r="M34" s="3054"/>
      <c r="N34" s="3054"/>
      <c r="O34" s="3054"/>
      <c r="P34" s="3054"/>
      <c r="Q34" s="3055"/>
      <c r="R34" s="3173">
        <f>SUM(L34:Q34)</f>
        <v>0</v>
      </c>
      <c r="S34" s="3115"/>
      <c r="T34" s="3034"/>
      <c r="U34" s="3034" t="e">
        <f>ROUND(R35*10000/365/R33,1)</f>
        <v>#DIV/0!</v>
      </c>
      <c r="V34" s="3042"/>
    </row>
    <row r="35" spans="1:23" s="3046" customFormat="1" ht="13.15" customHeight="1">
      <c r="A35" s="3124">
        <v>6</v>
      </c>
      <c r="B35" s="3125" t="s">
        <v>3115</v>
      </c>
      <c r="C35" s="3174"/>
      <c r="D35" s="3175"/>
      <c r="E35" s="3176"/>
      <c r="F35" s="3129"/>
      <c r="G35" s="3177"/>
      <c r="H35" s="3041"/>
      <c r="I35" s="3142"/>
      <c r="J35" s="3060" t="s">
        <v>3019</v>
      </c>
      <c r="K35" s="3061"/>
      <c r="L35" s="3061"/>
      <c r="M35" s="3062"/>
      <c r="N35" s="3062"/>
      <c r="O35" s="3062"/>
      <c r="P35" s="3062"/>
      <c r="Q35" s="3062"/>
      <c r="R35" s="3178">
        <f>R40+R41+R43</f>
        <v>0</v>
      </c>
      <c r="S35" s="3115"/>
      <c r="T35" s="3034" t="s">
        <v>3020</v>
      </c>
      <c r="U35" s="3034"/>
      <c r="V35" s="3042"/>
    </row>
    <row r="36" spans="1:23" s="3046" customFormat="1" ht="13.15" customHeight="1" thickBot="1">
      <c r="A36" s="3124">
        <v>7</v>
      </c>
      <c r="B36" s="3179" t="s">
        <v>3116</v>
      </c>
      <c r="C36" s="3180"/>
      <c r="D36" s="3181"/>
      <c r="E36" s="3182"/>
      <c r="F36" s="3183">
        <f>C36+D36+E36</f>
        <v>0</v>
      </c>
      <c r="G36" s="3123"/>
      <c r="H36" s="3041"/>
      <c r="I36" s="3042"/>
      <c r="J36" s="3714">
        <v>1</v>
      </c>
      <c r="K36" s="3715" t="s">
        <v>3117</v>
      </c>
      <c r="L36" s="3067"/>
      <c r="M36" s="3068"/>
      <c r="N36" s="3068"/>
      <c r="O36" s="3068"/>
      <c r="P36" s="3068"/>
      <c r="Q36" s="3068"/>
      <c r="R36" s="3051" t="s">
        <v>3029</v>
      </c>
      <c r="S36" s="3115"/>
      <c r="T36" s="3034" t="s">
        <v>3030</v>
      </c>
      <c r="U36" s="3034"/>
      <c r="V36" s="3042"/>
    </row>
    <row r="37" spans="1:23" s="3046" customFormat="1" ht="13.15" customHeight="1">
      <c r="A37" s="3124"/>
      <c r="B37" s="3125"/>
      <c r="C37" s="3125"/>
      <c r="D37" s="3125"/>
      <c r="E37" s="3125"/>
      <c r="F37" s="3129"/>
      <c r="G37" s="3123"/>
      <c r="H37" s="3041"/>
      <c r="I37" s="3042"/>
      <c r="J37" s="3714"/>
      <c r="K37" s="3716"/>
      <c r="L37" s="3076"/>
      <c r="M37" s="3077"/>
      <c r="N37" s="3053"/>
      <c r="O37" s="3078"/>
      <c r="P37" s="3078"/>
      <c r="Q37" s="3079"/>
      <c r="R37" s="3080"/>
      <c r="S37" s="3115"/>
      <c r="T37" s="3034" t="s">
        <v>3033</v>
      </c>
      <c r="U37" s="3034"/>
      <c r="V37" s="3042"/>
    </row>
    <row r="38" spans="1:23" s="3046" customFormat="1" ht="13.15" customHeight="1">
      <c r="A38" s="3124">
        <v>8</v>
      </c>
      <c r="B38" s="3125"/>
      <c r="C38" s="3082" t="e">
        <f>ROUND(C32*(1-((1+C35)/(1+C34))^C36)/(C34-C35),0)</f>
        <v>#DIV/0!</v>
      </c>
      <c r="D38" s="3082">
        <f>IF(D23=0,0,ROUND(D32*(1-((1+D35)/(1+D34))^D36)/(D34-D35),0))</f>
        <v>0</v>
      </c>
      <c r="E38" s="3082">
        <f>IF(E23=0,0,ROUND(E32*(1-((1+E35)/(1+E34))^E36)/(E34-E35),0))</f>
        <v>0</v>
      </c>
      <c r="F38" s="3129"/>
      <c r="G38" s="3123"/>
      <c r="H38" s="3041"/>
      <c r="I38" s="3042"/>
      <c r="J38" s="3714"/>
      <c r="K38" s="3716"/>
      <c r="L38" s="3076"/>
      <c r="M38" s="3077"/>
      <c r="N38" s="3053"/>
      <c r="O38" s="3078"/>
      <c r="P38" s="3078"/>
      <c r="Q38" s="3079"/>
      <c r="R38" s="3080"/>
      <c r="S38" s="3115"/>
      <c r="T38" s="3034" t="s">
        <v>3040</v>
      </c>
      <c r="U38" s="3034"/>
      <c r="V38" s="3042"/>
    </row>
    <row r="39" spans="1:23" s="3046" customFormat="1" ht="13.15" customHeight="1">
      <c r="A39" s="3124">
        <v>9</v>
      </c>
      <c r="B39" s="3125" t="s">
        <v>3118</v>
      </c>
      <c r="C39" s="3090" t="e">
        <f>C38</f>
        <v>#DIV/0!</v>
      </c>
      <c r="D39" s="3125">
        <f>D38/(1+D34)^C36</f>
        <v>0</v>
      </c>
      <c r="E39" s="3125">
        <f>E38/(1+E34)^(C36+D36)</f>
        <v>0</v>
      </c>
      <c r="F39" s="3129"/>
      <c r="G39" s="3184"/>
      <c r="H39" s="3041"/>
      <c r="I39" s="3042"/>
      <c r="J39" s="3714"/>
      <c r="K39" s="3716"/>
      <c r="L39" s="3076"/>
      <c r="M39" s="3077"/>
      <c r="N39" s="3053"/>
      <c r="O39" s="3078"/>
      <c r="P39" s="3078"/>
      <c r="Q39" s="3079"/>
      <c r="R39" s="3080"/>
      <c r="S39" s="3115"/>
      <c r="T39" s="3034"/>
      <c r="U39" s="3034"/>
      <c r="V39" s="3042"/>
    </row>
    <row r="40" spans="1:23" s="3046" customFormat="1" ht="13.15" customHeight="1">
      <c r="A40" s="3185">
        <v>10</v>
      </c>
      <c r="B40" s="3125" t="s">
        <v>3119</v>
      </c>
      <c r="C40" s="3186" t="e">
        <f>C39+D39+E39</f>
        <v>#DIV/0!</v>
      </c>
      <c r="D40" s="3187"/>
      <c r="E40" s="3187"/>
      <c r="F40" s="3188"/>
      <c r="G40" s="3123"/>
      <c r="H40" s="3041"/>
      <c r="I40" s="3042"/>
      <c r="J40" s="3714"/>
      <c r="K40" s="3717"/>
      <c r="L40" s="3096" t="s">
        <v>3058</v>
      </c>
      <c r="M40" s="3097"/>
      <c r="N40" s="3097"/>
      <c r="O40" s="3098"/>
      <c r="P40" s="3098"/>
      <c r="Q40" s="3099"/>
      <c r="R40" s="3045">
        <f>SUM(R37:R39)</f>
        <v>0</v>
      </c>
      <c r="S40" s="3115"/>
      <c r="T40" s="3034"/>
      <c r="U40" s="3034"/>
      <c r="V40" s="3042"/>
    </row>
    <row r="41" spans="1:23" s="3046" customFormat="1" ht="13.15" customHeight="1" thickBot="1">
      <c r="A41" s="3189">
        <v>11</v>
      </c>
      <c r="B41" s="3190" t="s">
        <v>3120</v>
      </c>
      <c r="C41" s="3190" t="e">
        <f>ROUND(C40*10000/B4,0)</f>
        <v>#DIV/0!</v>
      </c>
      <c r="D41" s="3191"/>
      <c r="E41" s="3191"/>
      <c r="F41" s="3192"/>
      <c r="G41" s="3193"/>
      <c r="H41" s="3041"/>
      <c r="I41" s="3042"/>
      <c r="J41" s="3137">
        <v>2</v>
      </c>
      <c r="K41" s="3138" t="s">
        <v>3098</v>
      </c>
      <c r="L41" s="3139"/>
      <c r="M41" s="3139"/>
      <c r="N41" s="3139"/>
      <c r="O41" s="3139"/>
      <c r="P41" s="3140"/>
      <c r="Q41" s="3141"/>
      <c r="R41" s="3112">
        <f>ROUND(R40*Q41,0)</f>
        <v>0</v>
      </c>
      <c r="S41" s="3115"/>
      <c r="T41" s="3034"/>
      <c r="U41" s="3149"/>
      <c r="V41" s="3042"/>
    </row>
    <row r="42" spans="1:23" s="3046" customFormat="1" ht="13.15" customHeight="1">
      <c r="G42" s="3193"/>
      <c r="H42" s="3041"/>
      <c r="I42" s="3042"/>
      <c r="J42" s="3718">
        <v>3</v>
      </c>
      <c r="K42" s="3144" t="s">
        <v>3100</v>
      </c>
      <c r="L42" s="3145"/>
      <c r="M42" s="3146"/>
      <c r="N42" s="3147" t="s">
        <v>3101</v>
      </c>
      <c r="O42" s="3147" t="s">
        <v>3102</v>
      </c>
      <c r="P42" s="3148" t="s">
        <v>3103</v>
      </c>
      <c r="Q42" s="3148" t="s">
        <v>3104</v>
      </c>
      <c r="R42" s="3051" t="s">
        <v>3029</v>
      </c>
      <c r="S42" s="3149"/>
      <c r="T42" s="3149"/>
      <c r="U42" s="3034"/>
      <c r="V42" s="3042"/>
    </row>
    <row r="43" spans="1:23" ht="13.15" customHeight="1">
      <c r="A43" s="3046"/>
      <c r="B43" s="3046"/>
      <c r="C43" s="3046"/>
      <c r="D43" s="3046"/>
      <c r="E43" s="3046"/>
      <c r="F43" s="3046"/>
      <c r="I43" s="3029"/>
      <c r="J43" s="3719"/>
      <c r="K43" s="3152"/>
      <c r="L43" s="3153"/>
      <c r="M43" s="3154"/>
      <c r="N43" s="3077"/>
      <c r="O43" s="3077"/>
      <c r="P43" s="3077"/>
      <c r="Q43" s="3141"/>
      <c r="R43" s="3112">
        <f>ROUND(O43*N43*P43*(1-Q43)/10000,0)</f>
        <v>0</v>
      </c>
      <c r="S43" s="3115"/>
      <c r="T43" s="3034"/>
      <c r="V43" s="3195"/>
      <c r="W43" s="3196"/>
    </row>
    <row r="44" spans="1:23" ht="13.15" customHeight="1" thickBot="1">
      <c r="J44" s="3157">
        <v>6</v>
      </c>
      <c r="K44" s="3158" t="s">
        <v>3107</v>
      </c>
      <c r="L44" s="3197" t="s">
        <v>3108</v>
      </c>
      <c r="M44" s="3160"/>
      <c r="N44" s="3197" t="s">
        <v>3109</v>
      </c>
      <c r="O44" s="3160"/>
      <c r="P44" s="3197" t="s">
        <v>3110</v>
      </c>
      <c r="Q44" s="3162">
        <v>1.4999999999999999E-2</v>
      </c>
      <c r="R44" s="31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C37" zoomScale="80" zoomScaleNormal="60" zoomScaleSheetLayoutView="80" workbookViewId="0">
      <selection activeCell="K24" sqref="K2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2289</v>
      </c>
      <c r="C1" s="1374" t="s">
        <v>2290</v>
      </c>
      <c r="D1" s="1361"/>
      <c r="E1" s="2507"/>
      <c r="F1" s="2030" t="s">
        <v>3271</v>
      </c>
      <c r="G1" s="1371" t="s">
        <v>2291</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t="e">
        <f ca="1">IF(C2="——",ROUND(C49*D3/10000,0),ROUND(C49*D3/10000,0)-D2)</f>
        <v>#REF!</v>
      </c>
      <c r="C2" s="2032"/>
      <c r="D2" s="1243" t="e">
        <f ca="1">SUMIF(INDIRECT("'"&amp;F2&amp;"'"&amp;"!A:A"),"承租人权益价值",INDIRECT("'"&amp;F2&amp;"'"&amp;"!c:c"))</f>
        <v>#REF!</v>
      </c>
      <c r="E2" s="2033" t="s">
        <v>2292</v>
      </c>
      <c r="F2" s="2034"/>
      <c r="G2" s="1034"/>
      <c r="H2" s="1034"/>
      <c r="I2" s="1034"/>
      <c r="J2" s="1034"/>
      <c r="K2" s="2035"/>
      <c r="L2" s="2904"/>
      <c r="M2" s="2905"/>
      <c r="N2" s="2905"/>
      <c r="O2" s="2905"/>
      <c r="P2" s="2036"/>
      <c r="Q2" s="2037"/>
      <c r="R2" s="2037"/>
      <c r="S2" s="2037"/>
      <c r="T2" s="2037"/>
      <c r="U2" s="2037"/>
      <c r="V2" s="2037"/>
      <c r="W2" s="2037"/>
      <c r="X2" s="2037"/>
      <c r="Y2" s="2037"/>
      <c r="Z2" s="2037"/>
      <c r="AA2" s="2037"/>
      <c r="AB2" s="2037"/>
      <c r="AC2" s="2038"/>
    </row>
    <row r="3" spans="1:29" s="353" customFormat="1" ht="28.5" customHeight="1" thickBot="1">
      <c r="A3" s="209" t="s">
        <v>1300</v>
      </c>
      <c r="B3" s="359" t="e">
        <f ca="1">IF(C2="——",C49,ROUND(B2*10000/D3,0))</f>
        <v>#REF!</v>
      </c>
      <c r="C3" s="360" t="s">
        <v>2293</v>
      </c>
      <c r="D3" s="359">
        <f>IF(D1="",'数据-汇总表'!E3,SUMIF('数据-汇总表'!$C19:$C33,D1,'数据-汇总表'!$E19:$E33))</f>
        <v>63823.659999999953</v>
      </c>
      <c r="E3" s="1034"/>
      <c r="F3" s="2039"/>
      <c r="G3" s="1034"/>
      <c r="H3" s="1034"/>
      <c r="I3" s="1034"/>
      <c r="J3" s="1034"/>
      <c r="K3" s="2035"/>
      <c r="L3" s="2904"/>
      <c r="M3" s="2905"/>
      <c r="N3" s="2905"/>
      <c r="O3" s="2905"/>
      <c r="P3" s="2036"/>
      <c r="Q3" s="2037"/>
      <c r="R3" s="2037"/>
      <c r="S3" s="2037"/>
      <c r="T3" s="2037"/>
      <c r="U3" s="2037"/>
      <c r="V3" s="2037"/>
      <c r="W3" s="2037"/>
      <c r="X3" s="2037"/>
      <c r="Y3" s="2037"/>
      <c r="Z3" s="2037"/>
      <c r="AA3" s="2037"/>
      <c r="AB3" s="2037"/>
      <c r="AC3" s="1188"/>
    </row>
    <row r="4" spans="1:29" ht="15">
      <c r="A4" s="361" t="s">
        <v>2294</v>
      </c>
      <c r="B4" s="362"/>
      <c r="C4" s="3751" t="s">
        <v>2295</v>
      </c>
      <c r="D4" s="3752"/>
      <c r="E4" s="3753" t="s">
        <v>2296</v>
      </c>
      <c r="F4" s="3754"/>
      <c r="G4" s="3751" t="s">
        <v>2297</v>
      </c>
      <c r="H4" s="3752"/>
      <c r="I4" s="3751" t="s">
        <v>2298</v>
      </c>
      <c r="J4" s="3752"/>
      <c r="K4" s="2040" t="s">
        <v>2299</v>
      </c>
      <c r="L4" s="2906"/>
      <c r="M4" s="2907"/>
      <c r="N4" s="2907"/>
      <c r="O4" s="2907"/>
      <c r="P4" s="3755" t="s">
        <v>2300</v>
      </c>
      <c r="Q4" s="3756"/>
      <c r="R4" s="3761" t="s">
        <v>2296</v>
      </c>
      <c r="S4" s="3762"/>
      <c r="T4" s="3761" t="s">
        <v>2297</v>
      </c>
      <c r="U4" s="3762"/>
      <c r="V4" s="3767" t="s">
        <v>2298</v>
      </c>
      <c r="W4" s="3767"/>
      <c r="X4" s="1505"/>
      <c r="Y4" s="3761" t="s">
        <v>2300</v>
      </c>
      <c r="Z4" s="3762"/>
      <c r="AA4" s="3748" t="s">
        <v>2296</v>
      </c>
      <c r="AB4" s="3748" t="s">
        <v>2297</v>
      </c>
      <c r="AC4" s="3748" t="s">
        <v>2298</v>
      </c>
    </row>
    <row r="5" spans="1:29" ht="15">
      <c r="A5" s="364"/>
      <c r="B5" s="365"/>
      <c r="C5" s="3770" t="s">
        <v>3351</v>
      </c>
      <c r="D5" s="3771"/>
      <c r="E5" s="3777" t="s">
        <v>3352</v>
      </c>
      <c r="F5" s="3778"/>
      <c r="G5" s="3770" t="s">
        <v>3353</v>
      </c>
      <c r="H5" s="3771"/>
      <c r="I5" s="3770" t="s">
        <v>3354</v>
      </c>
      <c r="J5" s="3771"/>
      <c r="K5" s="2041"/>
      <c r="L5" s="2906"/>
      <c r="M5" s="2907"/>
      <c r="N5" s="2907"/>
      <c r="O5" s="2907"/>
      <c r="P5" s="3757"/>
      <c r="Q5" s="3758"/>
      <c r="R5" s="3763"/>
      <c r="S5" s="3764"/>
      <c r="T5" s="3763"/>
      <c r="U5" s="3764"/>
      <c r="V5" s="3767"/>
      <c r="W5" s="3767"/>
      <c r="X5" s="1505"/>
      <c r="Y5" s="3763"/>
      <c r="Z5" s="3764"/>
      <c r="AA5" s="3749"/>
      <c r="AB5" s="3749"/>
      <c r="AC5" s="3749"/>
    </row>
    <row r="6" spans="1:29" ht="15.75" thickBot="1">
      <c r="A6" s="366"/>
      <c r="B6" s="367"/>
      <c r="C6" s="3768" t="s">
        <v>2305</v>
      </c>
      <c r="D6" s="3769"/>
      <c r="E6" s="3775" t="s">
        <v>2305</v>
      </c>
      <c r="F6" s="3776"/>
      <c r="G6" s="3768" t="s">
        <v>2305</v>
      </c>
      <c r="H6" s="3769"/>
      <c r="I6" s="3768" t="s">
        <v>2305</v>
      </c>
      <c r="J6" s="3769"/>
      <c r="K6" s="2041" t="s">
        <v>2306</v>
      </c>
      <c r="L6" s="2906"/>
      <c r="M6" s="2907"/>
      <c r="N6" s="2907"/>
      <c r="O6" s="2907"/>
      <c r="P6" s="3759"/>
      <c r="Q6" s="3760"/>
      <c r="R6" s="3763"/>
      <c r="S6" s="3764"/>
      <c r="T6" s="3765"/>
      <c r="U6" s="3766"/>
      <c r="V6" s="3767"/>
      <c r="W6" s="3767"/>
      <c r="X6" s="1505"/>
      <c r="Y6" s="3765"/>
      <c r="Z6" s="3766"/>
      <c r="AA6" s="3750"/>
      <c r="AB6" s="3750"/>
      <c r="AC6" s="3750"/>
    </row>
    <row r="7" spans="1:29" s="113" customFormat="1" ht="15.75" thickBot="1">
      <c r="A7" s="368" t="s">
        <v>2307</v>
      </c>
      <c r="B7" s="369"/>
      <c r="C7" s="370">
        <f>'数据-取费表'!B2</f>
        <v>44652</v>
      </c>
      <c r="D7" s="371">
        <v>100</v>
      </c>
      <c r="E7" s="372">
        <v>44531</v>
      </c>
      <c r="F7" s="373">
        <f>SUMIF(58:58,YEAR(E7)&amp;"-"&amp;MONTH(E7),59:59)</f>
        <v>99.5</v>
      </c>
      <c r="G7" s="372">
        <v>44531</v>
      </c>
      <c r="H7" s="371">
        <f>SUMIF(58:58,YEAR(G7)&amp;"-"&amp;MONTH(G7),59:59)</f>
        <v>99.5</v>
      </c>
      <c r="I7" s="372">
        <v>44531</v>
      </c>
      <c r="J7" s="371">
        <f>SUMIF(58:58,YEAR(I7)&amp;"-"&amp;MONTH(I7),59:59)</f>
        <v>99.5</v>
      </c>
      <c r="K7" s="2042"/>
      <c r="L7" s="2908"/>
      <c r="M7" s="2909"/>
      <c r="N7" s="2909"/>
      <c r="O7" s="2909"/>
      <c r="P7" s="3772" t="s">
        <v>2308</v>
      </c>
      <c r="Q7" s="3774"/>
      <c r="R7" s="710" t="s">
        <v>23</v>
      </c>
      <c r="S7" s="711">
        <f t="shared" ref="S7:S15" si="0">F7</f>
        <v>99.5</v>
      </c>
      <c r="T7" s="710" t="s">
        <v>23</v>
      </c>
      <c r="U7" s="711">
        <f t="shared" ref="U7:U15" si="1">H7</f>
        <v>99.5</v>
      </c>
      <c r="V7" s="710" t="s">
        <v>23</v>
      </c>
      <c r="W7" s="711">
        <f t="shared" ref="W7:W15" si="2">J7</f>
        <v>99.5</v>
      </c>
      <c r="X7" s="712"/>
      <c r="Y7" s="3772" t="s">
        <v>2308</v>
      </c>
      <c r="Z7" s="3773"/>
      <c r="AA7" s="713">
        <f>D7/F7</f>
        <v>1.0050251256281406</v>
      </c>
      <c r="AB7" s="713">
        <f>D7/H7</f>
        <v>1.0050251256281406</v>
      </c>
      <c r="AC7" s="713">
        <f>D7/J7</f>
        <v>1.0050251256281406</v>
      </c>
    </row>
    <row r="8" spans="1:29" s="113" customFormat="1" ht="15.75" thickBot="1">
      <c r="A8" s="368" t="s">
        <v>2309</v>
      </c>
      <c r="B8" s="369"/>
      <c r="C8" s="374" t="s">
        <v>2310</v>
      </c>
      <c r="D8" s="371">
        <v>100</v>
      </c>
      <c r="E8" s="2043" t="s">
        <v>3355</v>
      </c>
      <c r="F8" s="373">
        <f>SUMIF(61:61,E8,62:62)-SUMIF(61:61,C8,62:62)+100</f>
        <v>100</v>
      </c>
      <c r="G8" s="374" t="s">
        <v>3355</v>
      </c>
      <c r="H8" s="371">
        <f>SUMIF(61:61,G8,62:62)-SUMIF(61:61,C8,62:62)+100</f>
        <v>100</v>
      </c>
      <c r="I8" s="2043" t="s">
        <v>3355</v>
      </c>
      <c r="J8" s="371">
        <f>SUMIF(61:61,I8,62:62)-SUMIF(61:61,C8,62:62)+100</f>
        <v>100</v>
      </c>
      <c r="K8" s="2042"/>
      <c r="L8" s="2908"/>
      <c r="M8" s="2909"/>
      <c r="N8" s="2909"/>
      <c r="O8" s="2909"/>
      <c r="P8" s="3772" t="s">
        <v>2311</v>
      </c>
      <c r="Q8" s="3773"/>
      <c r="R8" s="710" t="s">
        <v>23</v>
      </c>
      <c r="S8" s="711">
        <f t="shared" si="0"/>
        <v>100</v>
      </c>
      <c r="T8" s="710" t="s">
        <v>23</v>
      </c>
      <c r="U8" s="711">
        <f t="shared" si="1"/>
        <v>100</v>
      </c>
      <c r="V8" s="710" t="s">
        <v>23</v>
      </c>
      <c r="W8" s="711">
        <f t="shared" si="2"/>
        <v>100</v>
      </c>
      <c r="X8" s="712"/>
      <c r="Y8" s="3772" t="s">
        <v>2311</v>
      </c>
      <c r="Z8" s="3773"/>
      <c r="AA8" s="713">
        <f t="shared" ref="AA8:AA19" si="3">D8/F8</f>
        <v>1</v>
      </c>
      <c r="AB8" s="713">
        <f t="shared" ref="AB8:AB19" si="4">D8/H8</f>
        <v>1</v>
      </c>
      <c r="AC8" s="713">
        <f t="shared" ref="AC8:AC19" si="5">D8/J8</f>
        <v>1</v>
      </c>
    </row>
    <row r="9" spans="1:29" s="113" customFormat="1" ht="15">
      <c r="A9" s="375" t="s">
        <v>2312</v>
      </c>
      <c r="B9" s="67" t="s">
        <v>2313</v>
      </c>
      <c r="C9" s="3324" t="s">
        <v>3356</v>
      </c>
      <c r="D9" s="131">
        <v>100</v>
      </c>
      <c r="E9" s="377" t="s">
        <v>3357</v>
      </c>
      <c r="F9" s="378">
        <f>SUMIF(63:63,E9,64:64)-SUMIF(63:63,C9,64:64)+100</f>
        <v>102</v>
      </c>
      <c r="G9" s="377" t="s">
        <v>3357</v>
      </c>
      <c r="H9" s="131">
        <f>SUMIF(63:63,G9,64:64)-SUMIF(63:63,C9,64:64)+100</f>
        <v>102</v>
      </c>
      <c r="I9" s="377" t="s">
        <v>3357</v>
      </c>
      <c r="J9" s="131">
        <f>SUMIF(63:63,I9,64:64)-SUMIF(63:63,C9,64:64)+100</f>
        <v>102</v>
      </c>
      <c r="K9" s="2042"/>
      <c r="L9" s="2908"/>
      <c r="M9" s="2909"/>
      <c r="N9" s="2909"/>
      <c r="O9" s="2909"/>
      <c r="P9" s="3747" t="s">
        <v>2314</v>
      </c>
      <c r="Q9" s="1493" t="str">
        <f t="shared" ref="Q9:Q15" si="6">B9</f>
        <v>用途</v>
      </c>
      <c r="R9" s="710" t="s">
        <v>17</v>
      </c>
      <c r="S9" s="711">
        <f t="shared" si="0"/>
        <v>102</v>
      </c>
      <c r="T9" s="710" t="s">
        <v>17</v>
      </c>
      <c r="U9" s="711">
        <f t="shared" si="1"/>
        <v>102</v>
      </c>
      <c r="V9" s="710" t="s">
        <v>17</v>
      </c>
      <c r="W9" s="711">
        <f t="shared" si="2"/>
        <v>102</v>
      </c>
      <c r="X9" s="712"/>
      <c r="Y9" s="3608" t="s">
        <v>2315</v>
      </c>
      <c r="Z9" s="55" t="str">
        <f t="shared" ref="Z9:Z15" si="7">Q9</f>
        <v>用途</v>
      </c>
      <c r="AA9" s="713">
        <f t="shared" si="3"/>
        <v>0.98039215686274506</v>
      </c>
      <c r="AB9" s="713">
        <f t="shared" si="4"/>
        <v>0.98039215686274506</v>
      </c>
      <c r="AC9" s="713">
        <f t="shared" si="5"/>
        <v>0.98039215686274506</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0"/>
      <c r="M10" s="2911"/>
      <c r="N10" s="2911"/>
      <c r="O10" s="2911"/>
      <c r="P10" s="3747"/>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713">
        <f t="shared" si="5"/>
        <v>1</v>
      </c>
    </row>
    <row r="11" spans="1:29" ht="15">
      <c r="A11" s="387"/>
      <c r="B11" s="381" t="s">
        <v>2317</v>
      </c>
      <c r="C11" s="388"/>
      <c r="D11" s="132">
        <v>100</v>
      </c>
      <c r="E11" s="389"/>
      <c r="F11" s="384">
        <f>LOOKUP(E11,68:68,69:69)-LOOKUP(C11,68:68,69:69)+100</f>
        <v>100</v>
      </c>
      <c r="G11" s="388"/>
      <c r="H11" s="132">
        <f>LOOKUP(G11,68:68,69:69)-LOOKUP(C11,68:68,69:69)+100</f>
        <v>100</v>
      </c>
      <c r="I11" s="388"/>
      <c r="J11" s="132">
        <f>LOOKUP(I11,68:68,69:69)-LOOKUP(C11,68:68,69:69)+100</f>
        <v>100</v>
      </c>
      <c r="K11" s="385"/>
      <c r="L11" s="2912"/>
      <c r="M11" s="2907"/>
      <c r="N11" s="2907"/>
      <c r="O11" s="2907"/>
      <c r="P11" s="3747"/>
      <c r="Q11" s="1493" t="str">
        <f t="shared" si="6"/>
        <v>容积率</v>
      </c>
      <c r="R11" s="710" t="s">
        <v>21</v>
      </c>
      <c r="S11" s="711">
        <f t="shared" si="0"/>
        <v>100</v>
      </c>
      <c r="T11" s="710" t="s">
        <v>21</v>
      </c>
      <c r="U11" s="711">
        <f t="shared" si="1"/>
        <v>100</v>
      </c>
      <c r="V11" s="710" t="s">
        <v>21</v>
      </c>
      <c r="W11" s="711">
        <f t="shared" si="2"/>
        <v>100</v>
      </c>
      <c r="X11" s="712"/>
      <c r="Y11" s="3608"/>
      <c r="Z11" s="55" t="str">
        <f t="shared" si="7"/>
        <v>容积率</v>
      </c>
      <c r="AA11" s="713">
        <f t="shared" si="3"/>
        <v>1</v>
      </c>
      <c r="AB11" s="713">
        <f t="shared" si="4"/>
        <v>1</v>
      </c>
      <c r="AC11" s="713">
        <f t="shared" si="5"/>
        <v>1</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908"/>
      <c r="M12" s="2909"/>
      <c r="N12" s="2909"/>
      <c r="O12" s="2909"/>
      <c r="P12" s="3747"/>
      <c r="Q12" s="1493">
        <f t="shared" si="6"/>
        <v>111</v>
      </c>
      <c r="R12" s="710" t="s">
        <v>21</v>
      </c>
      <c r="S12" s="711">
        <f t="shared" si="0"/>
        <v>100</v>
      </c>
      <c r="T12" s="710" t="s">
        <v>21</v>
      </c>
      <c r="U12" s="711">
        <f t="shared" si="1"/>
        <v>100</v>
      </c>
      <c r="V12" s="710" t="s">
        <v>21</v>
      </c>
      <c r="W12" s="711">
        <f t="shared" si="2"/>
        <v>100</v>
      </c>
      <c r="X12" s="712"/>
      <c r="Y12" s="3608"/>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913"/>
      <c r="M13" s="2907"/>
      <c r="N13" s="2907"/>
      <c r="O13" s="2907"/>
      <c r="P13" s="3747"/>
      <c r="Q13" s="1493">
        <f t="shared" si="6"/>
        <v>111</v>
      </c>
      <c r="R13" s="710" t="s">
        <v>21</v>
      </c>
      <c r="S13" s="711">
        <f t="shared" si="0"/>
        <v>100</v>
      </c>
      <c r="T13" s="710" t="s">
        <v>21</v>
      </c>
      <c r="U13" s="711">
        <f t="shared" si="1"/>
        <v>100</v>
      </c>
      <c r="V13" s="710" t="s">
        <v>21</v>
      </c>
      <c r="W13" s="711">
        <f t="shared" si="2"/>
        <v>100</v>
      </c>
      <c r="X13" s="712"/>
      <c r="Y13" s="3608"/>
      <c r="Z13" s="55">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913"/>
      <c r="M14" s="2907"/>
      <c r="N14" s="2907"/>
      <c r="O14" s="2907"/>
      <c r="P14" s="3747"/>
      <c r="Q14" s="1493">
        <f t="shared" si="6"/>
        <v>111</v>
      </c>
      <c r="R14" s="710" t="s">
        <v>21</v>
      </c>
      <c r="S14" s="711">
        <f t="shared" si="0"/>
        <v>100</v>
      </c>
      <c r="T14" s="710" t="s">
        <v>21</v>
      </c>
      <c r="U14" s="711">
        <f t="shared" si="1"/>
        <v>100</v>
      </c>
      <c r="V14" s="710" t="s">
        <v>21</v>
      </c>
      <c r="W14" s="711">
        <f t="shared" si="2"/>
        <v>100</v>
      </c>
      <c r="X14" s="712"/>
      <c r="Y14" s="3608"/>
      <c r="Z14" s="55">
        <f t="shared" si="7"/>
        <v>111</v>
      </c>
      <c r="AA14" s="713">
        <f t="shared" si="3"/>
        <v>1</v>
      </c>
      <c r="AB14" s="713">
        <f t="shared" si="4"/>
        <v>1</v>
      </c>
      <c r="AC14" s="713">
        <f t="shared" si="5"/>
        <v>1</v>
      </c>
    </row>
    <row r="15" spans="1:29" ht="104.25" customHeight="1">
      <c r="A15" s="399" t="s">
        <v>2318</v>
      </c>
      <c r="B15" s="65" t="s">
        <v>1882</v>
      </c>
      <c r="C15" s="2047" t="str">
        <f>估价对象房地状况!C3</f>
        <v>周边2公里内有南平里、南平东里、南竺园、天竺家园、蓝海苑、蓝天苑、燕翔西里等居住项目项目，房屋出租使用率较高，居住环境、小区规模较适宜，居住社区成熟度较好。</v>
      </c>
      <c r="D15" s="400">
        <v>100</v>
      </c>
      <c r="E15" s="403"/>
      <c r="F15" s="400">
        <f>SUMIF(76:76,E16,77:77)-SUMIF(76:76,C16,77:77)+100</f>
        <v>100</v>
      </c>
      <c r="G15" s="401"/>
      <c r="H15" s="400">
        <f>SUMIF(76:76,G16,77:77)-SUMIF(76:76,C16,77:77)+100</f>
        <v>100</v>
      </c>
      <c r="I15" s="401"/>
      <c r="J15" s="400">
        <f>SUMIF(76:76,I16,77:77)-SUMIF(76:76,C16,77:77)+100</f>
        <v>100</v>
      </c>
      <c r="K15" s="404">
        <v>2</v>
      </c>
      <c r="L15" s="2913"/>
      <c r="M15" s="2907"/>
      <c r="N15" s="2907"/>
      <c r="O15" s="2907"/>
      <c r="P15" s="3745" t="s">
        <v>2319</v>
      </c>
      <c r="Q15" s="1502" t="str">
        <f t="shared" si="6"/>
        <v>居住社区成熟度</v>
      </c>
      <c r="R15" s="714" t="s">
        <v>21</v>
      </c>
      <c r="S15" s="715">
        <f t="shared" si="0"/>
        <v>100</v>
      </c>
      <c r="T15" s="714" t="s">
        <v>21</v>
      </c>
      <c r="U15" s="715">
        <f t="shared" si="1"/>
        <v>100</v>
      </c>
      <c r="V15" s="714" t="s">
        <v>21</v>
      </c>
      <c r="W15" s="715">
        <f t="shared" si="2"/>
        <v>100</v>
      </c>
      <c r="X15" s="1505"/>
      <c r="Y15" s="3738" t="s">
        <v>2319</v>
      </c>
      <c r="Z15" s="1506" t="str">
        <f t="shared" si="7"/>
        <v>居住社区成熟度</v>
      </c>
      <c r="AA15" s="1503">
        <f t="shared" si="3"/>
        <v>1</v>
      </c>
      <c r="AB15" s="1503">
        <f t="shared" si="4"/>
        <v>1</v>
      </c>
      <c r="AC15" s="1503">
        <f t="shared" si="5"/>
        <v>1</v>
      </c>
    </row>
    <row r="16" spans="1:29" ht="15">
      <c r="A16" s="387"/>
      <c r="B16" s="405"/>
      <c r="C16" s="406" t="s">
        <v>3272</v>
      </c>
      <c r="D16" s="407"/>
      <c r="E16" s="406" t="s">
        <v>3272</v>
      </c>
      <c r="F16" s="407"/>
      <c r="G16" s="406" t="s">
        <v>3272</v>
      </c>
      <c r="H16" s="409"/>
      <c r="I16" s="406" t="s">
        <v>3272</v>
      </c>
      <c r="J16" s="407"/>
      <c r="K16" s="2050"/>
      <c r="L16" s="2913"/>
      <c r="M16" s="2907"/>
      <c r="N16" s="2907"/>
      <c r="O16" s="2907"/>
      <c r="P16" s="3746"/>
      <c r="Q16" s="1502"/>
      <c r="R16" s="714"/>
      <c r="S16" s="715"/>
      <c r="T16" s="714"/>
      <c r="U16" s="715"/>
      <c r="V16" s="714"/>
      <c r="W16" s="715"/>
      <c r="X16" s="1505"/>
      <c r="Y16" s="3739"/>
      <c r="Z16" s="1506"/>
      <c r="AA16" s="1503">
        <v>1</v>
      </c>
      <c r="AB16" s="1503">
        <v>1</v>
      </c>
      <c r="AC16" s="1503">
        <v>1</v>
      </c>
    </row>
    <row r="17" spans="1:29" ht="105.75" customHeight="1">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SUMIF(78:78,E18,79:79)-SUMIF(78:78,C18,79:79)+100</f>
        <v>102</v>
      </c>
      <c r="G17" s="411"/>
      <c r="H17" s="414">
        <f>SUMIF(78:78,G18,79:79)-SUMIF(78:78,C18,79:79)+100</f>
        <v>102</v>
      </c>
      <c r="I17" s="411"/>
      <c r="J17" s="414">
        <f>SUMIF(78:78,I18,79:79)-SUMIF(78:78,C18,79:79)+100</f>
        <v>102</v>
      </c>
      <c r="K17" s="404">
        <v>2</v>
      </c>
      <c r="L17" s="2913"/>
      <c r="M17" s="2907"/>
      <c r="N17" s="2907"/>
      <c r="O17" s="2907"/>
      <c r="P17" s="3746"/>
      <c r="Q17" s="1502" t="str">
        <f>B17</f>
        <v>交通便捷度</v>
      </c>
      <c r="R17" s="714" t="s">
        <v>21</v>
      </c>
      <c r="S17" s="715">
        <f>F17</f>
        <v>102</v>
      </c>
      <c r="T17" s="714" t="s">
        <v>21</v>
      </c>
      <c r="U17" s="715">
        <f>H17</f>
        <v>102</v>
      </c>
      <c r="V17" s="714" t="s">
        <v>21</v>
      </c>
      <c r="W17" s="715">
        <f>J17</f>
        <v>102</v>
      </c>
      <c r="X17" s="1505"/>
      <c r="Y17" s="3739"/>
      <c r="Z17" s="1506" t="str">
        <f>Q17</f>
        <v>交通便捷度</v>
      </c>
      <c r="AA17" s="1503">
        <f t="shared" si="3"/>
        <v>0.98039215686274506</v>
      </c>
      <c r="AB17" s="1503">
        <f t="shared" si="4"/>
        <v>0.98039215686274506</v>
      </c>
      <c r="AC17" s="1503">
        <f t="shared" si="5"/>
        <v>0.98039215686274506</v>
      </c>
    </row>
    <row r="18" spans="1:29" ht="15">
      <c r="A18" s="387"/>
      <c r="B18" s="415"/>
      <c r="C18" s="2052" t="s">
        <v>3273</v>
      </c>
      <c r="D18" s="409"/>
      <c r="E18" s="2053" t="s">
        <v>3272</v>
      </c>
      <c r="F18" s="409"/>
      <c r="G18" s="2053" t="s">
        <v>3272</v>
      </c>
      <c r="H18" s="407"/>
      <c r="I18" s="2053" t="s">
        <v>3272</v>
      </c>
      <c r="J18" s="407"/>
      <c r="K18" s="2050"/>
      <c r="L18" s="2913"/>
      <c r="M18" s="2907"/>
      <c r="N18" s="2907"/>
      <c r="O18" s="2907"/>
      <c r="P18" s="3746"/>
      <c r="Q18" s="1502"/>
      <c r="R18" s="714"/>
      <c r="S18" s="715"/>
      <c r="T18" s="714"/>
      <c r="U18" s="715"/>
      <c r="V18" s="714"/>
      <c r="W18" s="715"/>
      <c r="X18" s="1505"/>
      <c r="Y18" s="3739"/>
      <c r="Z18" s="1506"/>
      <c r="AA18" s="1503">
        <v>1</v>
      </c>
      <c r="AB18" s="1503">
        <v>1</v>
      </c>
      <c r="AC18" s="1503">
        <v>1</v>
      </c>
    </row>
    <row r="19" spans="1:29" ht="76.5" customHeight="1">
      <c r="A19" s="387"/>
      <c r="B19" s="410" t="s">
        <v>1883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SUMIF(80:80,E20,81:81)-SUMIF(80:80,C20,81:81)+100</f>
        <v>100</v>
      </c>
      <c r="G19" s="416"/>
      <c r="H19" s="409">
        <f>SUMIF(80:80,G20,81:81)-SUMIF(80:80,C20,81:81)+100</f>
        <v>100</v>
      </c>
      <c r="I19" s="416"/>
      <c r="J19" s="409">
        <f>SUMIF(80:80,I20,81:81)-SUMIF(80:80,C20,81:81)+100</f>
        <v>100</v>
      </c>
      <c r="K19" s="404">
        <v>2</v>
      </c>
      <c r="L19" s="2913"/>
      <c r="M19" s="2907"/>
      <c r="N19" s="2907"/>
      <c r="O19" s="2907"/>
      <c r="P19" s="3746"/>
      <c r="Q19" s="1502" t="str">
        <f>B19</f>
        <v>公共配套设施</v>
      </c>
      <c r="R19" s="714" t="s">
        <v>21</v>
      </c>
      <c r="S19" s="715">
        <f>F19</f>
        <v>100</v>
      </c>
      <c r="T19" s="714" t="s">
        <v>21</v>
      </c>
      <c r="U19" s="715">
        <f>H19</f>
        <v>100</v>
      </c>
      <c r="V19" s="714" t="s">
        <v>21</v>
      </c>
      <c r="W19" s="715">
        <f>J19</f>
        <v>100</v>
      </c>
      <c r="X19" s="1505"/>
      <c r="Y19" s="3739"/>
      <c r="Z19" s="1506" t="str">
        <f>Q19</f>
        <v>公共配套设施</v>
      </c>
      <c r="AA19" s="1503">
        <f t="shared" si="3"/>
        <v>1</v>
      </c>
      <c r="AB19" s="1503">
        <f t="shared" si="4"/>
        <v>1</v>
      </c>
      <c r="AC19" s="1503">
        <f t="shared" si="5"/>
        <v>1</v>
      </c>
    </row>
    <row r="20" spans="1:29" ht="15">
      <c r="A20" s="387"/>
      <c r="B20" s="415"/>
      <c r="C20" s="406" t="s">
        <v>3272</v>
      </c>
      <c r="D20" s="407"/>
      <c r="E20" s="406" t="s">
        <v>3272</v>
      </c>
      <c r="F20" s="407"/>
      <c r="G20" s="406" t="s">
        <v>3272</v>
      </c>
      <c r="H20" s="407"/>
      <c r="I20" s="406" t="s">
        <v>3272</v>
      </c>
      <c r="J20" s="407"/>
      <c r="K20" s="2050"/>
      <c r="L20" s="2913"/>
      <c r="M20" s="2907"/>
      <c r="N20" s="2907"/>
      <c r="O20" s="2907"/>
      <c r="P20" s="3746"/>
      <c r="Q20" s="1502"/>
      <c r="R20" s="714"/>
      <c r="S20" s="715"/>
      <c r="T20" s="714"/>
      <c r="U20" s="715"/>
      <c r="V20" s="714"/>
      <c r="W20" s="715"/>
      <c r="X20" s="1505"/>
      <c r="Y20" s="3739"/>
      <c r="Z20" s="1506"/>
      <c r="AA20" s="1503">
        <v>1</v>
      </c>
      <c r="AB20" s="1503">
        <v>1</v>
      </c>
      <c r="AC20" s="1503">
        <v>1</v>
      </c>
    </row>
    <row r="21" spans="1:29" ht="28.5">
      <c r="A21" s="387"/>
      <c r="B21" s="1261" t="s">
        <v>1885</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913"/>
      <c r="M21" s="2907"/>
      <c r="N21" s="2907"/>
      <c r="O21" s="2907"/>
      <c r="P21" s="3746"/>
      <c r="Q21" s="1502" t="str">
        <f>B21</f>
        <v>基础设施水平</v>
      </c>
      <c r="R21" s="714" t="s">
        <v>17</v>
      </c>
      <c r="S21" s="715">
        <f>F21</f>
        <v>100</v>
      </c>
      <c r="T21" s="714" t="s">
        <v>17</v>
      </c>
      <c r="U21" s="715">
        <f>H21</f>
        <v>100</v>
      </c>
      <c r="V21" s="714" t="s">
        <v>17</v>
      </c>
      <c r="W21" s="715">
        <f>J21</f>
        <v>100</v>
      </c>
      <c r="X21" s="1505"/>
      <c r="Y21" s="3739"/>
      <c r="Z21" s="1506" t="str">
        <f>Q21</f>
        <v>基础设施水平</v>
      </c>
      <c r="AA21" s="1503">
        <f t="shared" ref="AA21" si="8">D21/F21</f>
        <v>1</v>
      </c>
      <c r="AB21" s="1503">
        <f t="shared" ref="AB21" si="9">D21/H21</f>
        <v>1</v>
      </c>
      <c r="AC21" s="1503">
        <f t="shared" ref="AC21" si="10">D21/J21</f>
        <v>1</v>
      </c>
    </row>
    <row r="22" spans="1:29" ht="15">
      <c r="A22" s="387"/>
      <c r="B22" s="1261"/>
      <c r="C22" s="2052" t="s">
        <v>3274</v>
      </c>
      <c r="D22" s="407"/>
      <c r="E22" s="2052" t="s">
        <v>3274</v>
      </c>
      <c r="F22" s="407"/>
      <c r="G22" s="2052" t="s">
        <v>3274</v>
      </c>
      <c r="H22" s="407"/>
      <c r="I22" s="2052" t="s">
        <v>3274</v>
      </c>
      <c r="J22" s="407"/>
      <c r="K22" s="2056"/>
      <c r="L22" s="2913"/>
      <c r="M22" s="2907"/>
      <c r="N22" s="2907"/>
      <c r="O22" s="2907"/>
      <c r="P22" s="3746"/>
      <c r="Q22" s="1502"/>
      <c r="R22" s="714"/>
      <c r="S22" s="715"/>
      <c r="T22" s="714"/>
      <c r="U22" s="715"/>
      <c r="V22" s="714"/>
      <c r="W22" s="715"/>
      <c r="X22" s="1505"/>
      <c r="Y22" s="3739"/>
      <c r="Z22" s="1506"/>
      <c r="AA22" s="1503">
        <v>1</v>
      </c>
      <c r="AB22" s="1503">
        <v>1</v>
      </c>
      <c r="AC22" s="1503">
        <v>1</v>
      </c>
    </row>
    <row r="23" spans="1:29" ht="77.25" customHeight="1">
      <c r="A23" s="387"/>
      <c r="B23" s="410" t="s">
        <v>1886</v>
      </c>
      <c r="C23" s="2051" t="str">
        <f>估价对象房地状况!C9</f>
        <v>自然环境有西湖园、社区文化公园等自然景观；人文环境无；距离北京首都国际机场1.5公里，机场噪音大，综合评价环境状况较差。</v>
      </c>
      <c r="D23" s="409">
        <v>100</v>
      </c>
      <c r="E23" s="413"/>
      <c r="F23" s="409">
        <f>SUMIF(84:84,E24,85:85)-SUMIF(84:84,C24,85:85)+100</f>
        <v>101</v>
      </c>
      <c r="G23" s="411"/>
      <c r="H23" s="409">
        <f>SUMIF(84:84,G24,85:85)-SUMIF(84:84,C24,85:85)+100</f>
        <v>102</v>
      </c>
      <c r="I23" s="411"/>
      <c r="J23" s="409">
        <f>SUMIF(84:84,I24,85:85)-SUMIF(84:84,C24,85:85)+100</f>
        <v>102</v>
      </c>
      <c r="K23" s="404">
        <v>1</v>
      </c>
      <c r="L23" s="2913"/>
      <c r="M23" s="2907"/>
      <c r="N23" s="2907"/>
      <c r="O23" s="2907"/>
      <c r="P23" s="3746"/>
      <c r="Q23" s="1502" t="str">
        <f>B23</f>
        <v>自然及人文环境</v>
      </c>
      <c r="R23" s="714" t="s">
        <v>21</v>
      </c>
      <c r="S23" s="715">
        <f>F23</f>
        <v>101</v>
      </c>
      <c r="T23" s="714" t="s">
        <v>21</v>
      </c>
      <c r="U23" s="715">
        <f>H23</f>
        <v>102</v>
      </c>
      <c r="V23" s="714" t="s">
        <v>21</v>
      </c>
      <c r="W23" s="715">
        <f>J23</f>
        <v>102</v>
      </c>
      <c r="X23" s="1505"/>
      <c r="Y23" s="3739"/>
      <c r="Z23" s="1506" t="str">
        <f>Q23</f>
        <v>自然及人文环境</v>
      </c>
      <c r="AA23" s="1503">
        <f>D23/F23</f>
        <v>0.99009900990099009</v>
      </c>
      <c r="AB23" s="1503">
        <f>D23/H23</f>
        <v>0.98039215686274506</v>
      </c>
      <c r="AC23" s="1503">
        <f>D23/J23</f>
        <v>0.98039215686274506</v>
      </c>
    </row>
    <row r="24" spans="1:29" ht="15">
      <c r="A24" s="387"/>
      <c r="B24" s="415"/>
      <c r="C24" s="406" t="s">
        <v>3460</v>
      </c>
      <c r="D24" s="407"/>
      <c r="E24" s="2048" t="s">
        <v>3273</v>
      </c>
      <c r="F24" s="407"/>
      <c r="G24" s="2048" t="s">
        <v>3272</v>
      </c>
      <c r="H24" s="407"/>
      <c r="I24" s="2048" t="s">
        <v>3272</v>
      </c>
      <c r="J24" s="407"/>
      <c r="K24" s="2050"/>
      <c r="L24" s="2913"/>
      <c r="M24" s="2907"/>
      <c r="N24" s="2907"/>
      <c r="O24" s="2907"/>
      <c r="P24" s="3746"/>
      <c r="Q24" s="1502"/>
      <c r="R24" s="714"/>
      <c r="S24" s="715"/>
      <c r="T24" s="714"/>
      <c r="U24" s="715"/>
      <c r="V24" s="714"/>
      <c r="W24" s="715"/>
      <c r="X24" s="1505"/>
      <c r="Y24" s="3739"/>
      <c r="Z24" s="1506"/>
      <c r="AA24" s="1503">
        <v>1</v>
      </c>
      <c r="AB24" s="1503">
        <v>1</v>
      </c>
      <c r="AC24" s="1503">
        <v>1</v>
      </c>
    </row>
    <row r="25" spans="1:29" ht="15">
      <c r="A25" s="387"/>
      <c r="B25" s="381" t="s">
        <v>2320</v>
      </c>
      <c r="C25" s="419"/>
      <c r="D25" s="394">
        <v>100</v>
      </c>
      <c r="E25" s="2057"/>
      <c r="F25" s="394">
        <f>SUMIF(86:86,E25,87:87)-SUMIF(86:86,C25,87:87)+100</f>
        <v>100</v>
      </c>
      <c r="G25" s="2058"/>
      <c r="H25" s="394">
        <f>SUMIF(86:86,G25,87:87)-SUMIF(86:86,C25,87:87)+100</f>
        <v>100</v>
      </c>
      <c r="I25" s="2058"/>
      <c r="J25" s="394">
        <f>SUMIF(86:86,I25,87:87)-SUMIF(86:86,C25,87:87)+100</f>
        <v>100</v>
      </c>
      <c r="K25" s="385"/>
      <c r="L25" s="2913"/>
      <c r="M25" s="2907"/>
      <c r="N25" s="2907"/>
      <c r="O25" s="2907"/>
      <c r="P25" s="3746"/>
      <c r="Q25" s="1502" t="str">
        <f t="shared" ref="Q25:Q46" si="11">B25</f>
        <v>楼层-1</v>
      </c>
      <c r="R25" s="714" t="s">
        <v>21</v>
      </c>
      <c r="S25" s="715">
        <f t="shared" ref="S25:S46" si="12">F25</f>
        <v>100</v>
      </c>
      <c r="T25" s="714" t="s">
        <v>21</v>
      </c>
      <c r="U25" s="715">
        <f t="shared" ref="U25:U46" si="13">H25</f>
        <v>100</v>
      </c>
      <c r="V25" s="714" t="s">
        <v>21</v>
      </c>
      <c r="W25" s="715">
        <f t="shared" ref="W25:W46" si="14">J25</f>
        <v>100</v>
      </c>
      <c r="X25" s="1505"/>
      <c r="Y25" s="3739"/>
      <c r="Z25" s="1506" t="str">
        <f>Q25</f>
        <v>楼层-1</v>
      </c>
      <c r="AA25" s="1503">
        <f t="shared" ref="AA25:AA46" si="15">D25/F25</f>
        <v>1</v>
      </c>
      <c r="AB25" s="1503">
        <f t="shared" ref="AB25:AB46" si="16">D25/H25</f>
        <v>1</v>
      </c>
      <c r="AC25" s="1503">
        <f t="shared" ref="AC25:AC46" si="17">D25/J25</f>
        <v>1</v>
      </c>
    </row>
    <row r="26" spans="1:29" ht="15">
      <c r="A26" s="387"/>
      <c r="B26" s="381" t="s">
        <v>2321</v>
      </c>
      <c r="C26" s="419"/>
      <c r="D26" s="394">
        <v>100</v>
      </c>
      <c r="E26" s="2057"/>
      <c r="F26" s="394">
        <f>SUMIF(88:88,E26,89:89)-SUMIF(88:88,C26,89:89)+100</f>
        <v>100</v>
      </c>
      <c r="G26" s="2058"/>
      <c r="H26" s="394">
        <f>SUMIF(88:88,G26,89:89)-SUMIF(88:88,C26,89:89)+100</f>
        <v>100</v>
      </c>
      <c r="I26" s="2058"/>
      <c r="J26" s="394">
        <f>SUMIF(88:88,I26,89:89)-SUMIF(88:88,C26,89:89)+100</f>
        <v>100</v>
      </c>
      <c r="K26" s="385"/>
      <c r="L26" s="2913"/>
      <c r="M26" s="2907"/>
      <c r="N26" s="2907"/>
      <c r="O26" s="2907"/>
      <c r="P26" s="3746"/>
      <c r="Q26" s="1502" t="str">
        <f t="shared" si="11"/>
        <v>朝向</v>
      </c>
      <c r="R26" s="714" t="s">
        <v>21</v>
      </c>
      <c r="S26" s="715">
        <f t="shared" si="12"/>
        <v>100</v>
      </c>
      <c r="T26" s="714" t="s">
        <v>21</v>
      </c>
      <c r="U26" s="715">
        <f t="shared" si="13"/>
        <v>100</v>
      </c>
      <c r="V26" s="714" t="s">
        <v>21</v>
      </c>
      <c r="W26" s="715">
        <f t="shared" si="14"/>
        <v>100</v>
      </c>
      <c r="X26" s="1505"/>
      <c r="Y26" s="3739"/>
      <c r="Z26" s="1506" t="str">
        <f>Q26</f>
        <v>朝向</v>
      </c>
      <c r="AA26" s="1503">
        <f t="shared" si="15"/>
        <v>1</v>
      </c>
      <c r="AB26" s="1503">
        <f t="shared" si="16"/>
        <v>1</v>
      </c>
      <c r="AC26" s="1503">
        <f t="shared" si="17"/>
        <v>1</v>
      </c>
    </row>
    <row r="27" spans="1:29" s="113" customFormat="1" ht="27">
      <c r="A27" s="390"/>
      <c r="B27" s="1263">
        <v>111</v>
      </c>
      <c r="C27" s="3371" t="s">
        <v>3454</v>
      </c>
      <c r="D27" s="421">
        <v>100</v>
      </c>
      <c r="E27" s="3371" t="s">
        <v>3454</v>
      </c>
      <c r="F27" s="421">
        <f>SUMIF(90:90,E27,91:91)-SUMIF(90:90,C27,91:91)+100</f>
        <v>100</v>
      </c>
      <c r="G27" s="3372" t="s">
        <v>3455</v>
      </c>
      <c r="H27" s="421">
        <f>SUMIF(90:90,G27,91:91)-SUMIF(90:90,C27,91:91)+100</f>
        <v>100</v>
      </c>
      <c r="I27" s="3372" t="s">
        <v>3456</v>
      </c>
      <c r="J27" s="421">
        <f>SUMIF(90:90,I27,91:91)-SUMIF(90:90,C27,91:91)+100</f>
        <v>100</v>
      </c>
      <c r="K27" s="2045"/>
      <c r="L27" s="2908"/>
      <c r="M27" s="2909"/>
      <c r="N27" s="2909"/>
      <c r="O27" s="2909"/>
      <c r="P27" s="3746"/>
      <c r="Q27" s="1493">
        <f t="shared" si="11"/>
        <v>111</v>
      </c>
      <c r="R27" s="710" t="s">
        <v>21</v>
      </c>
      <c r="S27" s="711">
        <f t="shared" si="12"/>
        <v>100</v>
      </c>
      <c r="T27" s="710" t="s">
        <v>21</v>
      </c>
      <c r="U27" s="711">
        <f t="shared" si="13"/>
        <v>100</v>
      </c>
      <c r="V27" s="710" t="s">
        <v>21</v>
      </c>
      <c r="W27" s="711">
        <f t="shared" si="14"/>
        <v>100</v>
      </c>
      <c r="X27" s="712"/>
      <c r="Y27" s="3739"/>
      <c r="Z27" s="55">
        <f>Q27</f>
        <v>111</v>
      </c>
      <c r="AA27" s="1503">
        <f t="shared" si="15"/>
        <v>1</v>
      </c>
      <c r="AB27" s="1503">
        <f t="shared" si="16"/>
        <v>1</v>
      </c>
      <c r="AC27" s="1503">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913"/>
      <c r="M28" s="2907"/>
      <c r="N28" s="2907"/>
      <c r="O28" s="2907"/>
      <c r="P28" s="3746"/>
      <c r="Q28" s="1502">
        <f t="shared" si="11"/>
        <v>111</v>
      </c>
      <c r="R28" s="714" t="s">
        <v>21</v>
      </c>
      <c r="S28" s="715">
        <f t="shared" si="12"/>
        <v>100</v>
      </c>
      <c r="T28" s="714" t="s">
        <v>21</v>
      </c>
      <c r="U28" s="715">
        <f t="shared" si="13"/>
        <v>100</v>
      </c>
      <c r="V28" s="714" t="s">
        <v>21</v>
      </c>
      <c r="W28" s="715">
        <f t="shared" si="14"/>
        <v>100</v>
      </c>
      <c r="X28" s="1505"/>
      <c r="Y28" s="3739"/>
      <c r="Z28" s="1506">
        <f t="shared" ref="Z28:Z46" si="18">Q28</f>
        <v>111</v>
      </c>
      <c r="AA28" s="1503">
        <f t="shared" si="15"/>
        <v>1</v>
      </c>
      <c r="AB28" s="1503">
        <f t="shared" si="16"/>
        <v>1</v>
      </c>
      <c r="AC28" s="1503">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913"/>
      <c r="M29" s="2907"/>
      <c r="N29" s="2907"/>
      <c r="O29" s="2907"/>
      <c r="P29" s="3746"/>
      <c r="Q29" s="1502">
        <f t="shared" si="11"/>
        <v>111</v>
      </c>
      <c r="R29" s="714" t="s">
        <v>21</v>
      </c>
      <c r="S29" s="715">
        <f t="shared" si="12"/>
        <v>100</v>
      </c>
      <c r="T29" s="714" t="s">
        <v>21</v>
      </c>
      <c r="U29" s="715">
        <f t="shared" si="13"/>
        <v>100</v>
      </c>
      <c r="V29" s="714" t="s">
        <v>21</v>
      </c>
      <c r="W29" s="715">
        <f t="shared" si="14"/>
        <v>100</v>
      </c>
      <c r="X29" s="1505"/>
      <c r="Y29" s="3739"/>
      <c r="Z29" s="1506">
        <f t="shared" si="18"/>
        <v>111</v>
      </c>
      <c r="AA29" s="1503">
        <f t="shared" si="15"/>
        <v>1</v>
      </c>
      <c r="AB29" s="1503">
        <f t="shared" si="16"/>
        <v>1</v>
      </c>
      <c r="AC29" s="1503">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913"/>
      <c r="M30" s="2907"/>
      <c r="N30" s="2907"/>
      <c r="O30" s="2907"/>
      <c r="P30" s="3746"/>
      <c r="Q30" s="1502">
        <f t="shared" si="11"/>
        <v>111</v>
      </c>
      <c r="R30" s="714" t="s">
        <v>21</v>
      </c>
      <c r="S30" s="715">
        <f t="shared" si="12"/>
        <v>100</v>
      </c>
      <c r="T30" s="714" t="s">
        <v>21</v>
      </c>
      <c r="U30" s="715">
        <f t="shared" si="13"/>
        <v>100</v>
      </c>
      <c r="V30" s="714" t="s">
        <v>21</v>
      </c>
      <c r="W30" s="715">
        <f t="shared" si="14"/>
        <v>100</v>
      </c>
      <c r="X30" s="1505"/>
      <c r="Y30" s="3739"/>
      <c r="Z30" s="1506">
        <f t="shared" si="18"/>
        <v>111</v>
      </c>
      <c r="AA30" s="1503">
        <f t="shared" si="15"/>
        <v>1</v>
      </c>
      <c r="AB30" s="1503">
        <f t="shared" si="16"/>
        <v>1</v>
      </c>
      <c r="AC30" s="1503">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913"/>
      <c r="M31" s="2907"/>
      <c r="N31" s="2907"/>
      <c r="O31" s="2907"/>
      <c r="P31" s="3746"/>
      <c r="Q31" s="1502">
        <f t="shared" si="11"/>
        <v>111</v>
      </c>
      <c r="R31" s="714" t="s">
        <v>21</v>
      </c>
      <c r="S31" s="715">
        <f t="shared" si="12"/>
        <v>100</v>
      </c>
      <c r="T31" s="714" t="s">
        <v>21</v>
      </c>
      <c r="U31" s="715">
        <f t="shared" si="13"/>
        <v>100</v>
      </c>
      <c r="V31" s="714" t="s">
        <v>21</v>
      </c>
      <c r="W31" s="715">
        <f t="shared" si="14"/>
        <v>100</v>
      </c>
      <c r="X31" s="1505"/>
      <c r="Y31" s="3739"/>
      <c r="Z31" s="1506">
        <f t="shared" si="18"/>
        <v>111</v>
      </c>
      <c r="AA31" s="1503">
        <f t="shared" si="15"/>
        <v>1</v>
      </c>
      <c r="AB31" s="1503">
        <f t="shared" si="16"/>
        <v>1</v>
      </c>
      <c r="AC31" s="1503">
        <f t="shared" si="17"/>
        <v>1</v>
      </c>
    </row>
    <row r="32" spans="1:29" ht="15">
      <c r="A32" s="399" t="s">
        <v>2322</v>
      </c>
      <c r="B32" s="67" t="s">
        <v>2323</v>
      </c>
      <c r="C32" s="2061" t="s">
        <v>3359</v>
      </c>
      <c r="D32" s="426">
        <v>100</v>
      </c>
      <c r="E32" s="2061" t="s">
        <v>3359</v>
      </c>
      <c r="F32" s="420">
        <f>SUMIF(100:100,E32,101:101)-SUMIF(100:100,C32,101:101)+100</f>
        <v>100</v>
      </c>
      <c r="G32" s="2061" t="s">
        <v>3359</v>
      </c>
      <c r="H32" s="426">
        <f>SUMIF(100:100,G32,101:101)-SUMIF(100:100,C32,101:101)+100</f>
        <v>100</v>
      </c>
      <c r="I32" s="2061" t="s">
        <v>3359</v>
      </c>
      <c r="J32" s="394">
        <f>SUMIF(100:100,I32,101:101)-SUMIF(100:100,C32,101:101)+100</f>
        <v>100</v>
      </c>
      <c r="K32" s="385"/>
      <c r="L32" s="2913"/>
      <c r="M32" s="2907"/>
      <c r="N32" s="2907"/>
      <c r="O32" s="2907"/>
      <c r="P32" s="3740" t="s">
        <v>2324</v>
      </c>
      <c r="Q32" s="1502" t="str">
        <f t="shared" si="11"/>
        <v>建筑类型</v>
      </c>
      <c r="R32" s="714" t="s">
        <v>21</v>
      </c>
      <c r="S32" s="715">
        <f t="shared" si="12"/>
        <v>100</v>
      </c>
      <c r="T32" s="714" t="s">
        <v>21</v>
      </c>
      <c r="U32" s="715">
        <f t="shared" si="13"/>
        <v>100</v>
      </c>
      <c r="V32" s="714" t="s">
        <v>21</v>
      </c>
      <c r="W32" s="715">
        <f t="shared" si="14"/>
        <v>100</v>
      </c>
      <c r="X32" s="1505"/>
      <c r="Y32" s="3743" t="s">
        <v>2324</v>
      </c>
      <c r="Z32" s="1506" t="str">
        <f t="shared" si="18"/>
        <v>建筑类型</v>
      </c>
      <c r="AA32" s="1503">
        <f t="shared" si="15"/>
        <v>1</v>
      </c>
      <c r="AB32" s="1503">
        <f t="shared" si="16"/>
        <v>1</v>
      </c>
      <c r="AC32" s="1503">
        <f t="shared" si="17"/>
        <v>1</v>
      </c>
    </row>
    <row r="33" spans="1:29" s="430" customFormat="1" ht="15" hidden="1">
      <c r="A33" s="427"/>
      <c r="B33" s="381" t="s">
        <v>2325</v>
      </c>
      <c r="C33" s="428">
        <v>100</v>
      </c>
      <c r="D33" s="132">
        <v>100</v>
      </c>
      <c r="E33" s="428">
        <v>100</v>
      </c>
      <c r="F33" s="384">
        <f>LOOKUP(E33,103:103,104:104)-LOOKUP(C33,103:103,104:104)+100</f>
        <v>100</v>
      </c>
      <c r="G33" s="428">
        <v>100</v>
      </c>
      <c r="H33" s="132">
        <f>LOOKUP(G33,103:103,104:104)-LOOKUP(C33,103:103,104:104)+100</f>
        <v>100</v>
      </c>
      <c r="I33" s="428">
        <v>100</v>
      </c>
      <c r="J33" s="132">
        <f>LOOKUP(I33,103:103,104:104)-LOOKUP(C33,103:103,104:104)+100</f>
        <v>100</v>
      </c>
      <c r="K33" s="2045"/>
      <c r="L33" s="2912"/>
      <c r="M33" s="2914"/>
      <c r="N33" s="2914"/>
      <c r="O33" s="2914"/>
      <c r="P33" s="3741"/>
      <c r="Q33" s="716" t="str">
        <f t="shared" si="11"/>
        <v>项目建筑规模</v>
      </c>
      <c r="R33" s="717" t="s">
        <v>21</v>
      </c>
      <c r="S33" s="718">
        <f t="shared" si="12"/>
        <v>100</v>
      </c>
      <c r="T33" s="717" t="s">
        <v>21</v>
      </c>
      <c r="U33" s="718">
        <f t="shared" si="13"/>
        <v>100</v>
      </c>
      <c r="V33" s="717" t="s">
        <v>21</v>
      </c>
      <c r="W33" s="718">
        <f t="shared" si="14"/>
        <v>100</v>
      </c>
      <c r="X33" s="719"/>
      <c r="Y33" s="3743"/>
      <c r="Z33" s="720" t="str">
        <f t="shared" si="18"/>
        <v>项目建筑规模</v>
      </c>
      <c r="AA33" s="1503">
        <f t="shared" si="15"/>
        <v>1</v>
      </c>
      <c r="AB33" s="1503">
        <f t="shared" si="16"/>
        <v>1</v>
      </c>
      <c r="AC33" s="1503">
        <f t="shared" si="17"/>
        <v>1</v>
      </c>
    </row>
    <row r="34" spans="1:29" ht="15">
      <c r="A34" s="431"/>
      <c r="B34" s="381" t="s">
        <v>2326</v>
      </c>
      <c r="C34" s="2062" t="s">
        <v>3246</v>
      </c>
      <c r="D34" s="394">
        <v>100</v>
      </c>
      <c r="E34" s="2062" t="s">
        <v>3246</v>
      </c>
      <c r="F34" s="420">
        <f>SUMIF(105:105,E34,106:106)-SUMIF(105:105,C34,106:106)+100</f>
        <v>100</v>
      </c>
      <c r="G34" s="2062" t="s">
        <v>3246</v>
      </c>
      <c r="H34" s="394">
        <f>SUMIF(105:105,G34,106:106)-SUMIF(105:105,C34,106:106)+100</f>
        <v>100</v>
      </c>
      <c r="I34" s="2062" t="s">
        <v>3246</v>
      </c>
      <c r="J34" s="394">
        <f>SUMIF(105:105,I34,106:106)-SUMIF(105:105,C34,106:106)+100</f>
        <v>100</v>
      </c>
      <c r="K34" s="385"/>
      <c r="L34" s="2913"/>
      <c r="M34" s="2907"/>
      <c r="N34" s="2907"/>
      <c r="O34" s="2907"/>
      <c r="P34" s="3741"/>
      <c r="Q34" s="1502" t="str">
        <f t="shared" si="11"/>
        <v>建筑结构</v>
      </c>
      <c r="R34" s="714" t="s">
        <v>21</v>
      </c>
      <c r="S34" s="715">
        <f t="shared" si="12"/>
        <v>100</v>
      </c>
      <c r="T34" s="714" t="s">
        <v>21</v>
      </c>
      <c r="U34" s="715">
        <f t="shared" si="13"/>
        <v>100</v>
      </c>
      <c r="V34" s="714" t="s">
        <v>21</v>
      </c>
      <c r="W34" s="715">
        <f t="shared" si="14"/>
        <v>100</v>
      </c>
      <c r="X34" s="1505"/>
      <c r="Y34" s="3743"/>
      <c r="Z34" s="1506" t="str">
        <f t="shared" si="18"/>
        <v>建筑结构</v>
      </c>
      <c r="AA34" s="1503">
        <f t="shared" si="15"/>
        <v>1</v>
      </c>
      <c r="AB34" s="1503">
        <f t="shared" si="16"/>
        <v>1</v>
      </c>
      <c r="AC34" s="1503">
        <f t="shared" si="17"/>
        <v>1</v>
      </c>
    </row>
    <row r="35" spans="1:29" ht="15">
      <c r="A35" s="431"/>
      <c r="B35" s="381" t="s">
        <v>2327</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385"/>
      <c r="L35" s="2913"/>
      <c r="M35" s="2907"/>
      <c r="N35" s="2907"/>
      <c r="O35" s="2907"/>
      <c r="P35" s="3741"/>
      <c r="Q35" s="1502" t="str">
        <f t="shared" si="11"/>
        <v>建筑品质</v>
      </c>
      <c r="R35" s="714" t="s">
        <v>21</v>
      </c>
      <c r="S35" s="715">
        <f t="shared" si="12"/>
        <v>100</v>
      </c>
      <c r="T35" s="714" t="s">
        <v>21</v>
      </c>
      <c r="U35" s="715">
        <f t="shared" si="13"/>
        <v>100</v>
      </c>
      <c r="V35" s="714" t="s">
        <v>21</v>
      </c>
      <c r="W35" s="715">
        <f t="shared" si="14"/>
        <v>100</v>
      </c>
      <c r="X35" s="1505"/>
      <c r="Y35" s="3743"/>
      <c r="Z35" s="1506" t="str">
        <f t="shared" si="18"/>
        <v>建筑品质</v>
      </c>
      <c r="AA35" s="1503">
        <f t="shared" si="15"/>
        <v>1</v>
      </c>
      <c r="AB35" s="1503">
        <f t="shared" si="16"/>
        <v>1</v>
      </c>
      <c r="AC35" s="1503">
        <f t="shared" si="17"/>
        <v>1</v>
      </c>
    </row>
    <row r="36" spans="1:29" ht="15">
      <c r="A36" s="431"/>
      <c r="B36" s="381" t="s">
        <v>2328</v>
      </c>
      <c r="C36" s="2057" t="s">
        <v>3363</v>
      </c>
      <c r="D36" s="394">
        <v>100</v>
      </c>
      <c r="E36" s="2057" t="s">
        <v>3363</v>
      </c>
      <c r="F36" s="420">
        <f>SUMIF(109:109,E36,110:110)-SUMIF(109:109,C36,110:110)+100</f>
        <v>100</v>
      </c>
      <c r="G36" s="2057" t="s">
        <v>3363</v>
      </c>
      <c r="H36" s="394">
        <f>SUMIF(109:109,G36,110:110)-SUMIF(109:109,C36,110:110)+100</f>
        <v>100</v>
      </c>
      <c r="I36" s="2057" t="s">
        <v>3363</v>
      </c>
      <c r="J36" s="394">
        <f>SUMIF(109:109,I36,110:110)-SUMIF(109:109,C36,110:110)+100</f>
        <v>100</v>
      </c>
      <c r="K36" s="385"/>
      <c r="L36" s="2913"/>
      <c r="M36" s="2907"/>
      <c r="N36" s="2907"/>
      <c r="O36" s="2907"/>
      <c r="P36" s="3741"/>
      <c r="Q36" s="1502" t="str">
        <f t="shared" si="11"/>
        <v>公共部分装修</v>
      </c>
      <c r="R36" s="714" t="s">
        <v>21</v>
      </c>
      <c r="S36" s="715">
        <f t="shared" si="12"/>
        <v>100</v>
      </c>
      <c r="T36" s="714" t="s">
        <v>21</v>
      </c>
      <c r="U36" s="715">
        <f t="shared" si="13"/>
        <v>100</v>
      </c>
      <c r="V36" s="714" t="s">
        <v>21</v>
      </c>
      <c r="W36" s="715">
        <f t="shared" si="14"/>
        <v>100</v>
      </c>
      <c r="X36" s="1505"/>
      <c r="Y36" s="3743"/>
      <c r="Z36" s="1506" t="str">
        <f t="shared" si="18"/>
        <v>公共部分装修</v>
      </c>
      <c r="AA36" s="1503">
        <f t="shared" si="15"/>
        <v>1</v>
      </c>
      <c r="AB36" s="1503">
        <f t="shared" si="16"/>
        <v>1</v>
      </c>
      <c r="AC36" s="1503">
        <f t="shared" si="17"/>
        <v>1</v>
      </c>
    </row>
    <row r="37" spans="1:29" s="113" customFormat="1" ht="15">
      <c r="A37" s="432"/>
      <c r="B37" s="381" t="s">
        <v>2329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c r="L37" s="2908"/>
      <c r="M37" s="2909"/>
      <c r="N37" s="2909"/>
      <c r="O37" s="2909"/>
      <c r="P37" s="3741"/>
      <c r="Q37" s="1493" t="str">
        <f t="shared" si="11"/>
        <v>成新度</v>
      </c>
      <c r="R37" s="710" t="s">
        <v>21</v>
      </c>
      <c r="S37" s="711">
        <f t="shared" si="12"/>
        <v>100</v>
      </c>
      <c r="T37" s="710" t="s">
        <v>21</v>
      </c>
      <c r="U37" s="711">
        <f t="shared" si="13"/>
        <v>100</v>
      </c>
      <c r="V37" s="710" t="s">
        <v>21</v>
      </c>
      <c r="W37" s="711">
        <f t="shared" si="14"/>
        <v>100</v>
      </c>
      <c r="X37" s="712"/>
      <c r="Y37" s="3743"/>
      <c r="Z37" s="55" t="str">
        <f t="shared" si="18"/>
        <v>成新度</v>
      </c>
      <c r="AA37" s="713">
        <f t="shared" si="15"/>
        <v>1</v>
      </c>
      <c r="AB37" s="713">
        <f t="shared" si="16"/>
        <v>1</v>
      </c>
      <c r="AC37" s="713">
        <f t="shared" si="17"/>
        <v>1</v>
      </c>
    </row>
    <row r="38" spans="1:29" ht="15">
      <c r="A38" s="431"/>
      <c r="B38" s="381" t="s">
        <v>2330</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385"/>
      <c r="L38" s="2913"/>
      <c r="M38" s="2907"/>
      <c r="N38" s="2907"/>
      <c r="O38" s="2907"/>
      <c r="P38" s="3741" t="s">
        <v>2324</v>
      </c>
      <c r="Q38" s="1502" t="str">
        <f t="shared" si="11"/>
        <v>物业管理</v>
      </c>
      <c r="R38" s="714" t="s">
        <v>21</v>
      </c>
      <c r="S38" s="715">
        <f t="shared" si="12"/>
        <v>100</v>
      </c>
      <c r="T38" s="714" t="s">
        <v>21</v>
      </c>
      <c r="U38" s="715">
        <f t="shared" si="13"/>
        <v>100</v>
      </c>
      <c r="V38" s="714" t="s">
        <v>21</v>
      </c>
      <c r="W38" s="715">
        <f t="shared" si="14"/>
        <v>100</v>
      </c>
      <c r="X38" s="1505"/>
      <c r="Y38" s="3743" t="s">
        <v>2324</v>
      </c>
      <c r="Z38" s="1506" t="str">
        <f t="shared" si="18"/>
        <v>物业管理</v>
      </c>
      <c r="AA38" s="1503">
        <f t="shared" si="15"/>
        <v>1</v>
      </c>
      <c r="AB38" s="1503">
        <f t="shared" si="16"/>
        <v>1</v>
      </c>
      <c r="AC38" s="1503">
        <f t="shared" si="17"/>
        <v>1</v>
      </c>
    </row>
    <row r="39" spans="1:29" ht="15">
      <c r="A39" s="431"/>
      <c r="B39" s="381" t="s">
        <v>2331</v>
      </c>
      <c r="C39" s="2057" t="s">
        <v>3465</v>
      </c>
      <c r="D39" s="394">
        <v>100</v>
      </c>
      <c r="E39" s="2057" t="s">
        <v>3274</v>
      </c>
      <c r="F39" s="420">
        <f>SUMIF(116:116,E39,117:117)-SUMIF(116:116,C39,117:117)+100</f>
        <v>100.5</v>
      </c>
      <c r="G39" s="2057" t="s">
        <v>3274</v>
      </c>
      <c r="H39" s="394">
        <f>SUMIF(116:116,G39,117:117)-SUMIF(116:116,C39,117:117)+100</f>
        <v>100.5</v>
      </c>
      <c r="I39" s="2057" t="s">
        <v>3274</v>
      </c>
      <c r="J39" s="394">
        <f>SUMIF(116:116,I39,117:117)-SUMIF(116:116,C39,117:117)+100</f>
        <v>100.5</v>
      </c>
      <c r="K39" s="385">
        <v>0.5</v>
      </c>
      <c r="L39" s="3389" t="s">
        <v>3469</v>
      </c>
      <c r="M39" s="2907"/>
      <c r="N39" s="2907"/>
      <c r="O39" s="2907"/>
      <c r="P39" s="3741"/>
      <c r="Q39" s="1502" t="str">
        <f t="shared" si="11"/>
        <v>市政基础设施</v>
      </c>
      <c r="R39" s="714" t="s">
        <v>21</v>
      </c>
      <c r="S39" s="715">
        <f t="shared" si="12"/>
        <v>100.5</v>
      </c>
      <c r="T39" s="714" t="s">
        <v>21</v>
      </c>
      <c r="U39" s="715">
        <f t="shared" si="13"/>
        <v>100.5</v>
      </c>
      <c r="V39" s="714" t="s">
        <v>21</v>
      </c>
      <c r="W39" s="715">
        <f t="shared" si="14"/>
        <v>100.5</v>
      </c>
      <c r="X39" s="1505"/>
      <c r="Y39" s="3743"/>
      <c r="Z39" s="1506" t="str">
        <f t="shared" si="18"/>
        <v>市政基础设施</v>
      </c>
      <c r="AA39" s="1503">
        <f t="shared" si="15"/>
        <v>0.99502487562189057</v>
      </c>
      <c r="AB39" s="1503">
        <f t="shared" si="16"/>
        <v>0.99502487562189057</v>
      </c>
      <c r="AC39" s="1503">
        <f t="shared" si="17"/>
        <v>0.99502487562189057</v>
      </c>
    </row>
    <row r="40" spans="1:29" ht="15" hidden="1">
      <c r="A40" s="431"/>
      <c r="B40" s="381" t="s">
        <v>2332</v>
      </c>
      <c r="C40" s="2057" t="s">
        <v>3463</v>
      </c>
      <c r="D40" s="394">
        <v>100</v>
      </c>
      <c r="E40" s="2057" t="s">
        <v>3463</v>
      </c>
      <c r="F40" s="420">
        <f>SUMIF(118:118,E40,119:119)-SUMIF(118:118,C40,119:119)+100</f>
        <v>100</v>
      </c>
      <c r="G40" s="2057" t="s">
        <v>3463</v>
      </c>
      <c r="H40" s="394">
        <f>SUMIF(118:118,G40,119:119)-SUMIF(118:118,C40,119:119)+100</f>
        <v>100</v>
      </c>
      <c r="I40" s="2057" t="s">
        <v>3463</v>
      </c>
      <c r="J40" s="394">
        <f>SUMIF(118:118,I40,119:119)-SUMIF(118:118,C40,119:119)+100</f>
        <v>100</v>
      </c>
      <c r="K40" s="385"/>
      <c r="L40" s="2913"/>
      <c r="M40" s="2907"/>
      <c r="N40" s="2907"/>
      <c r="O40" s="2907"/>
      <c r="P40" s="3741"/>
      <c r="Q40" s="1502" t="str">
        <f t="shared" si="11"/>
        <v>房型</v>
      </c>
      <c r="R40" s="714" t="s">
        <v>21</v>
      </c>
      <c r="S40" s="715">
        <f t="shared" si="12"/>
        <v>100</v>
      </c>
      <c r="T40" s="714" t="s">
        <v>21</v>
      </c>
      <c r="U40" s="715">
        <f t="shared" si="13"/>
        <v>100</v>
      </c>
      <c r="V40" s="714" t="s">
        <v>21</v>
      </c>
      <c r="W40" s="715">
        <f t="shared" si="14"/>
        <v>100</v>
      </c>
      <c r="X40" s="1505"/>
      <c r="Y40" s="3743"/>
      <c r="Z40" s="1506" t="str">
        <f t="shared" si="18"/>
        <v>房型</v>
      </c>
      <c r="AA40" s="1503">
        <f t="shared" si="15"/>
        <v>1</v>
      </c>
      <c r="AB40" s="1503">
        <f t="shared" si="16"/>
        <v>1</v>
      </c>
      <c r="AC40" s="1503">
        <f t="shared" si="17"/>
        <v>1</v>
      </c>
    </row>
    <row r="41" spans="1:29" s="430" customFormat="1" ht="28.5" hidden="1">
      <c r="A41" s="427"/>
      <c r="B41" s="381" t="s">
        <v>2333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45"/>
      <c r="L41" s="2912"/>
      <c r="M41" s="2914"/>
      <c r="N41" s="2914"/>
      <c r="O41" s="2914"/>
      <c r="P41" s="3741"/>
      <c r="Q41" s="716" t="str">
        <f t="shared" si="11"/>
        <v>单套/主力户型建筑面积</v>
      </c>
      <c r="R41" s="717" t="s">
        <v>21</v>
      </c>
      <c r="S41" s="718">
        <f t="shared" si="12"/>
        <v>100</v>
      </c>
      <c r="T41" s="717" t="s">
        <v>21</v>
      </c>
      <c r="U41" s="718">
        <f t="shared" si="13"/>
        <v>100</v>
      </c>
      <c r="V41" s="717" t="s">
        <v>21</v>
      </c>
      <c r="W41" s="718">
        <f t="shared" si="14"/>
        <v>100</v>
      </c>
      <c r="X41" s="719"/>
      <c r="Y41" s="3743"/>
      <c r="Z41" s="720" t="str">
        <f t="shared" si="18"/>
        <v>单套/主力户型建筑面积</v>
      </c>
      <c r="AA41" s="1503">
        <f t="shared" si="15"/>
        <v>1</v>
      </c>
      <c r="AB41" s="1503">
        <f t="shared" si="16"/>
        <v>1</v>
      </c>
      <c r="AC41" s="1503">
        <f t="shared" si="17"/>
        <v>1</v>
      </c>
    </row>
    <row r="42" spans="1:29" ht="15">
      <c r="A42" s="431"/>
      <c r="B42" s="381" t="s">
        <v>2334</v>
      </c>
      <c r="C42" s="2057" t="s">
        <v>3365</v>
      </c>
      <c r="D42" s="394">
        <v>100</v>
      </c>
      <c r="E42" s="2057" t="s">
        <v>3365</v>
      </c>
      <c r="F42" s="420">
        <f>SUMIF(122:122,E42,123:123)-SUMIF(122:122,C42,123:123)+100</f>
        <v>100</v>
      </c>
      <c r="G42" s="2057" t="s">
        <v>3365</v>
      </c>
      <c r="H42" s="394">
        <f>SUMIF(122:122,G42,123:123)-SUMIF(122:122,C42,123:123)+100</f>
        <v>100</v>
      </c>
      <c r="I42" s="2057" t="s">
        <v>3365</v>
      </c>
      <c r="J42" s="394">
        <f>SUMIF(122:122,I42,123:123)-SUMIF(122:122,C42,123:123)+100</f>
        <v>100</v>
      </c>
      <c r="K42" s="385"/>
      <c r="L42" s="2913"/>
      <c r="M42" s="2907"/>
      <c r="N42" s="2907"/>
      <c r="O42" s="2907"/>
      <c r="P42" s="3741"/>
      <c r="Q42" s="1502" t="str">
        <f t="shared" si="11"/>
        <v>内部装修</v>
      </c>
      <c r="R42" s="714" t="s">
        <v>21</v>
      </c>
      <c r="S42" s="715">
        <f t="shared" si="12"/>
        <v>100</v>
      </c>
      <c r="T42" s="714" t="s">
        <v>21</v>
      </c>
      <c r="U42" s="715">
        <f t="shared" si="13"/>
        <v>100</v>
      </c>
      <c r="V42" s="714" t="s">
        <v>21</v>
      </c>
      <c r="W42" s="715">
        <f t="shared" si="14"/>
        <v>100</v>
      </c>
      <c r="X42" s="1505"/>
      <c r="Y42" s="3743"/>
      <c r="Z42" s="1506" t="str">
        <f t="shared" si="18"/>
        <v>内部装修</v>
      </c>
      <c r="AA42" s="1503">
        <f t="shared" si="15"/>
        <v>1</v>
      </c>
      <c r="AB42" s="1503">
        <f t="shared" si="16"/>
        <v>1</v>
      </c>
      <c r="AC42" s="1503">
        <f t="shared" si="17"/>
        <v>1</v>
      </c>
    </row>
    <row r="43" spans="1:29" ht="15">
      <c r="A43" s="431"/>
      <c r="B43" s="381" t="s">
        <v>2335</v>
      </c>
      <c r="C43" s="2057" t="s">
        <v>3272</v>
      </c>
      <c r="D43" s="394">
        <v>100</v>
      </c>
      <c r="E43" s="2057" t="s">
        <v>3272</v>
      </c>
      <c r="F43" s="420">
        <f>SUMIF(124:124,E43,125:125)-SUMIF(124:124,C43,125:125)+100</f>
        <v>100</v>
      </c>
      <c r="G43" s="2057" t="s">
        <v>3272</v>
      </c>
      <c r="H43" s="394">
        <f>SUMIF(124:124,G43,125:125)-SUMIF(124:124,C43,125:125)+100</f>
        <v>100</v>
      </c>
      <c r="I43" s="2057" t="s">
        <v>3272</v>
      </c>
      <c r="J43" s="394">
        <f>SUMIF(124:124,I43,125:125)-SUMIF(124:124,C43,125:125)+100</f>
        <v>100</v>
      </c>
      <c r="K43" s="385"/>
      <c r="L43" s="2913"/>
      <c r="M43" s="2907"/>
      <c r="N43" s="2907"/>
      <c r="O43" s="2907"/>
      <c r="P43" s="3741"/>
      <c r="Q43" s="1502" t="str">
        <f t="shared" si="11"/>
        <v>内部装修维护情况</v>
      </c>
      <c r="R43" s="714" t="s">
        <v>21</v>
      </c>
      <c r="S43" s="715">
        <f t="shared" si="12"/>
        <v>100</v>
      </c>
      <c r="T43" s="714" t="s">
        <v>21</v>
      </c>
      <c r="U43" s="715">
        <f t="shared" si="13"/>
        <v>100</v>
      </c>
      <c r="V43" s="714" t="s">
        <v>21</v>
      </c>
      <c r="W43" s="715">
        <f t="shared" si="14"/>
        <v>100</v>
      </c>
      <c r="X43" s="1505"/>
      <c r="Y43" s="3743"/>
      <c r="Z43" s="1506" t="str">
        <f t="shared" si="18"/>
        <v>内部装修维护情况</v>
      </c>
      <c r="AA43" s="1503">
        <f t="shared" si="15"/>
        <v>1</v>
      </c>
      <c r="AB43" s="1503">
        <f t="shared" si="16"/>
        <v>1</v>
      </c>
      <c r="AC43" s="1503">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908"/>
      <c r="M44" s="2909"/>
      <c r="N44" s="2909"/>
      <c r="O44" s="2909"/>
      <c r="P44" s="3741"/>
      <c r="Q44" s="1493">
        <f t="shared" si="11"/>
        <v>111</v>
      </c>
      <c r="R44" s="710" t="s">
        <v>21</v>
      </c>
      <c r="S44" s="711">
        <f t="shared" si="12"/>
        <v>100</v>
      </c>
      <c r="T44" s="710" t="s">
        <v>21</v>
      </c>
      <c r="U44" s="711">
        <f t="shared" si="13"/>
        <v>100</v>
      </c>
      <c r="V44" s="710" t="s">
        <v>21</v>
      </c>
      <c r="W44" s="711">
        <f t="shared" si="14"/>
        <v>100</v>
      </c>
      <c r="X44" s="712"/>
      <c r="Y44" s="3743"/>
      <c r="Z44" s="55">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913"/>
      <c r="M45" s="2907"/>
      <c r="N45" s="2907"/>
      <c r="O45" s="2907"/>
      <c r="P45" s="3741"/>
      <c r="Q45" s="1502">
        <f t="shared" si="11"/>
        <v>111</v>
      </c>
      <c r="R45" s="714" t="s">
        <v>21</v>
      </c>
      <c r="S45" s="715">
        <f t="shared" si="12"/>
        <v>100</v>
      </c>
      <c r="T45" s="714" t="s">
        <v>21</v>
      </c>
      <c r="U45" s="715">
        <f t="shared" si="13"/>
        <v>100</v>
      </c>
      <c r="V45" s="714" t="s">
        <v>21</v>
      </c>
      <c r="W45" s="715">
        <f t="shared" si="14"/>
        <v>100</v>
      </c>
      <c r="X45" s="1505"/>
      <c r="Y45" s="3743"/>
      <c r="Z45" s="1506">
        <f t="shared" si="18"/>
        <v>111</v>
      </c>
      <c r="AA45" s="1503">
        <f t="shared" si="15"/>
        <v>1</v>
      </c>
      <c r="AB45" s="1503">
        <f t="shared" si="16"/>
        <v>1</v>
      </c>
      <c r="AC45" s="1503">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913"/>
      <c r="M46" s="2907"/>
      <c r="N46" s="2907"/>
      <c r="O46" s="2907"/>
      <c r="P46" s="3742"/>
      <c r="Q46" s="1502">
        <f t="shared" si="11"/>
        <v>111</v>
      </c>
      <c r="R46" s="714" t="s">
        <v>20</v>
      </c>
      <c r="S46" s="715">
        <f t="shared" si="12"/>
        <v>100</v>
      </c>
      <c r="T46" s="714" t="s">
        <v>20</v>
      </c>
      <c r="U46" s="715">
        <f t="shared" si="13"/>
        <v>100</v>
      </c>
      <c r="V46" s="714" t="s">
        <v>20</v>
      </c>
      <c r="W46" s="715">
        <f t="shared" si="14"/>
        <v>100</v>
      </c>
      <c r="X46" s="1505"/>
      <c r="Y46" s="3744"/>
      <c r="Z46" s="1506">
        <f t="shared" si="18"/>
        <v>111</v>
      </c>
      <c r="AA46" s="1503">
        <f t="shared" si="15"/>
        <v>1</v>
      </c>
      <c r="AB46" s="1503">
        <f t="shared" si="16"/>
        <v>1</v>
      </c>
      <c r="AC46" s="1503">
        <f t="shared" si="17"/>
        <v>1</v>
      </c>
    </row>
    <row r="47" spans="1:29" ht="15">
      <c r="A47" s="438" t="s">
        <v>2336</v>
      </c>
      <c r="B47" s="439"/>
      <c r="C47" s="1284" t="s">
        <v>19</v>
      </c>
      <c r="D47" s="1285"/>
      <c r="E47" s="1286">
        <v>35</v>
      </c>
      <c r="F47" s="1287"/>
      <c r="G47" s="1288">
        <v>30</v>
      </c>
      <c r="H47" s="1289"/>
      <c r="I47" s="1286">
        <v>30</v>
      </c>
      <c r="J47" s="1289"/>
      <c r="K47" s="2063"/>
      <c r="L47" s="2915"/>
      <c r="M47" s="2916"/>
      <c r="N47" s="2907"/>
      <c r="O47" s="2916"/>
      <c r="P47" s="3736" t="str">
        <f>A47</f>
        <v>成交单价（元/平方米）</v>
      </c>
      <c r="Q47" s="3736"/>
      <c r="R47" s="3737">
        <f>E47</f>
        <v>35</v>
      </c>
      <c r="S47" s="3737"/>
      <c r="T47" s="3737">
        <f>G47</f>
        <v>30</v>
      </c>
      <c r="U47" s="3737"/>
      <c r="V47" s="3737">
        <f>I47</f>
        <v>30</v>
      </c>
      <c r="W47" s="3737"/>
      <c r="X47" s="699"/>
      <c r="Y47" s="721"/>
      <c r="Z47" s="699"/>
      <c r="AA47" s="699"/>
      <c r="AB47" s="699"/>
      <c r="AC47" s="699"/>
    </row>
    <row r="48" spans="1:29" ht="15.75" thickBot="1">
      <c r="A48" s="445" t="s">
        <v>2337</v>
      </c>
      <c r="B48" s="446"/>
      <c r="C48" s="1290">
        <f>R49</f>
        <v>30</v>
      </c>
      <c r="D48" s="2501" t="s">
        <v>2819</v>
      </c>
      <c r="E48" s="1291">
        <f>R48</f>
        <v>33.299999999999997</v>
      </c>
      <c r="F48" s="2502"/>
      <c r="G48" s="1290">
        <f>T48</f>
        <v>28.3</v>
      </c>
      <c r="H48" s="2502"/>
      <c r="I48" s="1291">
        <f>V48</f>
        <v>28.3</v>
      </c>
      <c r="J48" s="2502"/>
      <c r="K48" s="2503">
        <f>F48+H48+J48</f>
        <v>0</v>
      </c>
      <c r="L48" s="2915"/>
      <c r="M48" s="2916"/>
      <c r="N48" s="2916"/>
      <c r="O48" s="2916"/>
      <c r="P48" s="3736" t="str">
        <f>A48</f>
        <v>比较价值（元/平方米）</v>
      </c>
      <c r="Q48" s="3736"/>
      <c r="R48" s="3737">
        <f>IF(F1="售价",ROUND(PRODUCT(R47,AA7:AA46),0),ROUND(PRODUCT(R47,AA7:AA46),1))</f>
        <v>33.299999999999997</v>
      </c>
      <c r="S48" s="3737"/>
      <c r="T48" s="3737">
        <f>IF(F1="售价",ROUND(PRODUCT(T47,AB7:AB46),0),ROUND(PRODUCT(T47,AB7:AB46),1))</f>
        <v>28.3</v>
      </c>
      <c r="U48" s="3737"/>
      <c r="V48" s="3737">
        <f>IF(F1="售价",ROUND(PRODUCT(V47,AC7:AC46),0),ROUND(PRODUCT(V47,AC7:AC46),1))</f>
        <v>28.3</v>
      </c>
      <c r="W48" s="3737"/>
      <c r="X48" s="699"/>
      <c r="Y48" s="699"/>
      <c r="Z48" s="699"/>
      <c r="AA48" s="699"/>
      <c r="AB48" s="699"/>
      <c r="AC48" s="699"/>
    </row>
    <row r="49" spans="1:29" ht="15.75" thickBot="1">
      <c r="A49" s="449" t="s">
        <v>2338</v>
      </c>
      <c r="B49" s="450"/>
      <c r="C49" s="1292">
        <f>R49</f>
        <v>30</v>
      </c>
      <c r="D49" s="1293"/>
      <c r="E49" s="1293"/>
      <c r="F49" s="1293"/>
      <c r="G49" s="1293"/>
      <c r="H49" s="1293"/>
      <c r="I49" s="1293"/>
      <c r="J49" s="1293"/>
      <c r="K49" s="2064"/>
      <c r="L49" s="2915"/>
      <c r="M49" s="2916"/>
      <c r="N49" s="2916"/>
      <c r="O49" s="2916"/>
      <c r="P49" s="3733" t="str">
        <f>A49</f>
        <v>估价对象XX用房的比较价值（楼面单价，元/平方米）</v>
      </c>
      <c r="Q49" s="3734"/>
      <c r="R49" s="3735">
        <f>IF(F1="售价",ROUND(IF(D48="简单平均",AVERAGE(R48:V48),R48*F48+T48*H48+V48*J48),0),ROUND(IF(D48="简单平均",AVERAGE(R48:V48),R48*F48+T48*H48+V48*J48),1))</f>
        <v>30</v>
      </c>
      <c r="S49" s="3735"/>
      <c r="T49" s="3735"/>
      <c r="U49" s="3735"/>
      <c r="V49" s="3735"/>
      <c r="W49" s="3735"/>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row>
    <row r="51" spans="1:29">
      <c r="A51" s="2916"/>
      <c r="B51" s="2916"/>
      <c r="C51" s="2916"/>
      <c r="D51" s="2916"/>
      <c r="E51" s="2916"/>
      <c r="F51" s="2916"/>
      <c r="G51" s="2916"/>
      <c r="H51" s="2916"/>
      <c r="I51" s="2916"/>
      <c r="J51" s="2916"/>
      <c r="K51" s="2921"/>
      <c r="L51" s="2917"/>
      <c r="M51" s="2916"/>
      <c r="N51" s="2916"/>
      <c r="O51" s="2916"/>
    </row>
    <row r="52" spans="1:29" ht="13.5" customHeight="1">
      <c r="A52" s="2916"/>
      <c r="B52" s="2916"/>
      <c r="C52" s="454" t="s">
        <v>2339</v>
      </c>
      <c r="D52" s="455"/>
      <c r="E52" s="456">
        <f>IF(E47&lt;E48,E48/E47-1,E47/E48-1)</f>
        <v>5.1051051051051122E-2</v>
      </c>
      <c r="F52" s="457" t="str">
        <f>IF(OR(E52&gt;=0.3,E52&lt;=-0.3),"超过30%","")</f>
        <v/>
      </c>
      <c r="G52" s="456">
        <f>IF(G47&lt;G48,G48/G47-1,G47/G48-1)</f>
        <v>6.0070671378091856E-2</v>
      </c>
      <c r="H52" s="457" t="str">
        <f>IF(OR(G52&gt;=0.3,G52&lt;=-0.3),"超过30%","")</f>
        <v/>
      </c>
      <c r="I52" s="456">
        <f>IF(I47&lt;I48,I48/I47-1,I47/I48-1)</f>
        <v>6.0070671378091856E-2</v>
      </c>
      <c r="J52" s="457" t="str">
        <f>IF(OR(I52&gt;=0.3,I52&lt;=-0.3),"超过30%","")</f>
        <v/>
      </c>
      <c r="K52" s="2921"/>
      <c r="L52" s="2917"/>
      <c r="M52" s="2916"/>
      <c r="N52" s="2916"/>
      <c r="O52" s="2916"/>
    </row>
    <row r="53" spans="1:29" ht="13.5" customHeight="1">
      <c r="A53" s="2916"/>
      <c r="B53" s="2916"/>
      <c r="C53" s="454" t="s">
        <v>2340</v>
      </c>
      <c r="D53" s="458"/>
      <c r="E53" s="456">
        <f>IF(E48&lt;G48,G48/E48-1,E48/G48-1)</f>
        <v>0.1766784452296819</v>
      </c>
      <c r="F53" s="457" t="str">
        <f>IF(OR(E53&gt;=0.2,E53&lt;=-0.2),"超过20%","")</f>
        <v/>
      </c>
      <c r="G53" s="456">
        <f>IF(G48&lt;I48,I48/G48-1,G48/I48-1)</f>
        <v>0</v>
      </c>
      <c r="H53" s="457" t="str">
        <f>IF(OR(G53&gt;=0.2,G53&lt;=-0.2),"超过20%","")</f>
        <v/>
      </c>
      <c r="I53" s="456">
        <f>IF(I48&lt;E48,E48/I48-1,I48/E48-1)</f>
        <v>0.1766784452296819</v>
      </c>
      <c r="J53" s="457" t="str">
        <f>IF(OR(I53&gt;=0.2,I53&lt;=-0.2),"超过20%","")</f>
        <v/>
      </c>
      <c r="K53" s="2921"/>
      <c r="L53" s="2917"/>
      <c r="M53" s="2916"/>
      <c r="N53" s="2916"/>
      <c r="O53" s="2916"/>
    </row>
    <row r="54" spans="1:29" s="459" customFormat="1" ht="13.5" customHeight="1">
      <c r="A54" s="2919"/>
      <c r="B54" s="2919"/>
      <c r="C54" s="454" t="s">
        <v>2341</v>
      </c>
      <c r="D54" s="458"/>
      <c r="E54" s="456">
        <f>IF(E47&lt;G47,G47/E47-1,E47/G47-1)</f>
        <v>0.16666666666666674</v>
      </c>
      <c r="F54" s="457" t="str">
        <f>IF(OR(E54&gt;=0.3,E54&lt;=-0.3),"超过30%","")</f>
        <v/>
      </c>
      <c r="G54" s="456">
        <f>IF(G47&lt;I47,I47/G47-1,G47/I47-1)</f>
        <v>0</v>
      </c>
      <c r="H54" s="457" t="str">
        <f>IF(OR(G54&gt;=0.3,G54&lt;=-0.3),"超过30%","")</f>
        <v/>
      </c>
      <c r="I54" s="456">
        <f>IF(I47&lt;E47,E47/I47-1,I47/E47-1)</f>
        <v>0.16666666666666674</v>
      </c>
      <c r="J54" s="457" t="str">
        <f>IF(OR(I54&gt;=0.3,I54&lt;=-0.3),"超过30%","")</f>
        <v/>
      </c>
      <c r="K54" s="2924"/>
      <c r="L54" s="2918"/>
      <c r="M54" s="2919"/>
      <c r="N54" s="2919"/>
      <c r="O54" s="2919"/>
      <c r="P54" s="2066"/>
    </row>
    <row r="55" spans="1:29" s="459" customFormat="1">
      <c r="A55" s="2919"/>
      <c r="B55" s="2922"/>
      <c r="C55" s="2923"/>
      <c r="D55" s="2919"/>
      <c r="E55" s="2919"/>
      <c r="F55" s="2919"/>
      <c r="G55" s="2919"/>
      <c r="H55" s="2919"/>
      <c r="I55" s="2919"/>
      <c r="J55" s="2919"/>
      <c r="K55" s="2924"/>
      <c r="L55" s="2918"/>
      <c r="M55" s="2919"/>
      <c r="N55" s="2919"/>
      <c r="O55" s="2919"/>
      <c r="P55" s="2066"/>
    </row>
    <row r="56" spans="1:29">
      <c r="A56" s="2916"/>
      <c r="B56" s="2922"/>
      <c r="C56" s="2923"/>
      <c r="D56" s="2916"/>
      <c r="E56" s="2916"/>
      <c r="F56" s="2916"/>
      <c r="G56" s="2916"/>
      <c r="H56" s="2916"/>
      <c r="I56" s="2916"/>
      <c r="J56" s="2916"/>
      <c r="K56" s="2921"/>
      <c r="L56" s="2917"/>
      <c r="M56" s="2916"/>
      <c r="N56" s="2916"/>
      <c r="O56" s="2916"/>
    </row>
    <row r="57" spans="1:29" ht="21.75" thickBot="1">
      <c r="A57" s="703" t="s">
        <v>2342</v>
      </c>
      <c r="B57" s="699"/>
      <c r="C57" s="704"/>
      <c r="D57" s="704"/>
      <c r="E57" s="704"/>
      <c r="F57" s="705"/>
      <c r="G57" s="705"/>
      <c r="H57" s="704"/>
      <c r="I57" s="704"/>
      <c r="J57" s="704"/>
      <c r="K57" s="1068"/>
      <c r="L57" s="1069"/>
      <c r="M57" s="1067"/>
      <c r="N57" s="1067"/>
      <c r="O57" s="1067"/>
      <c r="P57" s="2067"/>
      <c r="Q57" s="461"/>
    </row>
    <row r="58" spans="1:29" s="465" customFormat="1" ht="15">
      <c r="A58" s="462" t="s">
        <v>2343</v>
      </c>
      <c r="B58" s="463"/>
      <c r="C58" s="1316" t="str">
        <f>YEAR(C7)&amp;"-"&amp;MONTH(C7)</f>
        <v>2022-4</v>
      </c>
      <c r="D58" s="1315">
        <f>EDATE(C58,-1)</f>
        <v>44621</v>
      </c>
      <c r="E58" s="1315">
        <f>EDATE(D58,-1)</f>
        <v>44593</v>
      </c>
      <c r="F58" s="1315">
        <f t="shared" ref="F58:O58" si="19">EDATE(E58,-1)</f>
        <v>44562</v>
      </c>
      <c r="G58" s="1315">
        <f t="shared" si="19"/>
        <v>44531</v>
      </c>
      <c r="H58" s="1315">
        <f t="shared" si="19"/>
        <v>44501</v>
      </c>
      <c r="I58" s="1315">
        <f t="shared" si="19"/>
        <v>44470</v>
      </c>
      <c r="J58" s="1315">
        <f t="shared" si="19"/>
        <v>44440</v>
      </c>
      <c r="K58" s="1315">
        <f t="shared" si="19"/>
        <v>44409</v>
      </c>
      <c r="L58" s="1315">
        <f t="shared" si="19"/>
        <v>44378</v>
      </c>
      <c r="M58" s="1315">
        <f t="shared" si="19"/>
        <v>44348</v>
      </c>
      <c r="N58" s="1315">
        <f t="shared" si="19"/>
        <v>44317</v>
      </c>
      <c r="O58" s="1315">
        <f t="shared" si="19"/>
        <v>44287</v>
      </c>
      <c r="P58" s="1311"/>
    </row>
    <row r="59" spans="1:29" s="113" customFormat="1" ht="15">
      <c r="A59" s="466"/>
      <c r="B59" s="2068"/>
      <c r="C59" s="1313">
        <v>100</v>
      </c>
      <c r="D59" s="468">
        <v>100</v>
      </c>
      <c r="E59" s="469">
        <v>100</v>
      </c>
      <c r="F59" s="469">
        <v>100</v>
      </c>
      <c r="G59" s="469">
        <v>99.5</v>
      </c>
      <c r="H59" s="469"/>
      <c r="I59" s="469"/>
      <c r="J59" s="469"/>
      <c r="K59" s="469"/>
      <c r="L59" s="469"/>
      <c r="M59" s="470"/>
      <c r="N59" s="469"/>
      <c r="O59" s="470"/>
      <c r="P59" s="2069"/>
    </row>
    <row r="60" spans="1:29" s="113" customFormat="1" ht="15.75" thickBot="1">
      <c r="A60" s="472" t="s">
        <v>2344</v>
      </c>
      <c r="B60" s="473"/>
      <c r="C60" s="474"/>
      <c r="D60" s="475"/>
      <c r="E60" s="475"/>
      <c r="F60" s="475"/>
      <c r="G60" s="475"/>
      <c r="H60" s="475"/>
      <c r="I60" s="475"/>
      <c r="J60" s="475"/>
      <c r="K60" s="475"/>
      <c r="L60" s="475"/>
      <c r="M60" s="476"/>
      <c r="N60" s="475"/>
      <c r="O60" s="476"/>
      <c r="P60" s="2069"/>
      <c r="Q60" s="461"/>
    </row>
    <row r="61" spans="1:29" s="113" customFormat="1" ht="15">
      <c r="A61" s="478" t="s">
        <v>2345</v>
      </c>
      <c r="B61" s="467"/>
      <c r="C61" s="479" t="s">
        <v>2346</v>
      </c>
      <c r="D61" s="480"/>
      <c r="E61" s="480"/>
      <c r="F61" s="480"/>
      <c r="G61" s="480"/>
      <c r="H61" s="480"/>
      <c r="I61" s="480"/>
      <c r="J61" s="480"/>
      <c r="K61" s="480"/>
      <c r="L61" s="481"/>
      <c r="M61" s="482"/>
      <c r="N61" s="1059"/>
      <c r="O61" s="1059"/>
      <c r="P61" s="2070"/>
      <c r="Q61" s="461"/>
    </row>
    <row r="62" spans="1:29" s="113" customFormat="1" ht="15.75" thickBot="1">
      <c r="A62" s="478"/>
      <c r="B62" s="467"/>
      <c r="C62" s="468">
        <v>100</v>
      </c>
      <c r="D62" s="469"/>
      <c r="E62" s="469"/>
      <c r="F62" s="469"/>
      <c r="G62" s="469"/>
      <c r="H62" s="469"/>
      <c r="I62" s="469"/>
      <c r="J62" s="469"/>
      <c r="K62" s="469"/>
      <c r="L62" s="469"/>
      <c r="M62" s="471"/>
      <c r="N62" s="1059"/>
      <c r="O62" s="1059"/>
      <c r="P62" s="2069"/>
      <c r="Q62" s="461"/>
    </row>
    <row r="63" spans="1:29">
      <c r="A63" s="484" t="s">
        <v>2347</v>
      </c>
      <c r="B63" s="485" t="s">
        <v>2313</v>
      </c>
      <c r="C63" s="486" t="str">
        <f>C9</f>
        <v>办公</v>
      </c>
      <c r="D63" s="3325" t="s">
        <v>3358</v>
      </c>
      <c r="E63" s="487"/>
      <c r="F63" s="487"/>
      <c r="G63" s="487"/>
      <c r="H63" s="487"/>
      <c r="I63" s="487"/>
      <c r="J63" s="487"/>
      <c r="K63" s="488"/>
      <c r="L63" s="489"/>
      <c r="M63" s="490"/>
      <c r="N63" s="1060"/>
      <c r="O63" s="1060"/>
      <c r="P63" s="2071"/>
      <c r="Q63" s="461"/>
    </row>
    <row r="64" spans="1:29" ht="15.75" thickBot="1">
      <c r="A64" s="491"/>
      <c r="B64" s="492"/>
      <c r="C64" s="493">
        <v>100</v>
      </c>
      <c r="D64" s="493">
        <v>102</v>
      </c>
      <c r="E64" s="493"/>
      <c r="F64" s="493"/>
      <c r="G64" s="493"/>
      <c r="H64" s="493"/>
      <c r="I64" s="493"/>
      <c r="J64" s="493"/>
      <c r="K64" s="493"/>
      <c r="L64" s="493"/>
      <c r="M64" s="494"/>
      <c r="N64" s="1061"/>
      <c r="O64" s="1061"/>
      <c r="P64" s="2071"/>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0"/>
      <c r="O65" s="1060"/>
      <c r="P65" s="207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1"/>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1"/>
      <c r="Q67" s="461"/>
    </row>
    <row r="68" spans="1:17" ht="15">
      <c r="A68" s="491"/>
      <c r="B68" s="505"/>
      <c r="C68" s="506">
        <v>0</v>
      </c>
      <c r="D68" s="506">
        <v>1</v>
      </c>
      <c r="E68" s="506">
        <v>2</v>
      </c>
      <c r="F68" s="506">
        <v>3</v>
      </c>
      <c r="G68" s="506"/>
      <c r="H68" s="506"/>
      <c r="I68" s="506"/>
      <c r="J68" s="506"/>
      <c r="K68" s="507"/>
      <c r="L68" s="508"/>
      <c r="M68" s="509"/>
      <c r="N68" s="1060"/>
      <c r="O68" s="1060"/>
      <c r="P68" s="207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1"/>
      <c r="Q69" s="461"/>
    </row>
    <row r="70" spans="1:17" s="430" customFormat="1" ht="15.75" thickTop="1">
      <c r="A70" s="510"/>
      <c r="B70" s="495">
        <f>B12</f>
        <v>111</v>
      </c>
      <c r="C70" s="511"/>
      <c r="D70" s="511"/>
      <c r="E70" s="511"/>
      <c r="F70" s="511"/>
      <c r="G70" s="511"/>
      <c r="H70" s="512"/>
      <c r="I70" s="512"/>
      <c r="J70" s="512"/>
      <c r="K70" s="512"/>
      <c r="L70" s="513"/>
      <c r="M70" s="514"/>
      <c r="N70" s="1062"/>
      <c r="O70" s="1062"/>
      <c r="P70" s="2072"/>
      <c r="Q70" s="516"/>
    </row>
    <row r="71" spans="1:17" s="430" customFormat="1" ht="15.75" thickBot="1">
      <c r="A71" s="510"/>
      <c r="B71" s="500"/>
      <c r="C71" s="517"/>
      <c r="D71" s="493"/>
      <c r="E71" s="493"/>
      <c r="F71" s="493"/>
      <c r="G71" s="493"/>
      <c r="H71" s="493"/>
      <c r="I71" s="493"/>
      <c r="J71" s="493"/>
      <c r="K71" s="493"/>
      <c r="L71" s="493"/>
      <c r="M71" s="494"/>
      <c r="N71" s="1061"/>
      <c r="O71" s="1061"/>
      <c r="P71" s="2072"/>
      <c r="Q71" s="516"/>
    </row>
    <row r="72" spans="1:17" s="430" customFormat="1" ht="15.75" thickTop="1">
      <c r="A72" s="510"/>
      <c r="B72" s="495">
        <f>B13</f>
        <v>111</v>
      </c>
      <c r="C72" s="511"/>
      <c r="D72" s="511"/>
      <c r="E72" s="511"/>
      <c r="F72" s="511"/>
      <c r="G72" s="511"/>
      <c r="H72" s="512"/>
      <c r="I72" s="512"/>
      <c r="J72" s="512"/>
      <c r="K72" s="512"/>
      <c r="L72" s="513"/>
      <c r="M72" s="514"/>
      <c r="N72" s="1062"/>
      <c r="O72" s="1062"/>
      <c r="P72" s="2073"/>
      <c r="Q72" s="518"/>
    </row>
    <row r="73" spans="1:17" s="430" customFormat="1" ht="15.75" thickBot="1">
      <c r="A73" s="510"/>
      <c r="B73" s="500"/>
      <c r="C73" s="517"/>
      <c r="D73" s="517"/>
      <c r="E73" s="517"/>
      <c r="F73" s="517"/>
      <c r="G73" s="517"/>
      <c r="H73" s="519"/>
      <c r="I73" s="519"/>
      <c r="J73" s="519"/>
      <c r="K73" s="519"/>
      <c r="L73" s="519"/>
      <c r="M73" s="520"/>
      <c r="N73" s="1062"/>
      <c r="O73" s="1062"/>
      <c r="P73" s="2072"/>
      <c r="Q73" s="516"/>
    </row>
    <row r="74" spans="1:17" s="430" customFormat="1" ht="15.75" thickTop="1">
      <c r="A74" s="510"/>
      <c r="B74" s="503">
        <f>B14</f>
        <v>111</v>
      </c>
      <c r="C74" s="511"/>
      <c r="D74" s="511"/>
      <c r="E74" s="511"/>
      <c r="F74" s="511"/>
      <c r="G74" s="480"/>
      <c r="H74" s="521"/>
      <c r="I74" s="521"/>
      <c r="J74" s="521"/>
      <c r="K74" s="521"/>
      <c r="L74" s="522"/>
      <c r="M74" s="523"/>
      <c r="N74" s="1062"/>
      <c r="O74" s="1062"/>
      <c r="P74" s="2074"/>
      <c r="Q74" s="516"/>
    </row>
    <row r="75" spans="1:17" s="430" customFormat="1" ht="15.75" thickBot="1">
      <c r="A75" s="525"/>
      <c r="B75" s="526"/>
      <c r="C75" s="527"/>
      <c r="D75" s="527"/>
      <c r="E75" s="527"/>
      <c r="F75" s="527"/>
      <c r="G75" s="527"/>
      <c r="H75" s="528"/>
      <c r="I75" s="528"/>
      <c r="J75" s="528"/>
      <c r="K75" s="528"/>
      <c r="L75" s="528"/>
      <c r="M75" s="529"/>
      <c r="N75" s="1062"/>
      <c r="O75" s="1062"/>
      <c r="P75" s="2072"/>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0"/>
      <c r="O76" s="1060"/>
      <c r="P76" s="207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1"/>
      <c r="O77" s="1061"/>
      <c r="P77" s="2071"/>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0"/>
      <c r="O78" s="1060"/>
      <c r="P78" s="207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1"/>
      <c r="O79" s="1061"/>
      <c r="P79" s="2071"/>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0"/>
      <c r="O80" s="1060"/>
      <c r="P80" s="207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1"/>
      <c r="O81" s="1061"/>
      <c r="P81" s="2071"/>
      <c r="Q81" s="461"/>
    </row>
    <row r="82" spans="1:17" ht="15.75" thickTop="1">
      <c r="A82" s="491"/>
      <c r="B82" s="503" t="s">
        <v>1885</v>
      </c>
      <c r="C82" s="496" t="s">
        <v>2363</v>
      </c>
      <c r="D82" s="496" t="s">
        <v>2364</v>
      </c>
      <c r="E82" s="496" t="s">
        <v>2365</v>
      </c>
      <c r="F82" s="496" t="s">
        <v>2366</v>
      </c>
      <c r="G82" s="496" t="s">
        <v>2367</v>
      </c>
      <c r="H82" s="496"/>
      <c r="I82" s="496"/>
      <c r="J82" s="496"/>
      <c r="K82" s="496"/>
      <c r="L82" s="496"/>
      <c r="M82" s="1259"/>
      <c r="N82" s="1061"/>
      <c r="O82" s="1061"/>
      <c r="P82" s="2071"/>
      <c r="Q82" s="461"/>
    </row>
    <row r="83" spans="1:17" ht="15.75" thickBot="1">
      <c r="A83" s="491"/>
      <c r="B83" s="503"/>
      <c r="C83" s="616">
        <v>100</v>
      </c>
      <c r="D83" s="616">
        <f>C83-$K21</f>
        <v>98</v>
      </c>
      <c r="E83" s="616">
        <f t="shared" ref="E83:G83" si="23">D83-$K21</f>
        <v>96</v>
      </c>
      <c r="F83" s="616">
        <f t="shared" si="23"/>
        <v>94</v>
      </c>
      <c r="G83" s="616">
        <f t="shared" si="23"/>
        <v>92</v>
      </c>
      <c r="H83" s="616"/>
      <c r="I83" s="616"/>
      <c r="J83" s="616"/>
      <c r="K83" s="616"/>
      <c r="L83" s="616"/>
      <c r="M83" s="409"/>
      <c r="N83" s="1061"/>
      <c r="O83" s="1061"/>
      <c r="P83" s="2071"/>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0"/>
      <c r="O84" s="1060"/>
      <c r="P84" s="2071"/>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1"/>
      <c r="O85" s="1061"/>
      <c r="P85" s="2071"/>
      <c r="Q85" s="461"/>
    </row>
    <row r="86" spans="1:17" s="113" customFormat="1" ht="15.75" thickTop="1">
      <c r="A86" s="536"/>
      <c r="B86" s="495" t="s">
        <v>2369</v>
      </c>
      <c r="C86" s="511"/>
      <c r="D86" s="511"/>
      <c r="E86" s="511"/>
      <c r="F86" s="511"/>
      <c r="G86" s="511"/>
      <c r="H86" s="511"/>
      <c r="I86" s="511"/>
      <c r="J86" s="511"/>
      <c r="K86" s="511"/>
      <c r="L86" s="537"/>
      <c r="M86" s="538"/>
      <c r="N86" s="1059"/>
      <c r="O86" s="1059"/>
      <c r="P86" s="207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1"/>
      <c r="Q87" s="461"/>
    </row>
    <row r="88" spans="1:17" s="113" customFormat="1" ht="15.75" thickTop="1">
      <c r="A88" s="536"/>
      <c r="B88" s="495" t="s">
        <v>2370</v>
      </c>
      <c r="C88" s="511"/>
      <c r="D88" s="511"/>
      <c r="E88" s="511"/>
      <c r="F88" s="2076"/>
      <c r="G88" s="511"/>
      <c r="H88" s="511"/>
      <c r="I88" s="511"/>
      <c r="J88" s="511"/>
      <c r="K88" s="511"/>
      <c r="L88" s="511"/>
      <c r="M88" s="538"/>
      <c r="N88" s="1059"/>
      <c r="O88" s="1059"/>
      <c r="P88" s="207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1"/>
      <c r="Q89" s="461"/>
    </row>
    <row r="90" spans="1:17" s="430" customFormat="1" ht="15.75" thickTop="1">
      <c r="A90" s="510"/>
      <c r="B90" s="495">
        <f>B27</f>
        <v>111</v>
      </c>
      <c r="C90" s="511"/>
      <c r="D90" s="511"/>
      <c r="E90" s="511"/>
      <c r="F90" s="511"/>
      <c r="G90" s="511"/>
      <c r="H90" s="512"/>
      <c r="I90" s="512"/>
      <c r="J90" s="512"/>
      <c r="K90" s="512"/>
      <c r="L90" s="513"/>
      <c r="M90" s="514"/>
      <c r="N90" s="1062"/>
      <c r="O90" s="1062"/>
      <c r="P90" s="2072"/>
      <c r="Q90" s="516"/>
    </row>
    <row r="91" spans="1:17" s="430" customFormat="1" ht="15.75" thickBot="1">
      <c r="A91" s="510"/>
      <c r="B91" s="500"/>
      <c r="C91" s="517"/>
      <c r="D91" s="517"/>
      <c r="E91" s="517"/>
      <c r="F91" s="517"/>
      <c r="G91" s="517"/>
      <c r="H91" s="519"/>
      <c r="I91" s="519"/>
      <c r="J91" s="519"/>
      <c r="K91" s="519"/>
      <c r="L91" s="519"/>
      <c r="M91" s="520"/>
      <c r="N91" s="1062"/>
      <c r="O91" s="1062"/>
      <c r="P91" s="2072"/>
      <c r="Q91" s="516"/>
    </row>
    <row r="92" spans="1:17" ht="15.75" thickTop="1">
      <c r="A92" s="491"/>
      <c r="B92" s="495">
        <f>B28</f>
        <v>111</v>
      </c>
      <c r="C92" s="511"/>
      <c r="D92" s="511"/>
      <c r="E92" s="511"/>
      <c r="F92" s="511"/>
      <c r="G92" s="540"/>
      <c r="H92" s="540"/>
      <c r="I92" s="540"/>
      <c r="J92" s="540"/>
      <c r="K92" s="541"/>
      <c r="L92" s="542"/>
      <c r="M92" s="543"/>
      <c r="N92" s="1060"/>
      <c r="O92" s="1060"/>
      <c r="P92" s="2071"/>
      <c r="Q92" s="461"/>
    </row>
    <row r="93" spans="1:17" ht="15.75" thickBot="1">
      <c r="A93" s="491"/>
      <c r="B93" s="500"/>
      <c r="C93" s="517"/>
      <c r="D93" s="493"/>
      <c r="E93" s="493"/>
      <c r="F93" s="493"/>
      <c r="G93" s="493"/>
      <c r="H93" s="493"/>
      <c r="I93" s="493"/>
      <c r="J93" s="493"/>
      <c r="K93" s="493"/>
      <c r="L93" s="493"/>
      <c r="M93" s="494"/>
      <c r="N93" s="1061"/>
      <c r="O93" s="1061"/>
      <c r="P93" s="2071"/>
      <c r="Q93" s="461"/>
    </row>
    <row r="94" spans="1:17" ht="15.75" thickTop="1">
      <c r="A94" s="491"/>
      <c r="B94" s="495">
        <f>B29</f>
        <v>111</v>
      </c>
      <c r="C94" s="511"/>
      <c r="D94" s="511"/>
      <c r="E94" s="511"/>
      <c r="F94" s="511"/>
      <c r="G94" s="540"/>
      <c r="H94" s="540"/>
      <c r="I94" s="540"/>
      <c r="J94" s="540"/>
      <c r="K94" s="541"/>
      <c r="L94" s="542"/>
      <c r="M94" s="543"/>
      <c r="N94" s="1060"/>
      <c r="O94" s="1060"/>
      <c r="P94" s="2071"/>
      <c r="Q94" s="461"/>
    </row>
    <row r="95" spans="1:17" ht="15.75" thickBot="1">
      <c r="A95" s="491"/>
      <c r="B95" s="500"/>
      <c r="C95" s="517"/>
      <c r="D95" s="517"/>
      <c r="E95" s="517"/>
      <c r="F95" s="517"/>
      <c r="G95" s="493"/>
      <c r="H95" s="493"/>
      <c r="I95" s="493"/>
      <c r="J95" s="493"/>
      <c r="K95" s="493"/>
      <c r="L95" s="493"/>
      <c r="M95" s="494"/>
      <c r="N95" s="1061"/>
      <c r="O95" s="1061"/>
      <c r="P95" s="2071"/>
      <c r="Q95" s="461"/>
    </row>
    <row r="96" spans="1:17" ht="15.75" thickTop="1">
      <c r="A96" s="491"/>
      <c r="B96" s="495">
        <f>B30</f>
        <v>111</v>
      </c>
      <c r="C96" s="511"/>
      <c r="D96" s="511"/>
      <c r="E96" s="511"/>
      <c r="F96" s="511"/>
      <c r="G96" s="540"/>
      <c r="H96" s="540"/>
      <c r="I96" s="540"/>
      <c r="J96" s="540"/>
      <c r="K96" s="541"/>
      <c r="L96" s="542"/>
      <c r="M96" s="543"/>
      <c r="N96" s="1060"/>
      <c r="O96" s="1060"/>
      <c r="P96" s="2071"/>
      <c r="Q96" s="461"/>
    </row>
    <row r="97" spans="1:17" ht="15.75" thickBot="1">
      <c r="A97" s="491"/>
      <c r="B97" s="500"/>
      <c r="C97" s="527"/>
      <c r="D97" s="527"/>
      <c r="E97" s="527"/>
      <c r="F97" s="527"/>
      <c r="G97" s="493"/>
      <c r="H97" s="493"/>
      <c r="I97" s="493"/>
      <c r="J97" s="493"/>
      <c r="K97" s="493"/>
      <c r="L97" s="493"/>
      <c r="M97" s="494"/>
      <c r="N97" s="1061"/>
      <c r="O97" s="1061"/>
      <c r="P97" s="2071"/>
      <c r="Q97" s="461"/>
    </row>
    <row r="98" spans="1:17" ht="15.75" thickTop="1">
      <c r="A98" s="491"/>
      <c r="B98" s="503">
        <f>B31</f>
        <v>111</v>
      </c>
      <c r="C98" s="544"/>
      <c r="D98" s="544"/>
      <c r="E98" s="544"/>
      <c r="F98" s="544"/>
      <c r="G98" s="544"/>
      <c r="H98" s="544"/>
      <c r="I98" s="544"/>
      <c r="J98" s="544"/>
      <c r="K98" s="545"/>
      <c r="L98" s="546"/>
      <c r="M98" s="547"/>
      <c r="N98" s="1060"/>
      <c r="O98" s="1060"/>
      <c r="P98" s="2071"/>
      <c r="Q98" s="461"/>
    </row>
    <row r="99" spans="1:17" ht="15.75" thickBot="1">
      <c r="A99" s="2077"/>
      <c r="B99" s="526"/>
      <c r="C99" s="548"/>
      <c r="D99" s="548"/>
      <c r="E99" s="548"/>
      <c r="F99" s="548"/>
      <c r="G99" s="548"/>
      <c r="H99" s="548"/>
      <c r="I99" s="548"/>
      <c r="J99" s="548"/>
      <c r="K99" s="548"/>
      <c r="L99" s="548"/>
      <c r="M99" s="549"/>
      <c r="N99" s="1061"/>
      <c r="O99" s="1061"/>
      <c r="P99" s="2071"/>
      <c r="Q99" s="461"/>
    </row>
    <row r="100" spans="1:17">
      <c r="A100" s="484" t="s">
        <v>2322</v>
      </c>
      <c r="B100" s="3326" t="s">
        <v>3361</v>
      </c>
      <c r="C100" s="3325" t="s">
        <v>3360</v>
      </c>
      <c r="D100" s="487"/>
      <c r="E100" s="487"/>
      <c r="F100" s="487"/>
      <c r="G100" s="487"/>
      <c r="H100" s="487"/>
      <c r="I100" s="487"/>
      <c r="J100" s="487"/>
      <c r="K100" s="488"/>
      <c r="L100" s="489"/>
      <c r="M100" s="490"/>
      <c r="N100" s="1060"/>
      <c r="O100" s="1060"/>
      <c r="P100" s="207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1"/>
      <c r="Q101" s="461"/>
    </row>
    <row r="102" spans="1:17" ht="15.75" thickTop="1">
      <c r="A102" s="491"/>
      <c r="B102" s="495" t="s">
        <v>2372</v>
      </c>
      <c r="C102" s="535" t="str">
        <f>C103&amp;"(含)"&amp;"-"&amp;D103</f>
        <v>0(含)-100</v>
      </c>
      <c r="D102" s="535" t="str">
        <f t="shared" ref="D102:L102" si="27">D103&amp;"(含)"&amp;"-"&amp;E103</f>
        <v>100(含)-200</v>
      </c>
      <c r="E102" s="535" t="str">
        <f t="shared" si="27"/>
        <v>200(含)-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1"/>
      <c r="Q102" s="461"/>
    </row>
    <row r="103" spans="1:17" s="430" customFormat="1">
      <c r="A103" s="550"/>
      <c r="B103" s="551"/>
      <c r="C103" s="552">
        <v>0</v>
      </c>
      <c r="D103" s="552">
        <v>100</v>
      </c>
      <c r="E103" s="552">
        <v>200</v>
      </c>
      <c r="F103" s="552"/>
      <c r="G103" s="552"/>
      <c r="H103" s="552"/>
      <c r="I103" s="552"/>
      <c r="J103" s="553"/>
      <c r="K103" s="553"/>
      <c r="L103" s="554"/>
      <c r="M103" s="555"/>
      <c r="N103" s="1062"/>
      <c r="O103" s="1062"/>
      <c r="P103" s="2072"/>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2"/>
      <c r="Q104" s="516"/>
    </row>
    <row r="105" spans="1:17" ht="15" thickTop="1">
      <c r="A105" s="556"/>
      <c r="B105" s="495" t="s">
        <v>2373</v>
      </c>
      <c r="C105" s="3327" t="s">
        <v>3362</v>
      </c>
      <c r="D105" s="511"/>
      <c r="E105" s="540"/>
      <c r="F105" s="540"/>
      <c r="G105" s="540"/>
      <c r="H105" s="540"/>
      <c r="I105" s="540"/>
      <c r="J105" s="540"/>
      <c r="K105" s="541"/>
      <c r="L105" s="542"/>
      <c r="M105" s="543"/>
      <c r="N105" s="1060"/>
      <c r="O105" s="1060"/>
      <c r="P105" s="207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1"/>
      <c r="Q106" s="461"/>
    </row>
    <row r="107" spans="1:17" ht="15" thickTop="1">
      <c r="A107" s="556"/>
      <c r="B107" s="495" t="s">
        <v>2374</v>
      </c>
      <c r="C107" s="540"/>
      <c r="D107" s="540"/>
      <c r="E107" s="540"/>
      <c r="F107" s="540"/>
      <c r="G107" s="540"/>
      <c r="H107" s="540"/>
      <c r="I107" s="540"/>
      <c r="J107" s="540"/>
      <c r="K107" s="541"/>
      <c r="L107" s="542"/>
      <c r="M107" s="543"/>
      <c r="N107" s="1060"/>
      <c r="O107" s="1060"/>
      <c r="P107" s="207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1"/>
      <c r="Q108" s="461"/>
    </row>
    <row r="109" spans="1:17" ht="15" thickTop="1">
      <c r="A109" s="556"/>
      <c r="B109" s="495" t="s">
        <v>2375</v>
      </c>
      <c r="C109" s="3327" t="s">
        <v>3364</v>
      </c>
      <c r="D109" s="511"/>
      <c r="E109" s="511"/>
      <c r="F109" s="540"/>
      <c r="G109" s="540"/>
      <c r="H109" s="540"/>
      <c r="I109" s="540"/>
      <c r="J109" s="540"/>
      <c r="K109" s="541"/>
      <c r="L109" s="542"/>
      <c r="M109" s="543"/>
      <c r="N109" s="1060"/>
      <c r="O109" s="1060"/>
      <c r="P109" s="207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2"/>
      <c r="Q113" s="516"/>
    </row>
    <row r="114" spans="1:17" ht="15" thickTop="1">
      <c r="A114" s="556"/>
      <c r="B114" s="495" t="s">
        <v>2376</v>
      </c>
      <c r="C114" s="511"/>
      <c r="D114" s="511"/>
      <c r="E114" s="540"/>
      <c r="F114" s="540"/>
      <c r="G114" s="540"/>
      <c r="H114" s="540"/>
      <c r="I114" s="540"/>
      <c r="J114" s="540"/>
      <c r="K114" s="541"/>
      <c r="L114" s="542"/>
      <c r="M114" s="543"/>
      <c r="N114" s="1060"/>
      <c r="O114" s="1060"/>
      <c r="P114" s="207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1"/>
      <c r="Q115" s="461"/>
    </row>
    <row r="116" spans="1:17" ht="15" thickTop="1">
      <c r="A116" s="556"/>
      <c r="B116" s="495" t="s">
        <v>2377</v>
      </c>
      <c r="C116" s="3327" t="s">
        <v>3464</v>
      </c>
      <c r="D116" s="3327" t="s">
        <v>3466</v>
      </c>
      <c r="E116" s="3327" t="s">
        <v>3468</v>
      </c>
      <c r="F116" s="511"/>
      <c r="G116" s="511"/>
      <c r="H116" s="540"/>
      <c r="I116" s="540"/>
      <c r="J116" s="540"/>
      <c r="K116" s="541"/>
      <c r="L116" s="542"/>
      <c r="M116" s="543"/>
      <c r="N116" s="1060"/>
      <c r="O116" s="1060"/>
      <c r="P116" s="2071"/>
      <c r="Q116" s="461"/>
    </row>
    <row r="117" spans="1:17" ht="15.75" thickBot="1">
      <c r="A117" s="491"/>
      <c r="B117" s="500"/>
      <c r="C117" s="501">
        <v>100</v>
      </c>
      <c r="D117" s="501">
        <f>C117-$K39</f>
        <v>99.5</v>
      </c>
      <c r="E117" s="501">
        <f>D117-$K39</f>
        <v>99</v>
      </c>
      <c r="F117" s="501">
        <f>E117-$K39</f>
        <v>98.5</v>
      </c>
      <c r="G117" s="501">
        <f>F117-$K39</f>
        <v>98</v>
      </c>
      <c r="H117" s="501"/>
      <c r="I117" s="501"/>
      <c r="J117" s="501"/>
      <c r="K117" s="501"/>
      <c r="L117" s="501"/>
      <c r="M117" s="502"/>
      <c r="N117" s="1061"/>
      <c r="O117" s="1061"/>
      <c r="P117" s="2071"/>
      <c r="Q117" s="461"/>
    </row>
    <row r="118" spans="1:17" ht="15" thickTop="1">
      <c r="A118" s="556"/>
      <c r="B118" s="495" t="s">
        <v>2378</v>
      </c>
      <c r="C118" s="3328" t="s">
        <v>3368</v>
      </c>
      <c r="D118" s="540"/>
      <c r="E118" s="540"/>
      <c r="F118" s="540"/>
      <c r="G118" s="540"/>
      <c r="H118" s="540"/>
      <c r="I118" s="540"/>
      <c r="J118" s="540"/>
      <c r="K118" s="541"/>
      <c r="L118" s="542"/>
      <c r="M118" s="543"/>
      <c r="N118" s="1060"/>
      <c r="O118" s="1060"/>
      <c r="P118" s="207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1"/>
      <c r="Q119" s="461"/>
    </row>
    <row r="120" spans="1:17" s="430" customFormat="1" ht="28.5" thickTop="1">
      <c r="A120" s="550"/>
      <c r="B120" s="495" t="s">
        <v>2333</v>
      </c>
      <c r="C120" s="511"/>
      <c r="D120" s="511"/>
      <c r="E120" s="511"/>
      <c r="F120" s="511"/>
      <c r="G120" s="511"/>
      <c r="H120" s="511"/>
      <c r="I120" s="511"/>
      <c r="J120" s="511"/>
      <c r="K120" s="511"/>
      <c r="L120" s="537"/>
      <c r="M120" s="538"/>
      <c r="N120" s="1062"/>
      <c r="O120" s="1062"/>
      <c r="P120" s="2072"/>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2"/>
      <c r="Q121" s="516"/>
    </row>
    <row r="122" spans="1:17" ht="15" thickTop="1">
      <c r="A122" s="556"/>
      <c r="B122" s="495" t="s">
        <v>2379</v>
      </c>
      <c r="C122" s="3327" t="s">
        <v>3366</v>
      </c>
      <c r="D122" s="511"/>
      <c r="E122" s="511"/>
      <c r="F122" s="540"/>
      <c r="G122" s="540"/>
      <c r="H122" s="540"/>
      <c r="I122" s="540"/>
      <c r="J122" s="540"/>
      <c r="K122" s="541"/>
      <c r="L122" s="542"/>
      <c r="M122" s="543"/>
      <c r="N122" s="1060"/>
      <c r="O122" s="1060"/>
      <c r="P122" s="207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1"/>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0"/>
      <c r="O124" s="1060"/>
      <c r="P124" s="207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1"/>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2"/>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2"/>
      <c r="Q127" s="516"/>
    </row>
    <row r="128" spans="1:17" ht="15" thickTop="1">
      <c r="A128" s="556"/>
      <c r="B128" s="495">
        <f>B45</f>
        <v>111</v>
      </c>
      <c r="C128" s="511"/>
      <c r="D128" s="511"/>
      <c r="E128" s="511"/>
      <c r="F128" s="511"/>
      <c r="G128" s="540"/>
      <c r="H128" s="540"/>
      <c r="I128" s="540"/>
      <c r="J128" s="540"/>
      <c r="K128" s="541"/>
      <c r="L128" s="542"/>
      <c r="M128" s="543"/>
      <c r="N128" s="1060"/>
      <c r="O128" s="1060"/>
      <c r="P128" s="2071"/>
      <c r="Q128" s="461"/>
    </row>
    <row r="129" spans="1:17" ht="15.75" thickBot="1">
      <c r="A129" s="491"/>
      <c r="B129" s="500"/>
      <c r="C129" s="517"/>
      <c r="D129" s="517"/>
      <c r="E129" s="517"/>
      <c r="F129" s="517"/>
      <c r="G129" s="493"/>
      <c r="H129" s="493"/>
      <c r="I129" s="493"/>
      <c r="J129" s="493"/>
      <c r="K129" s="493"/>
      <c r="L129" s="493"/>
      <c r="M129" s="494"/>
      <c r="N129" s="1061"/>
      <c r="O129" s="1061"/>
      <c r="P129" s="2071"/>
      <c r="Q129" s="461"/>
    </row>
    <row r="130" spans="1:17" ht="15" thickTop="1">
      <c r="A130" s="556"/>
      <c r="B130" s="503">
        <f>B46</f>
        <v>111</v>
      </c>
      <c r="C130" s="511"/>
      <c r="D130" s="511"/>
      <c r="E130" s="511"/>
      <c r="F130" s="511"/>
      <c r="G130" s="544"/>
      <c r="H130" s="544"/>
      <c r="I130" s="544"/>
      <c r="J130" s="544"/>
      <c r="K130" s="480"/>
      <c r="L130" s="481"/>
      <c r="M130" s="547"/>
      <c r="N130" s="1060"/>
      <c r="O130" s="1060"/>
      <c r="P130" s="2071"/>
      <c r="Q130" s="461"/>
    </row>
    <row r="131" spans="1:17" ht="15.75" thickBot="1">
      <c r="A131" s="2077"/>
      <c r="B131" s="526"/>
      <c r="C131" s="527"/>
      <c r="D131" s="527"/>
      <c r="E131" s="527"/>
      <c r="F131" s="527"/>
      <c r="G131" s="548"/>
      <c r="H131" s="548"/>
      <c r="I131" s="548"/>
      <c r="J131" s="548"/>
      <c r="K131" s="548"/>
      <c r="L131" s="548"/>
      <c r="M131" s="549"/>
      <c r="N131" s="1061"/>
      <c r="O131" s="1061"/>
      <c r="P131" s="2071"/>
      <c r="Q131" s="461"/>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2" t="s">
        <v>2384</v>
      </c>
      <c r="D138" s="142" t="s">
        <v>2385</v>
      </c>
      <c r="E138" s="2086" t="s">
        <v>2386</v>
      </c>
      <c r="F138" s="2087" t="s">
        <v>2387</v>
      </c>
      <c r="G138" s="142" t="s">
        <v>2385</v>
      </c>
      <c r="H138" s="143" t="s">
        <v>2386</v>
      </c>
      <c r="I138" s="2088"/>
      <c r="J138" s="142" t="s">
        <v>2388</v>
      </c>
      <c r="K138" s="143" t="s">
        <v>2389</v>
      </c>
    </row>
    <row r="139" spans="1:17" ht="15">
      <c r="B139" s="994">
        <v>6</v>
      </c>
      <c r="C139" s="995">
        <v>96</v>
      </c>
      <c r="D139" s="2089" t="s">
        <v>2390</v>
      </c>
      <c r="E139" s="996">
        <v>100</v>
      </c>
      <c r="F139" s="997">
        <v>102.5</v>
      </c>
      <c r="G139" s="2089" t="s">
        <v>2390</v>
      </c>
      <c r="H139" s="998">
        <v>105</v>
      </c>
      <c r="I139" s="2090" t="s">
        <v>2391</v>
      </c>
      <c r="J139" s="995">
        <v>20</v>
      </c>
      <c r="K139" s="999">
        <f>C145/(J139-2)</f>
        <v>4.0555555555555553E-3</v>
      </c>
    </row>
    <row r="140" spans="1:17" ht="15">
      <c r="B140" s="1000">
        <v>5</v>
      </c>
      <c r="C140" s="1001">
        <v>100</v>
      </c>
      <c r="D140" s="1001"/>
      <c r="E140" s="1002"/>
      <c r="F140" s="1003">
        <v>102</v>
      </c>
      <c r="G140" s="1001"/>
      <c r="H140" s="1004"/>
      <c r="I140" s="2091" t="s">
        <v>2392</v>
      </c>
      <c r="J140" s="277">
        <f>ROUNDUP((J139-1)/2,0)</f>
        <v>10</v>
      </c>
      <c r="K140" s="1005">
        <v>100</v>
      </c>
    </row>
    <row r="141" spans="1:17" ht="15">
      <c r="B141" s="1000">
        <v>4</v>
      </c>
      <c r="C141" s="1001">
        <v>102</v>
      </c>
      <c r="D141" s="1001"/>
      <c r="E141" s="1002"/>
      <c r="F141" s="1003">
        <v>101.5</v>
      </c>
      <c r="G141" s="1001"/>
      <c r="H141" s="1004"/>
      <c r="I141" s="2091" t="s">
        <v>2393</v>
      </c>
      <c r="J141" s="277">
        <v>1</v>
      </c>
      <c r="K141" s="1006">
        <f>ROUND(100+(J141-J140)*K139*100,1)</f>
        <v>96.4</v>
      </c>
    </row>
    <row r="142" spans="1:17" ht="15">
      <c r="B142" s="1000">
        <v>3</v>
      </c>
      <c r="C142" s="1001">
        <v>103</v>
      </c>
      <c r="D142" s="1001"/>
      <c r="E142" s="1002"/>
      <c r="F142" s="1003">
        <v>101</v>
      </c>
      <c r="G142" s="1001"/>
      <c r="H142" s="1004"/>
      <c r="I142" s="2091" t="s">
        <v>2394</v>
      </c>
      <c r="J142" s="277">
        <f>J139</f>
        <v>20</v>
      </c>
      <c r="K142" s="1007">
        <v>95</v>
      </c>
    </row>
    <row r="143" spans="1:17" ht="15">
      <c r="B143" s="1000">
        <v>2</v>
      </c>
      <c r="C143" s="1001">
        <v>100</v>
      </c>
      <c r="D143" s="1001"/>
      <c r="E143" s="1002"/>
      <c r="F143" s="1003">
        <v>100.5</v>
      </c>
      <c r="G143" s="1001"/>
      <c r="H143" s="1004"/>
      <c r="I143" s="2091" t="s">
        <v>2395</v>
      </c>
      <c r="J143" s="1001">
        <v>15</v>
      </c>
      <c r="K143" s="1006">
        <f>ROUND(100+(J143-J140)*K139*100,1)</f>
        <v>102</v>
      </c>
    </row>
    <row r="144" spans="1:17" ht="15">
      <c r="B144" s="1000">
        <v>1</v>
      </c>
      <c r="C144" s="1001">
        <v>98</v>
      </c>
      <c r="D144" s="2092" t="s">
        <v>2396</v>
      </c>
      <c r="E144" s="1002">
        <v>102</v>
      </c>
      <c r="F144" s="1008">
        <v>100</v>
      </c>
      <c r="G144" s="2092" t="s">
        <v>2396</v>
      </c>
      <c r="H144" s="1004">
        <v>105</v>
      </c>
      <c r="I144" s="2091" t="s">
        <v>2395</v>
      </c>
      <c r="J144" s="1001">
        <v>18</v>
      </c>
      <c r="K144" s="1006">
        <f>ROUND(100+(J144-J140)*K139*100,1)</f>
        <v>103.2</v>
      </c>
    </row>
    <row r="145" spans="2:11" ht="15.75" thickBot="1">
      <c r="B145" s="2093" t="s">
        <v>2397</v>
      </c>
      <c r="C145" s="1009">
        <f>ROUND(MAX(C139:C144)/MIN(C139:C144)-1,3)</f>
        <v>7.2999999999999995E-2</v>
      </c>
      <c r="D145" s="1010"/>
      <c r="E145" s="1010"/>
      <c r="F145" s="2094" t="s">
        <v>2398</v>
      </c>
      <c r="G145" s="2095"/>
      <c r="H145" s="2096"/>
      <c r="I145" s="2097" t="s">
        <v>2395</v>
      </c>
      <c r="J145" s="1011">
        <v>8</v>
      </c>
      <c r="K145" s="1012">
        <f>ROUND(100+(J145-J140)*K139*100,1)</f>
        <v>99.2</v>
      </c>
    </row>
    <row r="147" spans="2:11">
      <c r="B147" s="2078" t="s">
        <v>2399</v>
      </c>
    </row>
    <row r="148" spans="2:11">
      <c r="B148" s="2078" t="s">
        <v>2400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C32 G32 E32 I32" xr:uid="{00000000-0002-0000-1E00-000006000000}">
      <formula1>住宅建筑类型</formula1>
    </dataValidation>
    <dataValidation type="list" allowBlank="1" showInputMessage="1" showErrorMessage="1" sqref="C34 E34 G34 I34" xr:uid="{00000000-0002-0000-1E00-000007000000}">
      <formula1>住宅建筑结构</formula1>
    </dataValidation>
    <dataValidation type="list" allowBlank="1" showInputMessage="1" showErrorMessage="1" sqref="C35 E35 G35 I35" xr:uid="{00000000-0002-0000-1E00-000008000000}">
      <formula1>住宅建筑品质</formula1>
    </dataValidation>
    <dataValidation type="list" allowBlank="1" showInputMessage="1" showErrorMessage="1" sqref="C36 E36 G36 I36" xr:uid="{00000000-0002-0000-1E00-000009000000}">
      <formula1>住宅公共部分装修</formula1>
    </dataValidation>
    <dataValidation type="list" allowBlank="1" showInputMessage="1" showErrorMessage="1" sqref="C38 E38 G38 I38" xr:uid="{00000000-0002-0000-1E00-00000A000000}">
      <formula1>住宅物业管理</formula1>
    </dataValidation>
    <dataValidation type="list" allowBlank="1" showInputMessage="1" showErrorMessage="1" sqref="C39 E39 G39 I39" xr:uid="{00000000-0002-0000-1E00-00000B000000}">
      <formula1>住宅基础设施水平</formula1>
    </dataValidation>
    <dataValidation type="list" allowBlank="1" showInputMessage="1" showErrorMessage="1" sqref="C40 G40 E40 I40" xr:uid="{00000000-0002-0000-1E00-00000C000000}">
      <formula1>住宅房型</formula1>
    </dataValidation>
    <dataValidation type="list" allowBlank="1" showInputMessage="1" showErrorMessage="1" sqref="C42 E42 G42 I42" xr:uid="{00000000-0002-0000-1E00-00000D000000}">
      <formula1>住宅内部装修</formula1>
    </dataValidation>
    <dataValidation type="list" allowBlank="1" showInputMessage="1" showErrorMessage="1" sqref="C43 E43 G43 I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2401</v>
      </c>
      <c r="C1" s="1374" t="s">
        <v>2290</v>
      </c>
      <c r="D1" s="1361"/>
      <c r="E1" s="2506"/>
      <c r="F1" s="2030"/>
      <c r="G1" s="1371" t="s">
        <v>2402</v>
      </c>
      <c r="H1" s="1370"/>
      <c r="I1" s="1370"/>
      <c r="J1" s="1370"/>
      <c r="K1" s="1372"/>
      <c r="L1" s="1373"/>
      <c r="M1" s="1374"/>
      <c r="N1" s="1374"/>
      <c r="O1" s="1374"/>
      <c r="P1" s="2098"/>
      <c r="Q1" s="2099"/>
      <c r="R1" s="2099"/>
      <c r="S1" s="2099"/>
      <c r="T1" s="2099"/>
      <c r="U1" s="2099"/>
      <c r="V1" s="2099"/>
      <c r="W1" s="2099"/>
      <c r="X1" s="2099"/>
      <c r="Y1" s="2099"/>
      <c r="Z1" s="2099"/>
      <c r="AA1" s="2099"/>
      <c r="AB1" s="2099"/>
      <c r="AC1" s="2100"/>
    </row>
    <row r="2" spans="1:29" s="358" customFormat="1" ht="28.5" customHeight="1" thickTop="1">
      <c r="A2" s="1357" t="s">
        <v>2087</v>
      </c>
      <c r="B2" s="1294" t="e">
        <f ca="1">IF(C2="——",ROUND(C49*D3/10000,0),ROUND(C49*D3/10000,0)-D2)</f>
        <v>#DIV/0!</v>
      </c>
      <c r="C2" s="2032"/>
      <c r="D2" s="1243" t="e">
        <f ca="1">SUMIF(INDIRECT("'"&amp;F2&amp;"'"&amp;"!A:A"),"承租人权益价值",INDIRECT("'"&amp;F2&amp;"'"&amp;"!c:c"))</f>
        <v>#REF!</v>
      </c>
      <c r="E2" s="2033" t="s">
        <v>2088</v>
      </c>
      <c r="F2" s="2034"/>
      <c r="G2" s="1035"/>
      <c r="H2" s="1035"/>
      <c r="I2" s="1035"/>
      <c r="J2" s="1035"/>
      <c r="K2" s="1035"/>
      <c r="L2" s="2925"/>
      <c r="M2" s="2926"/>
      <c r="N2" s="2926"/>
      <c r="O2" s="2926"/>
      <c r="P2" s="2101"/>
      <c r="Q2" s="1039"/>
      <c r="R2" s="1039"/>
      <c r="S2" s="1039"/>
      <c r="T2" s="1039"/>
      <c r="U2" s="1039"/>
      <c r="V2" s="1039"/>
      <c r="W2" s="1039"/>
      <c r="X2" s="1039"/>
      <c r="Y2" s="1039"/>
      <c r="Z2" s="1039"/>
      <c r="AA2" s="1039"/>
      <c r="AB2" s="1039"/>
      <c r="AC2" s="2102"/>
    </row>
    <row r="3" spans="1:29" s="358" customFormat="1" ht="28.5" customHeight="1" thickBot="1">
      <c r="A3" s="209" t="s">
        <v>2089</v>
      </c>
      <c r="B3" s="566" t="e">
        <f ca="1">IF(C2="——",C49,ROUND(B2*10000/D3,0))</f>
        <v>#DIV/0!</v>
      </c>
      <c r="C3" s="360" t="s">
        <v>2403</v>
      </c>
      <c r="D3" s="359">
        <f>IF(D1="",'数据-汇总表'!E3,SUMIF('数据-汇总表'!$C19:$C33,D1,'数据-汇总表'!$E19:$E33))</f>
        <v>63823.659999999953</v>
      </c>
      <c r="E3" s="2103"/>
      <c r="F3" s="1036"/>
      <c r="G3" s="1035"/>
      <c r="H3" s="1035"/>
      <c r="I3" s="1035"/>
      <c r="J3" s="1035"/>
      <c r="K3" s="1037"/>
      <c r="L3" s="2925"/>
      <c r="M3" s="2926"/>
      <c r="N3" s="2926"/>
      <c r="O3" s="2926"/>
      <c r="P3" s="2101"/>
      <c r="Q3" s="1039"/>
      <c r="R3" s="1039"/>
      <c r="S3" s="1039"/>
      <c r="T3" s="1039"/>
      <c r="U3" s="1039"/>
      <c r="V3" s="1039"/>
      <c r="W3" s="1039"/>
      <c r="X3" s="1039"/>
      <c r="Y3" s="1039"/>
      <c r="Z3" s="1039"/>
      <c r="AA3" s="1039"/>
      <c r="AB3" s="1039"/>
      <c r="AC3" s="2103"/>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61" t="s">
        <v>2406</v>
      </c>
      <c r="S4" s="3762"/>
      <c r="T4" s="3761" t="s">
        <v>2407</v>
      </c>
      <c r="U4" s="3762"/>
      <c r="V4" s="3767" t="s">
        <v>2408</v>
      </c>
      <c r="W4" s="3767"/>
      <c r="X4" s="1505"/>
      <c r="Y4" s="3761" t="s">
        <v>2410</v>
      </c>
      <c r="Z4" s="3762"/>
      <c r="AA4" s="3748" t="s">
        <v>2406</v>
      </c>
      <c r="AB4" s="3767" t="s">
        <v>2407</v>
      </c>
      <c r="AC4" s="3748" t="s">
        <v>2408</v>
      </c>
    </row>
    <row r="5" spans="1:29" ht="15">
      <c r="A5" s="364"/>
      <c r="B5" s="365"/>
      <c r="C5" s="3779" t="s">
        <v>2301</v>
      </c>
      <c r="D5" s="3771"/>
      <c r="E5" s="3780" t="s">
        <v>2302</v>
      </c>
      <c r="F5" s="3778"/>
      <c r="G5" s="3779" t="s">
        <v>2303</v>
      </c>
      <c r="H5" s="3771"/>
      <c r="I5" s="3779" t="s">
        <v>2304</v>
      </c>
      <c r="J5" s="3771"/>
      <c r="K5" s="567"/>
      <c r="L5" s="2906"/>
      <c r="M5" s="2907"/>
      <c r="N5" s="2907"/>
      <c r="O5" s="2907"/>
      <c r="P5" s="3757"/>
      <c r="Q5" s="3758"/>
      <c r="R5" s="3763"/>
      <c r="S5" s="3764"/>
      <c r="T5" s="3763"/>
      <c r="U5" s="3764"/>
      <c r="V5" s="3767"/>
      <c r="W5" s="3767"/>
      <c r="X5" s="1505"/>
      <c r="Y5" s="3763"/>
      <c r="Z5" s="3764"/>
      <c r="AA5" s="3749"/>
      <c r="AB5" s="3767"/>
      <c r="AC5" s="3749"/>
    </row>
    <row r="6" spans="1:29" ht="15.75" thickBot="1">
      <c r="A6" s="366"/>
      <c r="B6" s="367"/>
      <c r="C6" s="3768" t="s">
        <v>2305</v>
      </c>
      <c r="D6" s="3769"/>
      <c r="E6" s="3775" t="s">
        <v>2305</v>
      </c>
      <c r="F6" s="3776"/>
      <c r="G6" s="3768" t="s">
        <v>2305</v>
      </c>
      <c r="H6" s="3769"/>
      <c r="I6" s="3768" t="s">
        <v>2305</v>
      </c>
      <c r="J6" s="3769"/>
      <c r="K6" s="567" t="s">
        <v>2306</v>
      </c>
      <c r="L6" s="2906"/>
      <c r="M6" s="2907"/>
      <c r="N6" s="2907"/>
      <c r="O6" s="2907"/>
      <c r="P6" s="3759"/>
      <c r="Q6" s="3760"/>
      <c r="R6" s="3763"/>
      <c r="S6" s="3764"/>
      <c r="T6" s="3765"/>
      <c r="U6" s="3766"/>
      <c r="V6" s="3767"/>
      <c r="W6" s="3767"/>
      <c r="X6" s="1505"/>
      <c r="Y6" s="3765"/>
      <c r="Z6" s="3766"/>
      <c r="AA6" s="3750"/>
      <c r="AB6" s="3767"/>
      <c r="AC6" s="3750"/>
    </row>
    <row r="7" spans="1:29" s="113" customFormat="1" ht="15.75" thickBot="1">
      <c r="A7" s="368" t="s">
        <v>2307</v>
      </c>
      <c r="B7" s="369"/>
      <c r="C7" s="370">
        <f>'数据-取费表'!B2</f>
        <v>44652</v>
      </c>
      <c r="D7" s="371">
        <v>100</v>
      </c>
      <c r="E7" s="372"/>
      <c r="F7" s="373">
        <f>SUMIF(58:58,YEAR(E7)&amp;"-"&amp;MONTH(E7),59:59)</f>
        <v>0</v>
      </c>
      <c r="G7" s="372"/>
      <c r="H7" s="371">
        <f>SUMIF(58:58,YEAR(G7)&amp;"-"&amp;MONTH(G7),59:59)</f>
        <v>0</v>
      </c>
      <c r="I7" s="372"/>
      <c r="J7" s="371">
        <f>SUMIF(58:58,YEAR(I7)&amp;"-"&amp;MONTH(I7),59:59)</f>
        <v>0</v>
      </c>
      <c r="K7" s="568"/>
      <c r="L7" s="2908"/>
      <c r="M7" s="2909"/>
      <c r="N7" s="2909"/>
      <c r="O7" s="2909"/>
      <c r="P7" s="3772" t="s">
        <v>2308</v>
      </c>
      <c r="Q7" s="3774"/>
      <c r="R7" s="710" t="s">
        <v>17</v>
      </c>
      <c r="S7" s="711">
        <f t="shared" ref="S7:S15" si="0">F7</f>
        <v>0</v>
      </c>
      <c r="T7" s="710" t="s">
        <v>17</v>
      </c>
      <c r="U7" s="711">
        <f t="shared" ref="U7:U15" si="1">H7</f>
        <v>0</v>
      </c>
      <c r="V7" s="710" t="s">
        <v>17</v>
      </c>
      <c r="W7" s="711">
        <f t="shared" ref="W7:W15" si="2">J7</f>
        <v>0</v>
      </c>
      <c r="X7" s="712"/>
      <c r="Y7" s="3772" t="s">
        <v>2308</v>
      </c>
      <c r="Z7" s="3773"/>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08"/>
      <c r="M8" s="2909"/>
      <c r="N8" s="2909"/>
      <c r="O8" s="2909"/>
      <c r="P8" s="3772" t="s">
        <v>2311</v>
      </c>
      <c r="Q8" s="3773"/>
      <c r="R8" s="710" t="s">
        <v>17</v>
      </c>
      <c r="S8" s="711">
        <f t="shared" si="0"/>
        <v>0</v>
      </c>
      <c r="T8" s="710" t="s">
        <v>17</v>
      </c>
      <c r="U8" s="711">
        <f t="shared" si="1"/>
        <v>0</v>
      </c>
      <c r="V8" s="710" t="s">
        <v>17</v>
      </c>
      <c r="W8" s="711">
        <f t="shared" si="2"/>
        <v>0</v>
      </c>
      <c r="X8" s="712"/>
      <c r="Y8" s="3772" t="s">
        <v>2311</v>
      </c>
      <c r="Z8" s="3773"/>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08"/>
      <c r="M9" s="2909"/>
      <c r="N9" s="2909"/>
      <c r="O9" s="2909"/>
      <c r="P9" s="3747" t="s">
        <v>2314</v>
      </c>
      <c r="Q9" s="1493" t="str">
        <f t="shared" ref="Q9:Q15" si="6">B9</f>
        <v>用途</v>
      </c>
      <c r="R9" s="710" t="s">
        <v>17</v>
      </c>
      <c r="S9" s="711">
        <f t="shared" si="0"/>
        <v>100</v>
      </c>
      <c r="T9" s="710" t="s">
        <v>17</v>
      </c>
      <c r="U9" s="711">
        <f t="shared" si="1"/>
        <v>100</v>
      </c>
      <c r="V9" s="710" t="s">
        <v>17</v>
      </c>
      <c r="W9" s="711">
        <f t="shared" si="2"/>
        <v>100</v>
      </c>
      <c r="X9" s="712"/>
      <c r="Y9" s="3608"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0"/>
      <c r="M10" s="2911"/>
      <c r="N10" s="2911"/>
      <c r="O10" s="2911"/>
      <c r="P10" s="3747"/>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2"/>
      <c r="M11" s="2907"/>
      <c r="N11" s="2907"/>
      <c r="O11" s="2907"/>
      <c r="P11" s="3747"/>
      <c r="Q11" s="1493" t="str">
        <f t="shared" si="6"/>
        <v>容积率</v>
      </c>
      <c r="R11" s="710" t="s">
        <v>17</v>
      </c>
      <c r="S11" s="711" t="e">
        <f t="shared" si="0"/>
        <v>#N/A</v>
      </c>
      <c r="T11" s="710" t="s">
        <v>17</v>
      </c>
      <c r="U11" s="711" t="e">
        <f t="shared" si="1"/>
        <v>#N/A</v>
      </c>
      <c r="V11" s="710" t="s">
        <v>17</v>
      </c>
      <c r="W11" s="711" t="e">
        <f t="shared" si="2"/>
        <v>#N/A</v>
      </c>
      <c r="X11" s="712"/>
      <c r="Y11" s="3608"/>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384">
        <f>SUMIF(70:70,E12,71:71)-SUMIF(70:70,C12,71:71)+100</f>
        <v>100</v>
      </c>
      <c r="G12" s="393"/>
      <c r="H12" s="132">
        <f>SUMIF(70:70,G12,71:71)-SUMIF(70:70,C12,71:71)+100</f>
        <v>100</v>
      </c>
      <c r="I12" s="393"/>
      <c r="J12" s="132">
        <f>SUMIF(70:70,I12,71:71)-SUMIF(70:70,C12,71:71)+100</f>
        <v>100</v>
      </c>
      <c r="K12" s="570"/>
      <c r="L12" s="2908"/>
      <c r="M12" s="2909"/>
      <c r="N12" s="2909"/>
      <c r="O12" s="2909"/>
      <c r="P12" s="3747"/>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570"/>
      <c r="L13" s="2913"/>
      <c r="M13" s="2907"/>
      <c r="N13" s="2907"/>
      <c r="O13" s="2907"/>
      <c r="P13" s="3747"/>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713">
        <f t="shared" si="5"/>
        <v>1</v>
      </c>
    </row>
    <row r="14" spans="1:29" ht="15.75" thickBot="1">
      <c r="A14" s="395"/>
      <c r="B14" s="2046">
        <v>111</v>
      </c>
      <c r="C14" s="396"/>
      <c r="D14" s="397">
        <v>100</v>
      </c>
      <c r="E14" s="393"/>
      <c r="F14" s="398">
        <f>SUMIF(74:74,E14,75:75)-SUMIF(74:74,C14,75:75)+100</f>
        <v>100</v>
      </c>
      <c r="G14" s="393"/>
      <c r="H14" s="397">
        <f>SUMIF(74:74,G14,75:75)-SUMIF(74:74,C14,75:75)+100</f>
        <v>100</v>
      </c>
      <c r="I14" s="393"/>
      <c r="J14" s="397">
        <f>SUMIF(74:74,I14,75:75)-SUMIF(74:74,C14,75:75)+100</f>
        <v>100</v>
      </c>
      <c r="K14" s="570"/>
      <c r="L14" s="2913"/>
      <c r="M14" s="2907"/>
      <c r="N14" s="2907"/>
      <c r="O14" s="2907"/>
      <c r="P14" s="3747"/>
      <c r="Q14" s="1493">
        <f t="shared" si="6"/>
        <v>111</v>
      </c>
      <c r="R14" s="710" t="s">
        <v>17</v>
      </c>
      <c r="S14" s="711">
        <f t="shared" si="0"/>
        <v>100</v>
      </c>
      <c r="T14" s="710" t="s">
        <v>17</v>
      </c>
      <c r="U14" s="711">
        <f t="shared" si="1"/>
        <v>100</v>
      </c>
      <c r="V14" s="710" t="s">
        <v>17</v>
      </c>
      <c r="W14" s="711">
        <f t="shared" si="2"/>
        <v>100</v>
      </c>
      <c r="X14" s="712"/>
      <c r="Y14" s="3608"/>
      <c r="Z14" s="55">
        <f t="shared" si="7"/>
        <v>111</v>
      </c>
      <c r="AA14" s="713">
        <f t="shared" si="3"/>
        <v>1</v>
      </c>
      <c r="AB14" s="713">
        <f t="shared" si="4"/>
        <v>1</v>
      </c>
      <c r="AC14" s="713">
        <f t="shared" si="5"/>
        <v>1</v>
      </c>
    </row>
    <row r="15" spans="1:29" ht="71.25">
      <c r="A15" s="399" t="s">
        <v>2318</v>
      </c>
      <c r="B15" s="65" t="s">
        <v>2412</v>
      </c>
      <c r="C15" s="2047"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3"/>
      <c r="M15" s="2907"/>
      <c r="N15" s="2907"/>
      <c r="O15" s="2907"/>
      <c r="P15" s="3745" t="s">
        <v>2319</v>
      </c>
      <c r="Q15" s="1502" t="str">
        <f t="shared" si="6"/>
        <v>商业繁华度</v>
      </c>
      <c r="R15" s="714" t="s">
        <v>17</v>
      </c>
      <c r="S15" s="715">
        <f t="shared" si="0"/>
        <v>100</v>
      </c>
      <c r="T15" s="714" t="s">
        <v>17</v>
      </c>
      <c r="U15" s="715">
        <f t="shared" si="1"/>
        <v>100</v>
      </c>
      <c r="V15" s="714" t="s">
        <v>17</v>
      </c>
      <c r="W15" s="715">
        <f t="shared" si="2"/>
        <v>100</v>
      </c>
      <c r="X15" s="1505"/>
      <c r="Y15" s="3738" t="s">
        <v>2319</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3"/>
      <c r="M16" s="2907"/>
      <c r="N16" s="2907"/>
      <c r="O16" s="2907"/>
      <c r="P16" s="3746"/>
      <c r="Q16" s="1502"/>
      <c r="R16" s="714"/>
      <c r="S16" s="715"/>
      <c r="T16" s="714"/>
      <c r="U16" s="715"/>
      <c r="V16" s="714"/>
      <c r="W16" s="715"/>
      <c r="X16" s="1505"/>
      <c r="Y16" s="3739"/>
      <c r="Z16" s="1506"/>
      <c r="AA16" s="1503">
        <v>1</v>
      </c>
      <c r="AB16" s="1503">
        <v>1</v>
      </c>
      <c r="AC16" s="1503">
        <v>1</v>
      </c>
    </row>
    <row r="17" spans="1:29" ht="199.5">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1"/>
      <c r="F17" s="412">
        <f>SUMIF(78:78,E18,79:79)-SUMIF(78:78,C18,79:79)+100</f>
        <v>100</v>
      </c>
      <c r="G17" s="413"/>
      <c r="H17" s="414">
        <f>SUMIF(78:78,G18,79:79)-SUMIF(78:78,C18,79:79)+100</f>
        <v>100</v>
      </c>
      <c r="I17" s="411"/>
      <c r="J17" s="414">
        <f>SUMIF(78:78,I18,79:79)-SUMIF(78:78,C18,79:79)+100</f>
        <v>100</v>
      </c>
      <c r="K17" s="571"/>
      <c r="L17" s="2913"/>
      <c r="M17" s="2907"/>
      <c r="N17" s="2907"/>
      <c r="O17" s="2907"/>
      <c r="P17" s="3746"/>
      <c r="Q17" s="1502" t="str">
        <f>B17</f>
        <v>交通便捷度</v>
      </c>
      <c r="R17" s="714" t="s">
        <v>17</v>
      </c>
      <c r="S17" s="715">
        <f>F17</f>
        <v>100</v>
      </c>
      <c r="T17" s="714" t="s">
        <v>17</v>
      </c>
      <c r="U17" s="715">
        <f>H17</f>
        <v>100</v>
      </c>
      <c r="V17" s="714" t="s">
        <v>17</v>
      </c>
      <c r="W17" s="715">
        <f>J17</f>
        <v>100</v>
      </c>
      <c r="X17" s="1505"/>
      <c r="Y17" s="3739"/>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2913"/>
      <c r="M18" s="2907"/>
      <c r="N18" s="2907"/>
      <c r="O18" s="2907"/>
      <c r="P18" s="3746"/>
      <c r="Q18" s="1502"/>
      <c r="R18" s="714"/>
      <c r="S18" s="715"/>
      <c r="T18" s="714"/>
      <c r="U18" s="715"/>
      <c r="V18" s="714"/>
      <c r="W18" s="715"/>
      <c r="X18" s="1505"/>
      <c r="Y18" s="3739"/>
      <c r="Z18" s="1506"/>
      <c r="AA18" s="1503">
        <v>1</v>
      </c>
      <c r="AB18" s="1503">
        <v>1</v>
      </c>
      <c r="AC18" s="1503">
        <v>1</v>
      </c>
    </row>
    <row r="19" spans="1:29" ht="342">
      <c r="A19" s="387"/>
      <c r="B19" s="410" t="s">
        <v>2413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6"/>
      <c r="F19" s="417">
        <f>SUMIF(80:80,E20,81:81)-SUMIF(80:80,C20,81:81)+100</f>
        <v>100</v>
      </c>
      <c r="G19" s="418"/>
      <c r="H19" s="409">
        <f>SUMIF(80:80,G20,81:81)-SUMIF(80:80,C20,81:81)+100</f>
        <v>100</v>
      </c>
      <c r="I19" s="416"/>
      <c r="J19" s="409">
        <f>SUMIF(80:80,I20,81:81)-SUMIF(80:80,C20,81:81)+100</f>
        <v>100</v>
      </c>
      <c r="K19" s="571"/>
      <c r="L19" s="2913"/>
      <c r="M19" s="2907"/>
      <c r="N19" s="2907"/>
      <c r="O19" s="2907"/>
      <c r="P19" s="3746"/>
      <c r="Q19" s="1502" t="str">
        <f>B19</f>
        <v>公共配套设施</v>
      </c>
      <c r="R19" s="714" t="s">
        <v>17</v>
      </c>
      <c r="S19" s="715">
        <f>F19</f>
        <v>100</v>
      </c>
      <c r="T19" s="714" t="s">
        <v>17</v>
      </c>
      <c r="U19" s="715">
        <f>H19</f>
        <v>100</v>
      </c>
      <c r="V19" s="714" t="s">
        <v>17</v>
      </c>
      <c r="W19" s="715">
        <f>J19</f>
        <v>100</v>
      </c>
      <c r="X19" s="1505"/>
      <c r="Y19" s="3739"/>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2913"/>
      <c r="M20" s="2907"/>
      <c r="N20" s="2907"/>
      <c r="O20" s="2907"/>
      <c r="P20" s="3746"/>
      <c r="Q20" s="1502"/>
      <c r="R20" s="714"/>
      <c r="S20" s="715"/>
      <c r="T20" s="714"/>
      <c r="U20" s="715"/>
      <c r="V20" s="714"/>
      <c r="W20" s="715"/>
      <c r="X20" s="1505"/>
      <c r="Y20" s="3739"/>
      <c r="Z20" s="1506"/>
      <c r="AA20" s="1503">
        <v>1</v>
      </c>
      <c r="AB20" s="1503">
        <v>1</v>
      </c>
      <c r="AC20" s="1503">
        <v>1</v>
      </c>
    </row>
    <row r="21" spans="1:29" ht="28.5">
      <c r="A21" s="387"/>
      <c r="B21" s="1261" t="s">
        <v>2414</v>
      </c>
      <c r="C21" s="2051"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3"/>
      <c r="M21" s="2907"/>
      <c r="N21" s="2907"/>
      <c r="O21" s="2907"/>
      <c r="P21" s="3746"/>
      <c r="Q21" s="1502" t="str">
        <f>B21</f>
        <v>基础设施水平</v>
      </c>
      <c r="R21" s="714" t="s">
        <v>17</v>
      </c>
      <c r="S21" s="715">
        <f>F21</f>
        <v>100</v>
      </c>
      <c r="T21" s="714" t="s">
        <v>17</v>
      </c>
      <c r="U21" s="715">
        <f>H21</f>
        <v>100</v>
      </c>
      <c r="V21" s="714" t="s">
        <v>17</v>
      </c>
      <c r="W21" s="715">
        <f>J21</f>
        <v>100</v>
      </c>
      <c r="X21" s="1505"/>
      <c r="Y21" s="3739"/>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2913"/>
      <c r="M22" s="2907"/>
      <c r="N22" s="2907"/>
      <c r="O22" s="2907"/>
      <c r="P22" s="3746"/>
      <c r="Q22" s="1502"/>
      <c r="R22" s="714"/>
      <c r="S22" s="715"/>
      <c r="T22" s="714"/>
      <c r="U22" s="715"/>
      <c r="V22" s="714"/>
      <c r="W22" s="715"/>
      <c r="X22" s="1505"/>
      <c r="Y22" s="3739"/>
      <c r="Z22" s="1506"/>
      <c r="AA22" s="1503">
        <v>1</v>
      </c>
      <c r="AB22" s="1503">
        <v>1</v>
      </c>
      <c r="AC22" s="1503">
        <v>1</v>
      </c>
    </row>
    <row r="23" spans="1:29" ht="128.25">
      <c r="A23" s="387"/>
      <c r="B23" s="410" t="s">
        <v>1886</v>
      </c>
      <c r="C23" s="2104" t="str">
        <f>估价对象房地状况!C9</f>
        <v>自然环境有西湖园、社区文化公园等自然景观；人文环境无；距离北京首都国际机场1.5公里，机场噪音大，综合评价环境状况较差。</v>
      </c>
      <c r="D23" s="409">
        <v>100</v>
      </c>
      <c r="E23" s="411"/>
      <c r="F23" s="412">
        <f>SUMIF(84:84,E24,85:85)-SUMIF(84:84,C24,85:85)+100</f>
        <v>100</v>
      </c>
      <c r="G23" s="413"/>
      <c r="H23" s="409">
        <f>SUMIF(84:84,G24,85:85)-SUMIF(84:84,C24,85:85)+100</f>
        <v>100</v>
      </c>
      <c r="I23" s="411"/>
      <c r="J23" s="409">
        <f>SUMIF(84:84,I24,85:85)-SUMIF(84:84,C24,85:85)+100</f>
        <v>100</v>
      </c>
      <c r="K23" s="571"/>
      <c r="L23" s="2913"/>
      <c r="M23" s="2907"/>
      <c r="N23" s="2907"/>
      <c r="O23" s="2907"/>
      <c r="P23" s="3746"/>
      <c r="Q23" s="1502" t="str">
        <f>B23</f>
        <v>自然及人文环境</v>
      </c>
      <c r="R23" s="714" t="s">
        <v>17</v>
      </c>
      <c r="S23" s="715">
        <f>F23</f>
        <v>100</v>
      </c>
      <c r="T23" s="714" t="s">
        <v>17</v>
      </c>
      <c r="U23" s="715">
        <f>H23</f>
        <v>100</v>
      </c>
      <c r="V23" s="714" t="s">
        <v>17</v>
      </c>
      <c r="W23" s="715">
        <f>J23</f>
        <v>100</v>
      </c>
      <c r="X23" s="1505"/>
      <c r="Y23" s="3739"/>
      <c r="Z23" s="1506" t="str">
        <f>Q23</f>
        <v>自然及人文环境</v>
      </c>
      <c r="AA23" s="1503">
        <f t="shared" si="3"/>
        <v>1</v>
      </c>
      <c r="AB23" s="1503">
        <f t="shared" si="4"/>
        <v>1</v>
      </c>
      <c r="AC23" s="1503">
        <f t="shared" si="5"/>
        <v>1</v>
      </c>
    </row>
    <row r="24" spans="1:29" ht="15">
      <c r="A24" s="387"/>
      <c r="B24" s="415"/>
      <c r="C24" s="406"/>
      <c r="D24" s="407"/>
      <c r="E24" s="2049"/>
      <c r="F24" s="408"/>
      <c r="G24" s="2048"/>
      <c r="H24" s="407"/>
      <c r="I24" s="2049"/>
      <c r="J24" s="407"/>
      <c r="K24" s="572"/>
      <c r="L24" s="2913"/>
      <c r="M24" s="2907"/>
      <c r="N24" s="2907"/>
      <c r="O24" s="2907"/>
      <c r="P24" s="3746"/>
      <c r="Q24" s="1502"/>
      <c r="R24" s="714"/>
      <c r="S24" s="715"/>
      <c r="T24" s="714"/>
      <c r="U24" s="715"/>
      <c r="V24" s="714"/>
      <c r="W24" s="715"/>
      <c r="X24" s="1505"/>
      <c r="Y24" s="3739"/>
      <c r="Z24" s="1506"/>
      <c r="AA24" s="1503">
        <v>1</v>
      </c>
      <c r="AB24" s="1503">
        <v>1</v>
      </c>
      <c r="AC24" s="1503">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3"/>
      <c r="M25" s="2907"/>
      <c r="N25" s="2907"/>
      <c r="O25" s="2907"/>
      <c r="P25" s="3746"/>
      <c r="Q25" s="1502" t="str">
        <f t="shared" ref="Q25:Q46" si="11">B25</f>
        <v>临街状况</v>
      </c>
      <c r="R25" s="714" t="s">
        <v>17</v>
      </c>
      <c r="S25" s="715">
        <f>F25</f>
        <v>100</v>
      </c>
      <c r="T25" s="714" t="s">
        <v>17</v>
      </c>
      <c r="U25" s="715">
        <f>H25</f>
        <v>100</v>
      </c>
      <c r="V25" s="714" t="s">
        <v>17</v>
      </c>
      <c r="W25" s="715">
        <f>J25</f>
        <v>100</v>
      </c>
      <c r="X25" s="1505"/>
      <c r="Y25" s="3739"/>
      <c r="Z25" s="1506" t="str">
        <f>Q25</f>
        <v>临街状况</v>
      </c>
      <c r="AA25" s="1503">
        <f t="shared" si="3"/>
        <v>1</v>
      </c>
      <c r="AB25" s="1503">
        <f t="shared" si="4"/>
        <v>1</v>
      </c>
      <c r="AC25" s="1503">
        <f t="shared" si="5"/>
        <v>1</v>
      </c>
    </row>
    <row r="26" spans="1:29" ht="15">
      <c r="A26" s="387"/>
      <c r="B26" s="1263" t="s">
        <v>2416</v>
      </c>
      <c r="C26" s="393"/>
      <c r="D26" s="394">
        <v>100</v>
      </c>
      <c r="E26" s="393"/>
      <c r="F26" s="420">
        <f>SUMIF(88:88,E26,89:89)-SUMIF(88:88,C26,89:89)+100</f>
        <v>100</v>
      </c>
      <c r="G26" s="393"/>
      <c r="H26" s="394">
        <f>SUMIF(88:88,G26,89:89)-SUMIF(88:88,C26,89:89)+100</f>
        <v>100</v>
      </c>
      <c r="I26" s="393"/>
      <c r="J26" s="394">
        <f>SUMIF(88:88,I26,89:89)-SUMIF(88:88,C26,89:89)+100</f>
        <v>100</v>
      </c>
      <c r="K26" s="570"/>
      <c r="L26" s="2913"/>
      <c r="M26" s="2907"/>
      <c r="N26" s="2907"/>
      <c r="O26" s="2907"/>
      <c r="P26" s="3746"/>
      <c r="Q26" s="1502" t="str">
        <f t="shared" si="11"/>
        <v>平面位置/可视性</v>
      </c>
      <c r="R26" s="714" t="s">
        <v>17</v>
      </c>
      <c r="S26" s="715">
        <f>F26</f>
        <v>100</v>
      </c>
      <c r="T26" s="714" t="s">
        <v>17</v>
      </c>
      <c r="U26" s="715">
        <f>H26</f>
        <v>100</v>
      </c>
      <c r="V26" s="714" t="s">
        <v>17</v>
      </c>
      <c r="W26" s="715">
        <f>J26</f>
        <v>100</v>
      </c>
      <c r="X26" s="1505"/>
      <c r="Y26" s="3739"/>
      <c r="Z26" s="1506" t="str">
        <f>Q26</f>
        <v>平面位置/可视性</v>
      </c>
      <c r="AA26" s="1503">
        <f t="shared" si="3"/>
        <v>1</v>
      </c>
      <c r="AB26" s="1503">
        <f t="shared" si="4"/>
        <v>1</v>
      </c>
      <c r="AC26" s="1503">
        <f t="shared" si="5"/>
        <v>1</v>
      </c>
    </row>
    <row r="27" spans="1:29" s="113" customFormat="1" ht="15">
      <c r="A27" s="390"/>
      <c r="B27" s="410" t="s">
        <v>2417</v>
      </c>
      <c r="C27" s="2105"/>
      <c r="D27" s="421">
        <v>100</v>
      </c>
      <c r="E27" s="2105"/>
      <c r="F27" s="423">
        <f>SUMIF(90:90,E27,91:91)-SUMIF(90:90,C27,91:91)+100</f>
        <v>100</v>
      </c>
      <c r="G27" s="2105"/>
      <c r="H27" s="421">
        <f>SUMIF(90:90,G27,91:91)-SUMIF(90:90,C27,91:91)+100</f>
        <v>100</v>
      </c>
      <c r="I27" s="2105"/>
      <c r="J27" s="421">
        <f>SUMIF(90:90,I27,91:91)-SUMIF(90:90,C27,91:91)+100</f>
        <v>100</v>
      </c>
      <c r="K27" s="569"/>
      <c r="L27" s="2908"/>
      <c r="M27" s="2909"/>
      <c r="N27" s="2909"/>
      <c r="O27" s="2909"/>
      <c r="P27" s="3746"/>
      <c r="Q27" s="1493" t="str">
        <f t="shared" si="11"/>
        <v>人流量</v>
      </c>
      <c r="R27" s="710" t="s">
        <v>17</v>
      </c>
      <c r="S27" s="711">
        <f>F27</f>
        <v>100</v>
      </c>
      <c r="T27" s="710" t="s">
        <v>17</v>
      </c>
      <c r="U27" s="711">
        <f>H27</f>
        <v>100</v>
      </c>
      <c r="V27" s="710" t="s">
        <v>17</v>
      </c>
      <c r="W27" s="711">
        <f>J27</f>
        <v>100</v>
      </c>
      <c r="X27" s="712"/>
      <c r="Y27" s="3739"/>
      <c r="Z27" s="55" t="str">
        <f>Q27</f>
        <v>人流量</v>
      </c>
      <c r="AA27" s="1503">
        <f>D27/F27</f>
        <v>1</v>
      </c>
      <c r="AB27" s="1503">
        <f>D27/H27</f>
        <v>1</v>
      </c>
      <c r="AC27" s="1503">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3"/>
      <c r="M28" s="2907"/>
      <c r="N28" s="2907"/>
      <c r="O28" s="2907"/>
      <c r="P28" s="3746"/>
      <c r="Q28" s="1502" t="str">
        <f t="shared" si="11"/>
        <v>楼层</v>
      </c>
      <c r="R28" s="714" t="s">
        <v>17</v>
      </c>
      <c r="S28" s="715">
        <f t="shared" ref="S28:S46" si="12">F28</f>
        <v>100</v>
      </c>
      <c r="T28" s="714" t="s">
        <v>17</v>
      </c>
      <c r="U28" s="715">
        <f t="shared" ref="U28:U46" si="13">H28</f>
        <v>100</v>
      </c>
      <c r="V28" s="714" t="s">
        <v>17</v>
      </c>
      <c r="W28" s="715">
        <f t="shared" ref="W28:W46" si="14">J28</f>
        <v>100</v>
      </c>
      <c r="X28" s="1505"/>
      <c r="Y28" s="3739"/>
      <c r="Z28" s="1506" t="str">
        <f t="shared" ref="Z28:Z46" si="15">Q28</f>
        <v>楼层</v>
      </c>
      <c r="AA28" s="1503">
        <f t="shared" si="3"/>
        <v>1</v>
      </c>
      <c r="AB28" s="1503">
        <f t="shared" si="4"/>
        <v>1</v>
      </c>
      <c r="AC28" s="1503">
        <f t="shared" si="5"/>
        <v>1</v>
      </c>
    </row>
    <row r="29" spans="1:29" ht="15">
      <c r="A29" s="387"/>
      <c r="B29" s="1263">
        <v>111</v>
      </c>
      <c r="C29" s="393"/>
      <c r="D29" s="394">
        <v>100</v>
      </c>
      <c r="E29" s="393"/>
      <c r="F29" s="420">
        <f>SUMIF(94:94,E29,95:95)-SUMIF(94:94,C29,95:95)+100</f>
        <v>100</v>
      </c>
      <c r="G29" s="393"/>
      <c r="H29" s="394">
        <f>SUMIF(94:94,G29,95:95)-SUMIF(94:94,C29,95:95)+100</f>
        <v>100</v>
      </c>
      <c r="I29" s="393"/>
      <c r="J29" s="394">
        <f>SUMIF(94:94,I29,95:95)-SUMIF(94:94,C29,95:95)+100</f>
        <v>100</v>
      </c>
      <c r="K29" s="570"/>
      <c r="L29" s="2913"/>
      <c r="M29" s="2907"/>
      <c r="N29" s="2907"/>
      <c r="O29" s="2907"/>
      <c r="P29" s="3746"/>
      <c r="Q29" s="1502">
        <f t="shared" si="11"/>
        <v>111</v>
      </c>
      <c r="R29" s="714" t="s">
        <v>17</v>
      </c>
      <c r="S29" s="715">
        <f t="shared" si="12"/>
        <v>100</v>
      </c>
      <c r="T29" s="714" t="s">
        <v>17</v>
      </c>
      <c r="U29" s="715">
        <f t="shared" si="13"/>
        <v>100</v>
      </c>
      <c r="V29" s="714" t="s">
        <v>17</v>
      </c>
      <c r="W29" s="715">
        <f t="shared" si="14"/>
        <v>100</v>
      </c>
      <c r="X29" s="1505"/>
      <c r="Y29" s="3739"/>
      <c r="Z29" s="1506">
        <f t="shared" si="15"/>
        <v>111</v>
      </c>
      <c r="AA29" s="1503">
        <f t="shared" si="3"/>
        <v>1</v>
      </c>
      <c r="AB29" s="1503">
        <f t="shared" si="4"/>
        <v>1</v>
      </c>
      <c r="AC29" s="1503">
        <f t="shared" si="5"/>
        <v>1</v>
      </c>
    </row>
    <row r="30" spans="1:29" ht="15">
      <c r="A30" s="387"/>
      <c r="B30" s="1263">
        <v>111</v>
      </c>
      <c r="C30" s="393"/>
      <c r="D30" s="394">
        <v>100</v>
      </c>
      <c r="E30" s="393"/>
      <c r="F30" s="420">
        <f>SUMIF(96:96,E30,97:97)-SUMIF(96:96,C30,97:97)+100</f>
        <v>100</v>
      </c>
      <c r="G30" s="393"/>
      <c r="H30" s="394">
        <f>SUMIF(96:96,G30,97:97)-SUMIF(96:96,C30,97:97)+100</f>
        <v>100</v>
      </c>
      <c r="I30" s="393"/>
      <c r="J30" s="394">
        <f>SUMIF(96:96,I30,97:97)-SUMIF(96:96,C30,97:97)+100</f>
        <v>100</v>
      </c>
      <c r="K30" s="570"/>
      <c r="L30" s="2913"/>
      <c r="M30" s="2907"/>
      <c r="N30" s="2907"/>
      <c r="O30" s="2907"/>
      <c r="P30" s="3746"/>
      <c r="Q30" s="1502">
        <f t="shared" si="11"/>
        <v>111</v>
      </c>
      <c r="R30" s="714" t="s">
        <v>17</v>
      </c>
      <c r="S30" s="715">
        <f t="shared" si="12"/>
        <v>100</v>
      </c>
      <c r="T30" s="714" t="s">
        <v>17</v>
      </c>
      <c r="U30" s="715">
        <f t="shared" si="13"/>
        <v>100</v>
      </c>
      <c r="V30" s="714" t="s">
        <v>17</v>
      </c>
      <c r="W30" s="715">
        <f t="shared" si="14"/>
        <v>100</v>
      </c>
      <c r="X30" s="1505"/>
      <c r="Y30" s="3739"/>
      <c r="Z30" s="1506">
        <f t="shared" si="15"/>
        <v>111</v>
      </c>
      <c r="AA30" s="1503">
        <f t="shared" si="3"/>
        <v>1</v>
      </c>
      <c r="AB30" s="1503">
        <f t="shared" si="4"/>
        <v>1</v>
      </c>
      <c r="AC30" s="1503">
        <f t="shared" si="5"/>
        <v>1</v>
      </c>
    </row>
    <row r="31" spans="1:29" ht="15.75" thickBot="1">
      <c r="A31" s="395"/>
      <c r="B31" s="1263">
        <v>111</v>
      </c>
      <c r="C31" s="396"/>
      <c r="D31" s="397">
        <v>100</v>
      </c>
      <c r="E31" s="393"/>
      <c r="F31" s="398">
        <f>SUMIF(98:98,E31,99:99)-SUMIF(98:98,C31,99:99)+100</f>
        <v>100</v>
      </c>
      <c r="G31" s="393"/>
      <c r="H31" s="397">
        <f>SUMIF(98:98,G31,99:99)-SUMIF(98:98,C31,99:99)+100</f>
        <v>100</v>
      </c>
      <c r="I31" s="393"/>
      <c r="J31" s="397">
        <f>SUMIF(98:98,I31,99:99)-SUMIF(98:98,C31,99:99)+100</f>
        <v>100</v>
      </c>
      <c r="K31" s="570"/>
      <c r="L31" s="2913"/>
      <c r="M31" s="2907"/>
      <c r="N31" s="2907"/>
      <c r="O31" s="2907"/>
      <c r="P31" s="3746"/>
      <c r="Q31" s="1502">
        <f t="shared" si="11"/>
        <v>111</v>
      </c>
      <c r="R31" s="714" t="s">
        <v>17</v>
      </c>
      <c r="S31" s="715">
        <f t="shared" si="12"/>
        <v>100</v>
      </c>
      <c r="T31" s="714" t="s">
        <v>17</v>
      </c>
      <c r="U31" s="715">
        <f t="shared" si="13"/>
        <v>100</v>
      </c>
      <c r="V31" s="714" t="s">
        <v>17</v>
      </c>
      <c r="W31" s="715">
        <f t="shared" si="14"/>
        <v>100</v>
      </c>
      <c r="X31" s="1505"/>
      <c r="Y31" s="3739"/>
      <c r="Z31" s="1506">
        <f t="shared" si="15"/>
        <v>111</v>
      </c>
      <c r="AA31" s="1503">
        <f t="shared" si="3"/>
        <v>1</v>
      </c>
      <c r="AB31" s="1503">
        <f t="shared" si="4"/>
        <v>1</v>
      </c>
      <c r="AC31" s="1503">
        <f t="shared" si="5"/>
        <v>1</v>
      </c>
    </row>
    <row r="32" spans="1:29" ht="15">
      <c r="A32" s="399" t="s">
        <v>2322</v>
      </c>
      <c r="B32" s="67" t="s">
        <v>2419</v>
      </c>
      <c r="C32" s="2061"/>
      <c r="D32" s="426">
        <v>100</v>
      </c>
      <c r="E32" s="2061"/>
      <c r="F32" s="420">
        <f>SUMIF(100:100,E32,101:101)-SUMIF(100:100,C32,101:101)+100</f>
        <v>100</v>
      </c>
      <c r="G32" s="2061"/>
      <c r="H32" s="394">
        <f>SUMIF(100:100,G32,101:101)-SUMIF(100:100,C32,101:101)+100</f>
        <v>100</v>
      </c>
      <c r="I32" s="2061"/>
      <c r="J32" s="426">
        <f>SUMIF(100:100,I32,101:101)-SUMIF(100:100,C32,101:101)+100</f>
        <v>100</v>
      </c>
      <c r="K32" s="569"/>
      <c r="L32" s="2913"/>
      <c r="M32" s="2907"/>
      <c r="N32" s="2907"/>
      <c r="O32" s="2907"/>
      <c r="P32" s="3740" t="s">
        <v>2324</v>
      </c>
      <c r="Q32" s="1502" t="str">
        <f t="shared" si="11"/>
        <v>商业类型</v>
      </c>
      <c r="R32" s="714" t="s">
        <v>17</v>
      </c>
      <c r="S32" s="715">
        <f t="shared" si="12"/>
        <v>100</v>
      </c>
      <c r="T32" s="714" t="s">
        <v>17</v>
      </c>
      <c r="U32" s="715">
        <f t="shared" si="13"/>
        <v>100</v>
      </c>
      <c r="V32" s="714" t="s">
        <v>17</v>
      </c>
      <c r="W32" s="715">
        <f t="shared" si="14"/>
        <v>100</v>
      </c>
      <c r="X32" s="1505"/>
      <c r="Y32" s="3743" t="s">
        <v>2324</v>
      </c>
      <c r="Z32" s="1506" t="str">
        <f t="shared" si="15"/>
        <v>商业类型</v>
      </c>
      <c r="AA32" s="1503">
        <f t="shared" si="3"/>
        <v>1</v>
      </c>
      <c r="AB32" s="1503">
        <f t="shared" si="4"/>
        <v>1</v>
      </c>
      <c r="AC32" s="1503">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2"/>
      <c r="M33" s="2914"/>
      <c r="N33" s="2914"/>
      <c r="O33" s="2914"/>
      <c r="P33" s="3741"/>
      <c r="Q33" s="716" t="str">
        <f t="shared" si="11"/>
        <v>项目建筑规模</v>
      </c>
      <c r="R33" s="717" t="s">
        <v>17</v>
      </c>
      <c r="S33" s="718" t="e">
        <f t="shared" si="12"/>
        <v>#N/A</v>
      </c>
      <c r="T33" s="717" t="s">
        <v>17</v>
      </c>
      <c r="U33" s="718" t="e">
        <f t="shared" si="13"/>
        <v>#N/A</v>
      </c>
      <c r="V33" s="717" t="s">
        <v>17</v>
      </c>
      <c r="W33" s="718" t="e">
        <f t="shared" si="14"/>
        <v>#N/A</v>
      </c>
      <c r="X33" s="719"/>
      <c r="Y33" s="3743"/>
      <c r="Z33" s="720" t="str">
        <f t="shared" si="15"/>
        <v>项目建筑规模</v>
      </c>
      <c r="AA33" s="1503" t="e">
        <f t="shared" si="3"/>
        <v>#N/A</v>
      </c>
      <c r="AB33" s="1503" t="e">
        <f t="shared" si="4"/>
        <v>#N/A</v>
      </c>
      <c r="AC33" s="1503" t="e">
        <f t="shared" si="5"/>
        <v>#N/A</v>
      </c>
    </row>
    <row r="34" spans="1:29" ht="15">
      <c r="A34" s="431"/>
      <c r="B34" s="381" t="s">
        <v>2326</v>
      </c>
      <c r="C34" s="2062"/>
      <c r="D34" s="394">
        <v>100</v>
      </c>
      <c r="E34" s="2062"/>
      <c r="F34" s="420">
        <f>SUMIF(105:105,E34,106:106)-SUMIF(105:105,C34,106:106)+100</f>
        <v>100</v>
      </c>
      <c r="G34" s="2062"/>
      <c r="H34" s="394">
        <f>SUMIF(105:105,G34,106:106)-SUMIF(105:105,C34,106:106)+100</f>
        <v>100</v>
      </c>
      <c r="I34" s="2062"/>
      <c r="J34" s="394">
        <f>SUMIF(105:105,I34,106:106)-SUMIF(105:105,C34,106:106)+100</f>
        <v>100</v>
      </c>
      <c r="K34" s="569"/>
      <c r="L34" s="2913"/>
      <c r="M34" s="2907"/>
      <c r="N34" s="2907"/>
      <c r="O34" s="2907"/>
      <c r="P34" s="3741"/>
      <c r="Q34" s="1502" t="str">
        <f t="shared" si="11"/>
        <v>建筑结构</v>
      </c>
      <c r="R34" s="714" t="s">
        <v>17</v>
      </c>
      <c r="S34" s="715">
        <f t="shared" si="12"/>
        <v>100</v>
      </c>
      <c r="T34" s="714" t="s">
        <v>17</v>
      </c>
      <c r="U34" s="715">
        <f t="shared" si="13"/>
        <v>100</v>
      </c>
      <c r="V34" s="714" t="s">
        <v>17</v>
      </c>
      <c r="W34" s="715">
        <f t="shared" si="14"/>
        <v>100</v>
      </c>
      <c r="X34" s="1505"/>
      <c r="Y34" s="3743"/>
      <c r="Z34" s="1506" t="str">
        <f t="shared" si="15"/>
        <v>建筑结构</v>
      </c>
      <c r="AA34" s="1503">
        <f t="shared" si="3"/>
        <v>1</v>
      </c>
      <c r="AB34" s="1503">
        <f t="shared" si="4"/>
        <v>1</v>
      </c>
      <c r="AC34" s="1503">
        <f t="shared" si="5"/>
        <v>1</v>
      </c>
    </row>
    <row r="35" spans="1:29" ht="15">
      <c r="A35" s="431"/>
      <c r="B35" s="381" t="s">
        <v>2420</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569"/>
      <c r="L35" s="2913"/>
      <c r="M35" s="2907"/>
      <c r="N35" s="2907"/>
      <c r="O35" s="2907"/>
      <c r="P35" s="3741"/>
      <c r="Q35" s="1502" t="str">
        <f t="shared" si="11"/>
        <v>公共部分装修</v>
      </c>
      <c r="R35" s="714" t="s">
        <v>17</v>
      </c>
      <c r="S35" s="715">
        <f t="shared" si="12"/>
        <v>100</v>
      </c>
      <c r="T35" s="714" t="s">
        <v>17</v>
      </c>
      <c r="U35" s="715">
        <f t="shared" si="13"/>
        <v>100</v>
      </c>
      <c r="V35" s="714" t="s">
        <v>17</v>
      </c>
      <c r="W35" s="715">
        <f t="shared" si="14"/>
        <v>100</v>
      </c>
      <c r="X35" s="1505"/>
      <c r="Y35" s="3743"/>
      <c r="Z35" s="1506" t="str">
        <f t="shared" si="15"/>
        <v>公共部分装修</v>
      </c>
      <c r="AA35" s="1503">
        <f t="shared" si="3"/>
        <v>1</v>
      </c>
      <c r="AB35" s="1503">
        <f t="shared" si="4"/>
        <v>1</v>
      </c>
      <c r="AC35" s="1503">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3"/>
      <c r="M36" s="2907"/>
      <c r="N36" s="2907"/>
      <c r="O36" s="2907"/>
      <c r="P36" s="3741"/>
      <c r="Q36" s="1502" t="str">
        <f t="shared" si="11"/>
        <v>成新度</v>
      </c>
      <c r="R36" s="714" t="s">
        <v>17</v>
      </c>
      <c r="S36" s="715" t="e">
        <f t="shared" si="12"/>
        <v>#N/A</v>
      </c>
      <c r="T36" s="714" t="s">
        <v>17</v>
      </c>
      <c r="U36" s="715" t="e">
        <f t="shared" si="13"/>
        <v>#N/A</v>
      </c>
      <c r="V36" s="714" t="s">
        <v>17</v>
      </c>
      <c r="W36" s="715" t="e">
        <f t="shared" si="14"/>
        <v>#N/A</v>
      </c>
      <c r="X36" s="1505"/>
      <c r="Y36" s="3743"/>
      <c r="Z36" s="1506" t="str">
        <f t="shared" si="15"/>
        <v>成新度</v>
      </c>
      <c r="AA36" s="1503" t="e">
        <f t="shared" si="3"/>
        <v>#N/A</v>
      </c>
      <c r="AB36" s="1503" t="e">
        <f t="shared" si="4"/>
        <v>#N/A</v>
      </c>
      <c r="AC36" s="1503" t="e">
        <f t="shared" si="5"/>
        <v>#N/A</v>
      </c>
    </row>
    <row r="37" spans="1:29" s="113" customFormat="1" ht="15">
      <c r="A37" s="432"/>
      <c r="B37" s="381" t="s">
        <v>2422</v>
      </c>
      <c r="C37" s="2057"/>
      <c r="D37" s="132">
        <v>100</v>
      </c>
      <c r="E37" s="2057"/>
      <c r="F37" s="420">
        <f>SUMIF(112:112,E37,113:113)-SUMIF(112:112,C37,113:113)+100</f>
        <v>100</v>
      </c>
      <c r="G37" s="2057"/>
      <c r="H37" s="394">
        <f>SUMIF(112:112,G37,113:113)-SUMIF(112:112,C37,113:113)+100</f>
        <v>100</v>
      </c>
      <c r="I37" s="2057"/>
      <c r="J37" s="394">
        <f>SUMIF(112:112,I37,113:113)-SUMIF(112:112,C37,113:113)+100</f>
        <v>100</v>
      </c>
      <c r="K37" s="569"/>
      <c r="L37" s="2908"/>
      <c r="M37" s="2909"/>
      <c r="N37" s="2909"/>
      <c r="O37" s="2909"/>
      <c r="P37" s="3741"/>
      <c r="Q37" s="1493" t="str">
        <f t="shared" si="11"/>
        <v>市政基础设施</v>
      </c>
      <c r="R37" s="710" t="s">
        <v>17</v>
      </c>
      <c r="S37" s="711">
        <f t="shared" si="12"/>
        <v>100</v>
      </c>
      <c r="T37" s="710" t="s">
        <v>17</v>
      </c>
      <c r="U37" s="711">
        <f t="shared" si="13"/>
        <v>100</v>
      </c>
      <c r="V37" s="710" t="s">
        <v>17</v>
      </c>
      <c r="W37" s="711">
        <f t="shared" si="14"/>
        <v>100</v>
      </c>
      <c r="X37" s="712"/>
      <c r="Y37" s="3743"/>
      <c r="Z37" s="55" t="str">
        <f t="shared" si="15"/>
        <v>市政基础设施</v>
      </c>
      <c r="AA37" s="713">
        <f t="shared" si="3"/>
        <v>1</v>
      </c>
      <c r="AB37" s="713">
        <f t="shared" si="4"/>
        <v>1</v>
      </c>
      <c r="AC37" s="713">
        <f t="shared" si="5"/>
        <v>1</v>
      </c>
    </row>
    <row r="38" spans="1:29" ht="15">
      <c r="A38" s="431"/>
      <c r="B38" s="381" t="s">
        <v>2423</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569"/>
      <c r="L38" s="2913"/>
      <c r="M38" s="2907"/>
      <c r="N38" s="2907"/>
      <c r="O38" s="2907"/>
      <c r="P38" s="3741" t="s">
        <v>2324</v>
      </c>
      <c r="Q38" s="1502" t="str">
        <f t="shared" si="11"/>
        <v>业态</v>
      </c>
      <c r="R38" s="714" t="s">
        <v>17</v>
      </c>
      <c r="S38" s="715">
        <f t="shared" si="12"/>
        <v>100</v>
      </c>
      <c r="T38" s="714" t="s">
        <v>17</v>
      </c>
      <c r="U38" s="715">
        <f t="shared" si="13"/>
        <v>100</v>
      </c>
      <c r="V38" s="714" t="s">
        <v>17</v>
      </c>
      <c r="W38" s="715">
        <f t="shared" si="14"/>
        <v>100</v>
      </c>
      <c r="X38" s="1505"/>
      <c r="Y38" s="3743" t="s">
        <v>2324</v>
      </c>
      <c r="Z38" s="1506" t="str">
        <f t="shared" si="15"/>
        <v>业态</v>
      </c>
      <c r="AA38" s="1503">
        <f t="shared" si="3"/>
        <v>1</v>
      </c>
      <c r="AB38" s="1503">
        <f t="shared" si="4"/>
        <v>1</v>
      </c>
      <c r="AC38" s="1503">
        <f t="shared" si="5"/>
        <v>1</v>
      </c>
    </row>
    <row r="39" spans="1:29" ht="15">
      <c r="A39" s="431"/>
      <c r="B39" s="381" t="s">
        <v>2424</v>
      </c>
      <c r="C39" s="2057"/>
      <c r="D39" s="394">
        <v>100</v>
      </c>
      <c r="E39" s="2057"/>
      <c r="F39" s="420">
        <f>SUMIF(116:116,E39,117:117)-SUMIF(116:116,C39,117:117)+100</f>
        <v>100</v>
      </c>
      <c r="G39" s="2057"/>
      <c r="H39" s="394">
        <f>SUMIF(116:116,G39,117:117)-SUMIF(116:116,C39,117:117)+100</f>
        <v>100</v>
      </c>
      <c r="I39" s="2057"/>
      <c r="J39" s="394">
        <f>SUMIF(116:116,I39,117:117)-SUMIF(116:116,C39,117:117)+100</f>
        <v>100</v>
      </c>
      <c r="K39" s="569"/>
      <c r="L39" s="2913"/>
      <c r="M39" s="2907"/>
      <c r="N39" s="2907"/>
      <c r="O39" s="2907"/>
      <c r="P39" s="3741"/>
      <c r="Q39" s="1502" t="str">
        <f t="shared" si="11"/>
        <v>层高</v>
      </c>
      <c r="R39" s="714" t="s">
        <v>17</v>
      </c>
      <c r="S39" s="715">
        <f t="shared" si="12"/>
        <v>100</v>
      </c>
      <c r="T39" s="714" t="s">
        <v>17</v>
      </c>
      <c r="U39" s="715">
        <f t="shared" si="13"/>
        <v>100</v>
      </c>
      <c r="V39" s="714" t="s">
        <v>17</v>
      </c>
      <c r="W39" s="715">
        <f t="shared" si="14"/>
        <v>100</v>
      </c>
      <c r="X39" s="1505"/>
      <c r="Y39" s="3743"/>
      <c r="Z39" s="1506" t="str">
        <f t="shared" si="15"/>
        <v>层高</v>
      </c>
      <c r="AA39" s="1503">
        <f t="shared" si="3"/>
        <v>1</v>
      </c>
      <c r="AB39" s="1503">
        <f t="shared" si="4"/>
        <v>1</v>
      </c>
      <c r="AC39" s="1503">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3"/>
      <c r="M40" s="2907"/>
      <c r="N40" s="2907"/>
      <c r="O40" s="2907"/>
      <c r="P40" s="3741"/>
      <c r="Q40" s="1502" t="str">
        <f t="shared" si="11"/>
        <v>单套建筑面积</v>
      </c>
      <c r="R40" s="714" t="s">
        <v>17</v>
      </c>
      <c r="S40" s="715">
        <f t="shared" si="12"/>
        <v>100</v>
      </c>
      <c r="T40" s="714" t="s">
        <v>17</v>
      </c>
      <c r="U40" s="715">
        <f t="shared" si="13"/>
        <v>100</v>
      </c>
      <c r="V40" s="714" t="s">
        <v>17</v>
      </c>
      <c r="W40" s="715">
        <f t="shared" si="14"/>
        <v>100</v>
      </c>
      <c r="X40" s="1505"/>
      <c r="Y40" s="3743"/>
      <c r="Z40" s="1506" t="str">
        <f t="shared" si="15"/>
        <v>单套建筑面积</v>
      </c>
      <c r="AA40" s="1503">
        <f t="shared" si="3"/>
        <v>1</v>
      </c>
      <c r="AB40" s="1503">
        <f t="shared" si="4"/>
        <v>1</v>
      </c>
      <c r="AC40" s="1503">
        <f t="shared" si="5"/>
        <v>1</v>
      </c>
    </row>
    <row r="41" spans="1:29" s="430" customFormat="1" ht="15">
      <c r="A41" s="427"/>
      <c r="B41" s="1504"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2"/>
      <c r="M41" s="2914"/>
      <c r="N41" s="2914"/>
      <c r="O41" s="2914"/>
      <c r="P41" s="3741"/>
      <c r="Q41" s="716" t="str">
        <f t="shared" si="11"/>
        <v>进深比</v>
      </c>
      <c r="R41" s="717" t="s">
        <v>17</v>
      </c>
      <c r="S41" s="718">
        <f t="shared" si="12"/>
        <v>100</v>
      </c>
      <c r="T41" s="717" t="s">
        <v>17</v>
      </c>
      <c r="U41" s="718">
        <f t="shared" si="13"/>
        <v>100</v>
      </c>
      <c r="V41" s="717" t="s">
        <v>17</v>
      </c>
      <c r="W41" s="718">
        <f t="shared" si="14"/>
        <v>100</v>
      </c>
      <c r="X41" s="719"/>
      <c r="Y41" s="3743"/>
      <c r="Z41" s="720" t="str">
        <f t="shared" si="15"/>
        <v>进深比</v>
      </c>
      <c r="AA41" s="1503">
        <f t="shared" si="3"/>
        <v>1</v>
      </c>
      <c r="AB41" s="1503">
        <f t="shared" si="4"/>
        <v>1</v>
      </c>
      <c r="AC41" s="1503">
        <f t="shared" si="5"/>
        <v>1</v>
      </c>
    </row>
    <row r="42" spans="1:29" ht="15">
      <c r="A42" s="431"/>
      <c r="B42" s="381" t="s">
        <v>2427</v>
      </c>
      <c r="C42" s="2057"/>
      <c r="D42" s="394">
        <v>100</v>
      </c>
      <c r="E42" s="2057"/>
      <c r="F42" s="420">
        <f>SUMIF(122:122,E42,123:123)-SUMIF(122:122,C42,123:123)+100</f>
        <v>100</v>
      </c>
      <c r="G42" s="2057"/>
      <c r="H42" s="394">
        <f>SUMIF(122:122,G42,123:123)-SUMIF(122:122,C42,123:123)+100</f>
        <v>100</v>
      </c>
      <c r="I42" s="2057"/>
      <c r="J42" s="394">
        <f>SUMIF(122:122,I42,123:123)-SUMIF(122:122,C42,123:123)+100</f>
        <v>100</v>
      </c>
      <c r="K42" s="569"/>
      <c r="L42" s="2913"/>
      <c r="M42" s="2907"/>
      <c r="N42" s="2907"/>
      <c r="O42" s="2907"/>
      <c r="P42" s="3741"/>
      <c r="Q42" s="1502" t="str">
        <f t="shared" si="11"/>
        <v>内部装修</v>
      </c>
      <c r="R42" s="714" t="s">
        <v>17</v>
      </c>
      <c r="S42" s="715">
        <f t="shared" si="12"/>
        <v>100</v>
      </c>
      <c r="T42" s="714" t="s">
        <v>17</v>
      </c>
      <c r="U42" s="715">
        <f t="shared" si="13"/>
        <v>100</v>
      </c>
      <c r="V42" s="714" t="s">
        <v>17</v>
      </c>
      <c r="W42" s="715">
        <f t="shared" si="14"/>
        <v>100</v>
      </c>
      <c r="X42" s="1505"/>
      <c r="Y42" s="3743"/>
      <c r="Z42" s="1506" t="str">
        <f t="shared" si="15"/>
        <v>内部装修</v>
      </c>
      <c r="AA42" s="1503">
        <f t="shared" si="3"/>
        <v>1</v>
      </c>
      <c r="AB42" s="1503">
        <f t="shared" si="4"/>
        <v>1</v>
      </c>
      <c r="AC42" s="1503">
        <f t="shared" si="5"/>
        <v>1</v>
      </c>
    </row>
    <row r="43" spans="1:29" ht="15">
      <c r="A43" s="431"/>
      <c r="B43" s="381" t="s">
        <v>2335</v>
      </c>
      <c r="C43" s="2057"/>
      <c r="D43" s="394">
        <v>100</v>
      </c>
      <c r="E43" s="2057"/>
      <c r="F43" s="420">
        <f>SUMIF(124:124,E43,125:125)-SUMIF(124:124,C43,125:125)+100</f>
        <v>100</v>
      </c>
      <c r="G43" s="2057"/>
      <c r="H43" s="394">
        <f>SUMIF(124:124,G43,125:125)-SUMIF(124:124,C43,125:125)+100</f>
        <v>100</v>
      </c>
      <c r="I43" s="2057"/>
      <c r="J43" s="394">
        <f>SUMIF(124:124,I43,125:125)-SUMIF(124:124,C43,125:125)+100</f>
        <v>100</v>
      </c>
      <c r="K43" s="569"/>
      <c r="L43" s="2913"/>
      <c r="M43" s="2907"/>
      <c r="N43" s="2907"/>
      <c r="O43" s="2907"/>
      <c r="P43" s="3741"/>
      <c r="Q43" s="1502" t="str">
        <f t="shared" si="11"/>
        <v>内部装修维护情况</v>
      </c>
      <c r="R43" s="714" t="s">
        <v>17</v>
      </c>
      <c r="S43" s="715">
        <f t="shared" si="12"/>
        <v>100</v>
      </c>
      <c r="T43" s="714" t="s">
        <v>17</v>
      </c>
      <c r="U43" s="715">
        <f t="shared" si="13"/>
        <v>100</v>
      </c>
      <c r="V43" s="714" t="s">
        <v>17</v>
      </c>
      <c r="W43" s="715">
        <f t="shared" si="14"/>
        <v>100</v>
      </c>
      <c r="X43" s="1505"/>
      <c r="Y43" s="3743"/>
      <c r="Z43" s="1506" t="str">
        <f t="shared" si="15"/>
        <v>内部装修维护情况</v>
      </c>
      <c r="AA43" s="1503">
        <f t="shared" si="3"/>
        <v>1</v>
      </c>
      <c r="AB43" s="1503">
        <f t="shared" si="4"/>
        <v>1</v>
      </c>
      <c r="AC43" s="1503">
        <f t="shared" si="5"/>
        <v>1</v>
      </c>
    </row>
    <row r="44" spans="1:29" s="113" customFormat="1" ht="15">
      <c r="A44" s="432"/>
      <c r="B44" s="126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8"/>
      <c r="M44" s="2909"/>
      <c r="N44" s="2909"/>
      <c r="O44" s="2909"/>
      <c r="P44" s="3741"/>
      <c r="Q44" s="1493">
        <f t="shared" si="11"/>
        <v>111</v>
      </c>
      <c r="R44" s="710" t="s">
        <v>17</v>
      </c>
      <c r="S44" s="711">
        <f t="shared" si="12"/>
        <v>100</v>
      </c>
      <c r="T44" s="710" t="s">
        <v>17</v>
      </c>
      <c r="U44" s="711">
        <f t="shared" si="13"/>
        <v>100</v>
      </c>
      <c r="V44" s="710" t="s">
        <v>17</v>
      </c>
      <c r="W44" s="711">
        <f t="shared" si="14"/>
        <v>100</v>
      </c>
      <c r="X44" s="712"/>
      <c r="Y44" s="3743"/>
      <c r="Z44" s="55">
        <f t="shared" si="15"/>
        <v>111</v>
      </c>
      <c r="AA44" s="713">
        <f t="shared" si="3"/>
        <v>1</v>
      </c>
      <c r="AB44" s="713">
        <f t="shared" si="4"/>
        <v>1</v>
      </c>
      <c r="AC44" s="713">
        <f t="shared" si="5"/>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3"/>
      <c r="M45" s="2907"/>
      <c r="N45" s="2907"/>
      <c r="O45" s="2907"/>
      <c r="P45" s="3741"/>
      <c r="Q45" s="1502">
        <f t="shared" si="11"/>
        <v>111</v>
      </c>
      <c r="R45" s="714" t="s">
        <v>17</v>
      </c>
      <c r="S45" s="715">
        <f t="shared" si="12"/>
        <v>100</v>
      </c>
      <c r="T45" s="714" t="s">
        <v>17</v>
      </c>
      <c r="U45" s="715">
        <f t="shared" si="13"/>
        <v>100</v>
      </c>
      <c r="V45" s="714" t="s">
        <v>17</v>
      </c>
      <c r="W45" s="715">
        <f t="shared" si="14"/>
        <v>100</v>
      </c>
      <c r="X45" s="1505"/>
      <c r="Y45" s="3743"/>
      <c r="Z45" s="1506">
        <f t="shared" si="15"/>
        <v>111</v>
      </c>
      <c r="AA45" s="1503">
        <f t="shared" si="3"/>
        <v>1</v>
      </c>
      <c r="AB45" s="1503">
        <f t="shared" si="4"/>
        <v>1</v>
      </c>
      <c r="AC45" s="1503">
        <f t="shared" si="5"/>
        <v>1</v>
      </c>
    </row>
    <row r="46" spans="1:29" ht="15.75" thickBot="1">
      <c r="A46" s="437"/>
      <c r="B46" s="204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3"/>
      <c r="M46" s="2907"/>
      <c r="N46" s="2907"/>
      <c r="O46" s="2907"/>
      <c r="P46" s="3742"/>
      <c r="Q46" s="1502">
        <f t="shared" si="11"/>
        <v>111</v>
      </c>
      <c r="R46" s="714" t="s">
        <v>17</v>
      </c>
      <c r="S46" s="715">
        <f t="shared" si="12"/>
        <v>100</v>
      </c>
      <c r="T46" s="714" t="s">
        <v>17</v>
      </c>
      <c r="U46" s="715">
        <f t="shared" si="13"/>
        <v>100</v>
      </c>
      <c r="V46" s="714" t="s">
        <v>17</v>
      </c>
      <c r="W46" s="715">
        <f t="shared" si="14"/>
        <v>100</v>
      </c>
      <c r="X46" s="1505"/>
      <c r="Y46" s="3744"/>
      <c r="Z46" s="1506">
        <f t="shared" si="15"/>
        <v>111</v>
      </c>
      <c r="AA46" s="1503">
        <f t="shared" si="3"/>
        <v>1</v>
      </c>
      <c r="AB46" s="1503">
        <f t="shared" si="4"/>
        <v>1</v>
      </c>
      <c r="AC46" s="1503">
        <f t="shared" si="5"/>
        <v>1</v>
      </c>
    </row>
    <row r="47" spans="1:29" ht="15">
      <c r="A47" s="438" t="s">
        <v>2336</v>
      </c>
      <c r="B47" s="439"/>
      <c r="C47" s="1284" t="s">
        <v>1</v>
      </c>
      <c r="D47" s="1285"/>
      <c r="E47" s="1286"/>
      <c r="F47" s="1287"/>
      <c r="G47" s="1288"/>
      <c r="H47" s="1289"/>
      <c r="I47" s="1286"/>
      <c r="J47" s="1289"/>
      <c r="K47" s="723"/>
      <c r="L47" s="2915"/>
      <c r="M47" s="2916"/>
      <c r="N47" s="2907"/>
      <c r="O47" s="2916"/>
      <c r="P47" s="3736" t="str">
        <f>A47</f>
        <v>成交单价（元/平方米）</v>
      </c>
      <c r="Q47" s="3736"/>
      <c r="R47" s="3767">
        <f>E47</f>
        <v>0</v>
      </c>
      <c r="S47" s="3767"/>
      <c r="T47" s="3767">
        <f>G47</f>
        <v>0</v>
      </c>
      <c r="U47" s="3767"/>
      <c r="V47" s="3767">
        <f>I47</f>
        <v>0</v>
      </c>
      <c r="W47" s="3767"/>
      <c r="X47" s="699"/>
      <c r="Y47" s="721"/>
      <c r="Z47" s="699"/>
      <c r="AA47" s="699"/>
      <c r="AB47" s="699"/>
      <c r="AC47" s="699"/>
    </row>
    <row r="48" spans="1:29" ht="15.75" thickBot="1">
      <c r="A48" s="445" t="s">
        <v>2428</v>
      </c>
      <c r="B48" s="446"/>
      <c r="C48" s="1290" t="e">
        <f>R49</f>
        <v>#DIV/0!</v>
      </c>
      <c r="D48" s="2501" t="s">
        <v>2819</v>
      </c>
      <c r="E48" s="1291" t="e">
        <f>R48</f>
        <v>#DIV/0!</v>
      </c>
      <c r="F48" s="2502"/>
      <c r="G48" s="1290" t="e">
        <f>T48</f>
        <v>#DIV/0!</v>
      </c>
      <c r="H48" s="2502"/>
      <c r="I48" s="1291" t="e">
        <f>V48</f>
        <v>#DIV/0!</v>
      </c>
      <c r="J48" s="2502"/>
      <c r="K48" s="2504">
        <f>F48+H48+J48</f>
        <v>0</v>
      </c>
      <c r="L48" s="2915"/>
      <c r="M48" s="2916"/>
      <c r="N48" s="2907"/>
      <c r="O48" s="2916"/>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9"/>
      <c r="Y48" s="699"/>
      <c r="Z48" s="699"/>
      <c r="AA48" s="699"/>
      <c r="AB48" s="699"/>
      <c r="AC48" s="699"/>
    </row>
    <row r="49" spans="1:29" ht="15.75" thickBot="1">
      <c r="A49" s="449" t="s">
        <v>2429</v>
      </c>
      <c r="B49" s="450"/>
      <c r="C49" s="1293" t="e">
        <f>R49</f>
        <v>#DIV/0!</v>
      </c>
      <c r="D49" s="1293"/>
      <c r="E49" s="1293"/>
      <c r="F49" s="1293"/>
      <c r="G49" s="1293"/>
      <c r="H49" s="1293"/>
      <c r="I49" s="1293"/>
      <c r="J49" s="1293"/>
      <c r="K49" s="724"/>
      <c r="L49" s="2915"/>
      <c r="M49" s="2916"/>
      <c r="N49" s="2907"/>
      <c r="O49" s="2916"/>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c r="P50" s="2927"/>
      <c r="Q50" s="2916"/>
      <c r="R50" s="2916"/>
      <c r="S50" s="2916"/>
      <c r="T50" s="2916"/>
      <c r="U50" s="2916"/>
      <c r="V50" s="2916"/>
      <c r="W50" s="2916"/>
      <c r="X50" s="2916"/>
      <c r="Y50" s="2916"/>
      <c r="Z50" s="2916"/>
      <c r="AA50" s="2916"/>
      <c r="AB50" s="2916"/>
      <c r="AC50" s="2916"/>
    </row>
    <row r="51" spans="1:29">
      <c r="A51" s="2916"/>
      <c r="B51" s="2916"/>
      <c r="C51" s="2916"/>
      <c r="D51" s="2916"/>
      <c r="E51" s="2916"/>
      <c r="F51" s="2916"/>
      <c r="G51" s="2916"/>
      <c r="H51" s="2916"/>
      <c r="I51" s="2916"/>
      <c r="J51" s="2916"/>
      <c r="K51" s="2921"/>
      <c r="L51" s="2917"/>
      <c r="M51" s="2916"/>
      <c r="N51" s="2916"/>
      <c r="O51" s="2916"/>
      <c r="P51" s="2927"/>
      <c r="Q51" s="2916"/>
      <c r="R51" s="2916"/>
      <c r="S51" s="2916"/>
      <c r="T51" s="2916"/>
      <c r="U51" s="2916"/>
      <c r="V51" s="2916"/>
      <c r="W51" s="2916"/>
      <c r="X51" s="2916"/>
      <c r="Y51" s="2916"/>
      <c r="Z51" s="2916"/>
      <c r="AA51" s="2916"/>
      <c r="AB51" s="2916"/>
      <c r="AC51" s="2916"/>
    </row>
    <row r="52" spans="1:29" ht="13.5" customHeight="1">
      <c r="A52" s="2916"/>
      <c r="B52" s="2916"/>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1"/>
      <c r="L52" s="2917"/>
      <c r="M52" s="2916"/>
      <c r="N52" s="2916"/>
      <c r="O52" s="2916"/>
      <c r="P52" s="2927"/>
      <c r="Q52" s="2916"/>
      <c r="R52" s="2916"/>
      <c r="S52" s="2916"/>
      <c r="T52" s="2916"/>
      <c r="U52" s="2916"/>
      <c r="V52" s="2916"/>
      <c r="W52" s="2916"/>
      <c r="X52" s="2916"/>
      <c r="Y52" s="2916"/>
      <c r="Z52" s="2916"/>
      <c r="AA52" s="2916"/>
      <c r="AB52" s="2916"/>
      <c r="AC52" s="2916"/>
    </row>
    <row r="53" spans="1:29" ht="13.5" customHeight="1">
      <c r="A53" s="2916"/>
      <c r="B53" s="2916"/>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1"/>
      <c r="L53" s="2917"/>
      <c r="M53" s="2916"/>
      <c r="N53" s="2916"/>
      <c r="O53" s="2916"/>
      <c r="P53" s="2927"/>
      <c r="Q53" s="2916"/>
      <c r="R53" s="2916"/>
      <c r="S53" s="2916"/>
      <c r="T53" s="2916"/>
      <c r="U53" s="2916"/>
      <c r="V53" s="2916"/>
      <c r="W53" s="2916"/>
      <c r="X53" s="2916"/>
      <c r="Y53" s="2916"/>
      <c r="Z53" s="2916"/>
      <c r="AA53" s="2916"/>
      <c r="AB53" s="2916"/>
      <c r="AC53" s="2916"/>
    </row>
    <row r="54" spans="1:29" s="459" customFormat="1" ht="13.5" customHeight="1">
      <c r="A54" s="2919"/>
      <c r="B54" s="2919"/>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4"/>
      <c r="L54" s="2918"/>
      <c r="M54" s="2919"/>
      <c r="N54" s="2919"/>
      <c r="O54" s="2919"/>
      <c r="P54" s="2928"/>
      <c r="Q54" s="2919"/>
      <c r="R54" s="2919"/>
      <c r="S54" s="2919"/>
      <c r="T54" s="2919"/>
      <c r="U54" s="2919"/>
      <c r="V54" s="2919"/>
      <c r="W54" s="2919"/>
      <c r="X54" s="2919"/>
      <c r="Y54" s="2919"/>
      <c r="Z54" s="2919"/>
      <c r="AA54" s="2919"/>
      <c r="AB54" s="2919"/>
      <c r="AC54" s="2919"/>
    </row>
    <row r="55" spans="1:29" s="459" customFormat="1">
      <c r="A55" s="2919"/>
      <c r="B55" s="2922"/>
      <c r="C55" s="2923"/>
      <c r="D55" s="2919"/>
      <c r="E55" s="2919"/>
      <c r="F55" s="2919"/>
      <c r="G55" s="2919"/>
      <c r="H55" s="2919"/>
      <c r="I55" s="2919"/>
      <c r="J55" s="2919"/>
      <c r="K55" s="2924"/>
      <c r="L55" s="2918"/>
      <c r="M55" s="2919"/>
      <c r="N55" s="2919"/>
      <c r="O55" s="2919"/>
      <c r="P55" s="2928"/>
      <c r="Q55" s="2919"/>
      <c r="R55" s="2919"/>
      <c r="S55" s="2919"/>
      <c r="T55" s="2919"/>
      <c r="U55" s="2919"/>
      <c r="V55" s="2919"/>
      <c r="W55" s="2919"/>
      <c r="X55" s="2919"/>
      <c r="Y55" s="2919"/>
      <c r="Z55" s="2919"/>
      <c r="AA55" s="2919"/>
      <c r="AB55" s="2919"/>
      <c r="AC55" s="2919"/>
    </row>
    <row r="56" spans="1:29">
      <c r="A56" s="2916"/>
      <c r="B56" s="2922"/>
      <c r="C56" s="2923"/>
      <c r="D56" s="2916"/>
      <c r="E56" s="2916"/>
      <c r="F56" s="2916"/>
      <c r="G56" s="2916"/>
      <c r="H56" s="2916"/>
      <c r="I56" s="2916"/>
      <c r="J56" s="2916"/>
      <c r="K56" s="2921"/>
      <c r="L56" s="2917"/>
      <c r="M56" s="2916"/>
      <c r="N56" s="2916"/>
      <c r="O56" s="2916"/>
      <c r="P56" s="2927"/>
      <c r="Q56" s="2916"/>
      <c r="R56" s="2916"/>
      <c r="S56" s="2916"/>
      <c r="T56" s="2916"/>
      <c r="U56" s="2916"/>
      <c r="V56" s="2916"/>
      <c r="W56" s="2916"/>
      <c r="X56" s="2916"/>
      <c r="Y56" s="2916"/>
      <c r="Z56" s="2916"/>
      <c r="AA56" s="2916"/>
      <c r="AB56" s="2916"/>
      <c r="AC56" s="2916"/>
    </row>
    <row r="57" spans="1:29" ht="21.75" thickBot="1">
      <c r="A57" s="703" t="s">
        <v>2433</v>
      </c>
      <c r="B57" s="699"/>
      <c r="C57" s="704"/>
      <c r="D57" s="704"/>
      <c r="E57" s="704"/>
      <c r="F57" s="705"/>
      <c r="G57" s="705"/>
      <c r="H57" s="704"/>
      <c r="I57" s="704"/>
      <c r="J57" s="704"/>
      <c r="K57" s="706"/>
      <c r="L57" s="1069"/>
      <c r="M57" s="1067"/>
      <c r="N57" s="1067"/>
      <c r="O57" s="1067"/>
      <c r="P57" s="2929"/>
      <c r="Q57" s="2930"/>
      <c r="R57" s="2916"/>
      <c r="S57" s="2916"/>
      <c r="T57" s="2916"/>
      <c r="U57" s="2916"/>
      <c r="V57" s="2916"/>
      <c r="W57" s="2916"/>
      <c r="X57" s="2916"/>
      <c r="Y57" s="2916"/>
      <c r="Z57" s="2916"/>
      <c r="AA57" s="2916"/>
      <c r="AB57" s="2916"/>
      <c r="AC57" s="2916"/>
    </row>
    <row r="58" spans="1:29" s="465" customFormat="1" ht="15">
      <c r="A58" s="462" t="s">
        <v>2307</v>
      </c>
      <c r="B58" s="463"/>
      <c r="C58" s="1314" t="str">
        <f>YEAR(C7)&amp;"-"&amp;MONTH(C7)</f>
        <v>2022-4</v>
      </c>
      <c r="D58" s="1315">
        <f>EDATE(C58,-1)</f>
        <v>44621</v>
      </c>
      <c r="E58" s="1315">
        <f t="shared" ref="E58:N58" si="16">EDATE(D58,-1)</f>
        <v>44593</v>
      </c>
      <c r="F58" s="1315">
        <f t="shared" si="16"/>
        <v>44562</v>
      </c>
      <c r="G58" s="1315">
        <f t="shared" si="16"/>
        <v>44531</v>
      </c>
      <c r="H58" s="1315">
        <f t="shared" si="16"/>
        <v>44501</v>
      </c>
      <c r="I58" s="1315">
        <f t="shared" si="16"/>
        <v>44470</v>
      </c>
      <c r="J58" s="1315">
        <f t="shared" si="16"/>
        <v>44440</v>
      </c>
      <c r="K58" s="1315">
        <f t="shared" si="16"/>
        <v>44409</v>
      </c>
      <c r="L58" s="1315">
        <f t="shared" si="16"/>
        <v>44378</v>
      </c>
      <c r="M58" s="1315">
        <f t="shared" si="16"/>
        <v>44348</v>
      </c>
      <c r="N58" s="1315">
        <f t="shared" si="16"/>
        <v>44317</v>
      </c>
      <c r="O58" s="1315">
        <f>EDATE(N58,-1)</f>
        <v>44287</v>
      </c>
      <c r="P58" s="2931"/>
      <c r="Q58" s="2932"/>
      <c r="R58" s="2932"/>
      <c r="S58" s="2932"/>
      <c r="T58" s="2932"/>
      <c r="U58" s="2932"/>
      <c r="V58" s="2932"/>
      <c r="W58" s="2932"/>
      <c r="X58" s="2932"/>
      <c r="Y58" s="2932"/>
      <c r="Z58" s="2932"/>
      <c r="AA58" s="2932"/>
      <c r="AB58" s="2932"/>
      <c r="AC58" s="2932"/>
    </row>
    <row r="59" spans="1:29" s="113" customFormat="1" ht="15">
      <c r="A59" s="466"/>
      <c r="B59" s="467"/>
      <c r="C59" s="1313">
        <v>100</v>
      </c>
      <c r="D59" s="469"/>
      <c r="E59" s="469"/>
      <c r="F59" s="469"/>
      <c r="G59" s="469"/>
      <c r="H59" s="469"/>
      <c r="I59" s="469"/>
      <c r="J59" s="469"/>
      <c r="K59" s="469"/>
      <c r="L59" s="469"/>
      <c r="M59" s="470"/>
      <c r="N59" s="469"/>
      <c r="O59" s="470"/>
      <c r="P59" s="2933"/>
      <c r="Q59" s="2850"/>
      <c r="R59" s="2850"/>
      <c r="S59" s="2850"/>
      <c r="T59" s="2850"/>
      <c r="U59" s="2850"/>
      <c r="V59" s="2850"/>
      <c r="W59" s="2850"/>
      <c r="X59" s="2850"/>
      <c r="Y59" s="2850"/>
      <c r="Z59" s="2850"/>
      <c r="AA59" s="2850"/>
      <c r="AB59" s="2850"/>
      <c r="AC59" s="2850"/>
    </row>
    <row r="60" spans="1:29" s="113" customFormat="1" ht="15.75" thickBot="1">
      <c r="A60" s="472" t="s">
        <v>2344</v>
      </c>
      <c r="B60" s="473"/>
      <c r="C60" s="474"/>
      <c r="D60" s="475"/>
      <c r="E60" s="475"/>
      <c r="F60" s="475"/>
      <c r="G60" s="475"/>
      <c r="H60" s="475"/>
      <c r="I60" s="475"/>
      <c r="J60" s="475"/>
      <c r="K60" s="475"/>
      <c r="L60" s="475"/>
      <c r="M60" s="476"/>
      <c r="N60" s="475"/>
      <c r="O60" s="476"/>
      <c r="P60" s="2933"/>
      <c r="Q60" s="2930"/>
      <c r="R60" s="2850"/>
      <c r="S60" s="2850"/>
      <c r="T60" s="2850"/>
      <c r="U60" s="2850"/>
      <c r="V60" s="2850"/>
      <c r="W60" s="2850"/>
      <c r="X60" s="2850"/>
      <c r="Y60" s="2850"/>
      <c r="Z60" s="2850"/>
      <c r="AA60" s="2850"/>
      <c r="AB60" s="2850"/>
      <c r="AC60" s="2850"/>
    </row>
    <row r="61" spans="1:29" s="113" customFormat="1" ht="15">
      <c r="A61" s="478" t="s">
        <v>2309</v>
      </c>
      <c r="B61" s="467"/>
      <c r="C61" s="479" t="s">
        <v>2411</v>
      </c>
      <c r="D61" s="480"/>
      <c r="E61" s="480"/>
      <c r="F61" s="480"/>
      <c r="G61" s="480"/>
      <c r="H61" s="480"/>
      <c r="I61" s="480"/>
      <c r="J61" s="480"/>
      <c r="K61" s="480"/>
      <c r="L61" s="481"/>
      <c r="M61" s="482"/>
      <c r="N61" s="2943"/>
      <c r="O61" s="2943"/>
      <c r="P61" s="2934"/>
      <c r="Q61" s="2930"/>
      <c r="R61" s="2850"/>
      <c r="S61" s="2850"/>
      <c r="T61" s="2850"/>
      <c r="U61" s="2850"/>
      <c r="V61" s="2850"/>
      <c r="W61" s="2850"/>
      <c r="X61" s="2850"/>
      <c r="Y61" s="2850"/>
      <c r="Z61" s="2850"/>
      <c r="AA61" s="2850"/>
      <c r="AB61" s="2850"/>
      <c r="AC61" s="2850"/>
    </row>
    <row r="62" spans="1:29" s="113" customFormat="1" ht="15.75" thickBot="1">
      <c r="A62" s="478"/>
      <c r="B62" s="467"/>
      <c r="C62" s="468">
        <v>100</v>
      </c>
      <c r="D62" s="469"/>
      <c r="E62" s="469"/>
      <c r="F62" s="469"/>
      <c r="G62" s="469"/>
      <c r="H62" s="469"/>
      <c r="I62" s="469"/>
      <c r="J62" s="469"/>
      <c r="K62" s="469"/>
      <c r="L62" s="469"/>
      <c r="M62" s="471"/>
      <c r="N62" s="2943"/>
      <c r="O62" s="2943"/>
      <c r="P62" s="2933"/>
      <c r="Q62" s="2930"/>
      <c r="R62" s="2850"/>
      <c r="S62" s="2850"/>
      <c r="T62" s="2850"/>
      <c r="U62" s="2850"/>
      <c r="V62" s="2850"/>
      <c r="W62" s="2850"/>
      <c r="X62" s="2850"/>
      <c r="Y62" s="2850"/>
      <c r="Z62" s="2850"/>
      <c r="AA62" s="2850"/>
      <c r="AB62" s="2850"/>
      <c r="AC62" s="2850"/>
    </row>
    <row r="63" spans="1:29">
      <c r="A63" s="484" t="s">
        <v>2347</v>
      </c>
      <c r="B63" s="485" t="s">
        <v>2313</v>
      </c>
      <c r="C63" s="486">
        <f>C9</f>
        <v>0</v>
      </c>
      <c r="D63" s="487"/>
      <c r="E63" s="487"/>
      <c r="F63" s="487"/>
      <c r="G63" s="487"/>
      <c r="H63" s="487"/>
      <c r="I63" s="487"/>
      <c r="J63" s="487"/>
      <c r="K63" s="488"/>
      <c r="L63" s="489"/>
      <c r="M63" s="490"/>
      <c r="N63" s="2944"/>
      <c r="O63" s="2944"/>
      <c r="P63" s="2935"/>
      <c r="Q63" s="2930"/>
      <c r="R63" s="2916"/>
      <c r="S63" s="2916"/>
      <c r="T63" s="2916"/>
      <c r="U63" s="2916"/>
      <c r="V63" s="2916"/>
      <c r="W63" s="2916"/>
      <c r="X63" s="2916"/>
      <c r="Y63" s="2916"/>
      <c r="Z63" s="2916"/>
      <c r="AA63" s="2916"/>
      <c r="AB63" s="2916"/>
      <c r="AC63" s="2916"/>
    </row>
    <row r="64" spans="1:29" ht="15.75" thickBot="1">
      <c r="A64" s="491"/>
      <c r="B64" s="492"/>
      <c r="C64" s="493">
        <v>100</v>
      </c>
      <c r="D64" s="493"/>
      <c r="E64" s="493"/>
      <c r="F64" s="493"/>
      <c r="G64" s="493"/>
      <c r="H64" s="493"/>
      <c r="I64" s="493"/>
      <c r="J64" s="493"/>
      <c r="K64" s="493"/>
      <c r="L64" s="493"/>
      <c r="M64" s="494"/>
      <c r="N64" s="2945"/>
      <c r="O64" s="2945"/>
      <c r="P64" s="2935"/>
      <c r="Q64" s="2930"/>
      <c r="R64" s="2916"/>
      <c r="S64" s="2916"/>
      <c r="T64" s="2916"/>
      <c r="U64" s="2916"/>
      <c r="V64" s="2916"/>
      <c r="W64" s="2916"/>
      <c r="X64" s="2916"/>
      <c r="Y64" s="2916"/>
      <c r="Z64" s="2916"/>
      <c r="AA64" s="2916"/>
      <c r="AB64" s="2916"/>
      <c r="AC64" s="2916"/>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44"/>
      <c r="O65" s="2944"/>
      <c r="P65" s="2935"/>
      <c r="Q65" s="2930"/>
      <c r="R65" s="2916"/>
      <c r="S65" s="2916"/>
      <c r="T65" s="2916"/>
      <c r="U65" s="2916"/>
      <c r="V65" s="2916"/>
      <c r="W65" s="2916"/>
      <c r="X65" s="2916"/>
      <c r="Y65" s="2916"/>
      <c r="Z65" s="2916"/>
      <c r="AA65" s="2916"/>
      <c r="AB65" s="2916"/>
      <c r="AC65" s="291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5"/>
      <c r="O66" s="2945"/>
      <c r="P66" s="2935"/>
      <c r="Q66" s="2930"/>
      <c r="R66" s="2916"/>
      <c r="S66" s="2916"/>
      <c r="T66" s="2916"/>
      <c r="U66" s="2916"/>
      <c r="V66" s="2916"/>
      <c r="W66" s="2916"/>
      <c r="X66" s="2916"/>
      <c r="Y66" s="2916"/>
      <c r="Z66" s="2916"/>
      <c r="AA66" s="2916"/>
      <c r="AB66" s="2916"/>
      <c r="AC66" s="2916"/>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5"/>
      <c r="O67" s="2945"/>
      <c r="P67" s="2935"/>
      <c r="Q67" s="2930"/>
      <c r="R67" s="2916"/>
      <c r="S67" s="2916"/>
      <c r="T67" s="2916"/>
      <c r="U67" s="2916"/>
      <c r="V67" s="2916"/>
      <c r="W67" s="2916"/>
      <c r="X67" s="2916"/>
      <c r="Y67" s="2916"/>
      <c r="Z67" s="2916"/>
      <c r="AA67" s="2916"/>
      <c r="AB67" s="2916"/>
      <c r="AC67" s="2916"/>
    </row>
    <row r="68" spans="1:29" ht="15">
      <c r="A68" s="491"/>
      <c r="B68" s="505"/>
      <c r="C68" s="506"/>
      <c r="D68" s="506"/>
      <c r="E68" s="506"/>
      <c r="F68" s="506"/>
      <c r="G68" s="506"/>
      <c r="H68" s="506"/>
      <c r="I68" s="506"/>
      <c r="J68" s="506"/>
      <c r="K68" s="507"/>
      <c r="L68" s="508"/>
      <c r="M68" s="509"/>
      <c r="N68" s="2944"/>
      <c r="O68" s="2944"/>
      <c r="P68" s="2935"/>
      <c r="Q68" s="2930"/>
      <c r="R68" s="2916"/>
      <c r="S68" s="2916"/>
      <c r="T68" s="2916"/>
      <c r="U68" s="2916"/>
      <c r="V68" s="2916"/>
      <c r="W68" s="2916"/>
      <c r="X68" s="2916"/>
      <c r="Y68" s="2916"/>
      <c r="Z68" s="2916"/>
      <c r="AA68" s="2916"/>
      <c r="AB68" s="2916"/>
      <c r="AC68" s="291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5"/>
      <c r="O69" s="2945"/>
      <c r="P69" s="2935"/>
      <c r="Q69" s="2930"/>
      <c r="R69" s="2916"/>
      <c r="S69" s="2916"/>
      <c r="T69" s="2916"/>
      <c r="U69" s="2916"/>
      <c r="V69" s="2916"/>
      <c r="W69" s="2916"/>
      <c r="X69" s="2916"/>
      <c r="Y69" s="2916"/>
      <c r="Z69" s="2916"/>
      <c r="AA69" s="2916"/>
      <c r="AB69" s="2916"/>
      <c r="AC69" s="2916"/>
    </row>
    <row r="70" spans="1:29" s="430" customFormat="1" ht="15.75" thickTop="1">
      <c r="A70" s="510"/>
      <c r="B70" s="495">
        <f>B12</f>
        <v>111</v>
      </c>
      <c r="C70" s="511"/>
      <c r="D70" s="511"/>
      <c r="E70" s="511"/>
      <c r="F70" s="511"/>
      <c r="G70" s="511"/>
      <c r="H70" s="512"/>
      <c r="I70" s="512"/>
      <c r="J70" s="512"/>
      <c r="K70" s="512"/>
      <c r="L70" s="513"/>
      <c r="M70" s="514"/>
      <c r="N70" s="2946"/>
      <c r="O70" s="2946"/>
      <c r="P70" s="2936"/>
      <c r="Q70" s="2937"/>
      <c r="R70" s="2938"/>
      <c r="S70" s="2938"/>
      <c r="T70" s="2938"/>
      <c r="U70" s="2938"/>
      <c r="V70" s="2938"/>
      <c r="W70" s="2938"/>
      <c r="X70" s="2938"/>
      <c r="Y70" s="2938"/>
      <c r="Z70" s="2938"/>
      <c r="AA70" s="2938"/>
      <c r="AB70" s="2938"/>
      <c r="AC70" s="2938"/>
    </row>
    <row r="71" spans="1:29" s="430" customFormat="1" ht="15.75" thickBot="1">
      <c r="A71" s="510"/>
      <c r="B71" s="500"/>
      <c r="C71" s="517"/>
      <c r="D71" s="493"/>
      <c r="E71" s="493"/>
      <c r="F71" s="493"/>
      <c r="G71" s="493"/>
      <c r="H71" s="493"/>
      <c r="I71" s="493"/>
      <c r="J71" s="493"/>
      <c r="K71" s="493"/>
      <c r="L71" s="493"/>
      <c r="M71" s="494"/>
      <c r="N71" s="2945"/>
      <c r="O71" s="2945"/>
      <c r="P71" s="2936"/>
      <c r="Q71" s="2937"/>
      <c r="R71" s="2938"/>
      <c r="S71" s="2938"/>
      <c r="T71" s="2938"/>
      <c r="U71" s="2938"/>
      <c r="V71" s="2938"/>
      <c r="W71" s="2938"/>
      <c r="X71" s="2938"/>
      <c r="Y71" s="2938"/>
      <c r="Z71" s="2938"/>
      <c r="AA71" s="2938"/>
      <c r="AB71" s="2938"/>
      <c r="AC71" s="2938"/>
    </row>
    <row r="72" spans="1:29" s="430" customFormat="1" ht="15.75" thickTop="1">
      <c r="A72" s="510"/>
      <c r="B72" s="495">
        <f>B13</f>
        <v>111</v>
      </c>
      <c r="C72" s="511"/>
      <c r="D72" s="511"/>
      <c r="E72" s="511"/>
      <c r="F72" s="511"/>
      <c r="G72" s="511"/>
      <c r="H72" s="512"/>
      <c r="I72" s="512"/>
      <c r="J72" s="512"/>
      <c r="K72" s="512"/>
      <c r="L72" s="513"/>
      <c r="M72" s="514"/>
      <c r="N72" s="2946"/>
      <c r="O72" s="2946"/>
      <c r="P72" s="2939"/>
      <c r="Q72" s="2940"/>
      <c r="R72" s="2938"/>
      <c r="S72" s="2938"/>
      <c r="T72" s="2938"/>
      <c r="U72" s="2938"/>
      <c r="V72" s="2938"/>
      <c r="W72" s="2938"/>
      <c r="X72" s="2938"/>
      <c r="Y72" s="2938"/>
      <c r="Z72" s="2938"/>
      <c r="AA72" s="2938"/>
      <c r="AB72" s="2938"/>
      <c r="AC72" s="2938"/>
    </row>
    <row r="73" spans="1:29" s="430" customFormat="1" ht="15.75" thickBot="1">
      <c r="A73" s="510"/>
      <c r="B73" s="500"/>
      <c r="C73" s="517"/>
      <c r="D73" s="493"/>
      <c r="E73" s="493"/>
      <c r="F73" s="493"/>
      <c r="G73" s="517"/>
      <c r="H73" s="519"/>
      <c r="I73" s="519"/>
      <c r="J73" s="519"/>
      <c r="K73" s="519"/>
      <c r="L73" s="519"/>
      <c r="M73" s="520"/>
      <c r="N73" s="2946"/>
      <c r="O73" s="2946"/>
      <c r="P73" s="2936"/>
      <c r="Q73" s="2937"/>
      <c r="R73" s="2938"/>
      <c r="S73" s="2938"/>
      <c r="T73" s="2938"/>
      <c r="U73" s="2938"/>
      <c r="V73" s="2938"/>
      <c r="W73" s="2938"/>
      <c r="X73" s="2938"/>
      <c r="Y73" s="2938"/>
      <c r="Z73" s="2938"/>
      <c r="AA73" s="2938"/>
      <c r="AB73" s="2938"/>
      <c r="AC73" s="2938"/>
    </row>
    <row r="74" spans="1:29" s="430" customFormat="1" ht="15.75" thickTop="1">
      <c r="A74" s="510"/>
      <c r="B74" s="503">
        <f>B14</f>
        <v>111</v>
      </c>
      <c r="C74" s="511"/>
      <c r="D74" s="511"/>
      <c r="E74" s="511"/>
      <c r="F74" s="511"/>
      <c r="G74" s="480"/>
      <c r="H74" s="521"/>
      <c r="I74" s="521"/>
      <c r="J74" s="521"/>
      <c r="K74" s="521"/>
      <c r="L74" s="522"/>
      <c r="M74" s="523"/>
      <c r="N74" s="2946"/>
      <c r="O74" s="2946"/>
      <c r="P74" s="2941"/>
      <c r="Q74" s="2937"/>
      <c r="R74" s="2938"/>
      <c r="S74" s="2938"/>
      <c r="T74" s="2938"/>
      <c r="U74" s="2938"/>
      <c r="V74" s="2938"/>
      <c r="W74" s="2938"/>
      <c r="X74" s="2938"/>
      <c r="Y74" s="2938"/>
      <c r="Z74" s="2938"/>
      <c r="AA74" s="2938"/>
      <c r="AB74" s="2938"/>
      <c r="AC74" s="2938"/>
    </row>
    <row r="75" spans="1:29" s="430" customFormat="1" ht="15.75" thickBot="1">
      <c r="A75" s="525"/>
      <c r="B75" s="526"/>
      <c r="C75" s="527"/>
      <c r="D75" s="527"/>
      <c r="E75" s="527"/>
      <c r="F75" s="527"/>
      <c r="G75" s="527"/>
      <c r="H75" s="528"/>
      <c r="I75" s="528"/>
      <c r="J75" s="528"/>
      <c r="K75" s="528"/>
      <c r="L75" s="528"/>
      <c r="M75" s="529"/>
      <c r="N75" s="2946"/>
      <c r="O75" s="2946"/>
      <c r="P75" s="2936"/>
      <c r="Q75" s="2937"/>
      <c r="R75" s="2938"/>
      <c r="S75" s="2938"/>
      <c r="T75" s="2938"/>
      <c r="U75" s="2938"/>
      <c r="V75" s="2938"/>
      <c r="W75" s="2938"/>
      <c r="X75" s="2938"/>
      <c r="Y75" s="2938"/>
      <c r="Z75" s="2938"/>
      <c r="AA75" s="2938"/>
      <c r="AB75" s="2938"/>
      <c r="AC75" s="2938"/>
    </row>
    <row r="76" spans="1:29">
      <c r="A76" s="484" t="s">
        <v>2318</v>
      </c>
      <c r="B76" s="485" t="s">
        <v>2355</v>
      </c>
      <c r="C76" s="530" t="s">
        <v>2356</v>
      </c>
      <c r="D76" s="530" t="s">
        <v>2357</v>
      </c>
      <c r="E76" s="530" t="s">
        <v>2358</v>
      </c>
      <c r="F76" s="530" t="s">
        <v>2359</v>
      </c>
      <c r="G76" s="530" t="s">
        <v>2360</v>
      </c>
      <c r="H76" s="486"/>
      <c r="I76" s="486"/>
      <c r="J76" s="486"/>
      <c r="K76" s="531"/>
      <c r="L76" s="532"/>
      <c r="M76" s="533"/>
      <c r="N76" s="2944"/>
      <c r="O76" s="2944"/>
      <c r="P76" s="2942"/>
      <c r="Q76" s="2930"/>
      <c r="R76" s="2916"/>
      <c r="S76" s="2916"/>
      <c r="T76" s="2916"/>
      <c r="U76" s="2916"/>
      <c r="V76" s="2916"/>
      <c r="W76" s="2916"/>
      <c r="X76" s="2916"/>
      <c r="Y76" s="2916"/>
      <c r="Z76" s="2916"/>
      <c r="AA76" s="2916"/>
      <c r="AB76" s="2916"/>
      <c r="AC76" s="291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5"/>
      <c r="O77" s="2945"/>
      <c r="P77" s="2935"/>
      <c r="Q77" s="2930"/>
      <c r="R77" s="2916"/>
      <c r="S77" s="2916"/>
      <c r="T77" s="2916"/>
      <c r="U77" s="2916"/>
      <c r="V77" s="2916"/>
      <c r="W77" s="2916"/>
      <c r="X77" s="2916"/>
      <c r="Y77" s="2916"/>
      <c r="Z77" s="2916"/>
      <c r="AA77" s="2916"/>
      <c r="AB77" s="2916"/>
      <c r="AC77" s="2916"/>
    </row>
    <row r="78" spans="1:29" ht="15.75" thickTop="1">
      <c r="A78" s="491"/>
      <c r="B78" s="495" t="s">
        <v>2361</v>
      </c>
      <c r="C78" s="535" t="s">
        <v>2356</v>
      </c>
      <c r="D78" s="535" t="s">
        <v>2357</v>
      </c>
      <c r="E78" s="535" t="s">
        <v>2358</v>
      </c>
      <c r="F78" s="535" t="s">
        <v>2359</v>
      </c>
      <c r="G78" s="535" t="s">
        <v>2360</v>
      </c>
      <c r="H78" s="496"/>
      <c r="I78" s="496"/>
      <c r="J78" s="496"/>
      <c r="K78" s="497"/>
      <c r="L78" s="498"/>
      <c r="M78" s="499"/>
      <c r="N78" s="2944"/>
      <c r="O78" s="2944"/>
      <c r="P78" s="2935"/>
      <c r="Q78" s="2930"/>
      <c r="R78" s="2916"/>
      <c r="S78" s="2916"/>
      <c r="T78" s="2916"/>
      <c r="U78" s="2916"/>
      <c r="V78" s="2916"/>
      <c r="W78" s="2916"/>
      <c r="X78" s="2916"/>
      <c r="Y78" s="2916"/>
      <c r="Z78" s="2916"/>
      <c r="AA78" s="2916"/>
      <c r="AB78" s="2916"/>
      <c r="AC78" s="291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5"/>
      <c r="O79" s="2945"/>
      <c r="P79" s="2935"/>
      <c r="Q79" s="2930"/>
      <c r="R79" s="2916"/>
      <c r="S79" s="2916"/>
      <c r="T79" s="2916"/>
      <c r="U79" s="2916"/>
      <c r="V79" s="2916"/>
      <c r="W79" s="2916"/>
      <c r="X79" s="2916"/>
      <c r="Y79" s="2916"/>
      <c r="Z79" s="2916"/>
      <c r="AA79" s="2916"/>
      <c r="AB79" s="2916"/>
      <c r="AC79" s="2916"/>
    </row>
    <row r="80" spans="1:29" ht="15.75" thickTop="1">
      <c r="A80" s="491"/>
      <c r="B80" s="495" t="s">
        <v>2362</v>
      </c>
      <c r="C80" s="535" t="s">
        <v>2356</v>
      </c>
      <c r="D80" s="535" t="s">
        <v>2357</v>
      </c>
      <c r="E80" s="535" t="s">
        <v>2358</v>
      </c>
      <c r="F80" s="535" t="s">
        <v>2359</v>
      </c>
      <c r="G80" s="535" t="s">
        <v>2360</v>
      </c>
      <c r="H80" s="496"/>
      <c r="I80" s="496"/>
      <c r="J80" s="496"/>
      <c r="K80" s="497"/>
      <c r="L80" s="498"/>
      <c r="M80" s="499"/>
      <c r="N80" s="2944"/>
      <c r="O80" s="2944"/>
      <c r="P80" s="2935"/>
      <c r="Q80" s="2930"/>
      <c r="R80" s="2916"/>
      <c r="S80" s="2916"/>
      <c r="T80" s="2916"/>
      <c r="U80" s="2916"/>
      <c r="V80" s="2916"/>
      <c r="W80" s="2916"/>
      <c r="X80" s="2916"/>
      <c r="Y80" s="2916"/>
      <c r="Z80" s="2916"/>
      <c r="AA80" s="2916"/>
      <c r="AB80" s="2916"/>
      <c r="AC80" s="291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5"/>
      <c r="O81" s="2945"/>
      <c r="P81" s="2935"/>
      <c r="Q81" s="2930"/>
      <c r="R81" s="2916"/>
      <c r="S81" s="2916"/>
      <c r="T81" s="2916"/>
      <c r="U81" s="2916"/>
      <c r="V81" s="2916"/>
      <c r="W81" s="2916"/>
      <c r="X81" s="2916"/>
      <c r="Y81" s="2916"/>
      <c r="Z81" s="2916"/>
      <c r="AA81" s="2916"/>
      <c r="AB81" s="2916"/>
      <c r="AC81" s="2916"/>
    </row>
    <row r="82" spans="1:29" ht="15.75" thickTop="1">
      <c r="A82" s="491"/>
      <c r="B82" s="503" t="s">
        <v>2414</v>
      </c>
      <c r="C82" s="616" t="s">
        <v>2434</v>
      </c>
      <c r="D82" s="616" t="s">
        <v>2435</v>
      </c>
      <c r="E82" s="616" t="s">
        <v>2436</v>
      </c>
      <c r="F82" s="616" t="s">
        <v>2437</v>
      </c>
      <c r="G82" s="616" t="s">
        <v>2438</v>
      </c>
      <c r="H82" s="496"/>
      <c r="I82" s="496"/>
      <c r="J82" s="496"/>
      <c r="K82" s="496"/>
      <c r="L82" s="496"/>
      <c r="M82" s="1259"/>
      <c r="N82" s="2945"/>
      <c r="O82" s="2945"/>
      <c r="P82" s="2935"/>
      <c r="Q82" s="2930"/>
      <c r="R82" s="2916"/>
      <c r="S82" s="2916"/>
      <c r="T82" s="2916"/>
      <c r="U82" s="2916"/>
      <c r="V82" s="2916"/>
      <c r="W82" s="2916"/>
      <c r="X82" s="2916"/>
      <c r="Y82" s="2916"/>
      <c r="Z82" s="2916"/>
      <c r="AA82" s="2916"/>
      <c r="AB82" s="2916"/>
      <c r="AC82" s="291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5"/>
      <c r="O83" s="2945"/>
      <c r="P83" s="2935"/>
      <c r="Q83" s="2930"/>
      <c r="R83" s="2916"/>
      <c r="S83" s="2916"/>
      <c r="T83" s="2916"/>
      <c r="U83" s="2916"/>
      <c r="V83" s="2916"/>
      <c r="W83" s="2916"/>
      <c r="X83" s="2916"/>
      <c r="Y83" s="2916"/>
      <c r="Z83" s="2916"/>
      <c r="AA83" s="2916"/>
      <c r="AB83" s="2916"/>
      <c r="AC83" s="2916"/>
    </row>
    <row r="84" spans="1:29" ht="15.75" thickTop="1">
      <c r="A84" s="491"/>
      <c r="B84" s="495" t="s">
        <v>2368</v>
      </c>
      <c r="C84" s="535" t="s">
        <v>2356</v>
      </c>
      <c r="D84" s="535" t="s">
        <v>2357</v>
      </c>
      <c r="E84" s="535" t="s">
        <v>2358</v>
      </c>
      <c r="F84" s="535" t="s">
        <v>2359</v>
      </c>
      <c r="G84" s="535" t="s">
        <v>2360</v>
      </c>
      <c r="H84" s="496"/>
      <c r="I84" s="496"/>
      <c r="J84" s="496"/>
      <c r="K84" s="497"/>
      <c r="L84" s="498"/>
      <c r="M84" s="499"/>
      <c r="N84" s="2944"/>
      <c r="O84" s="2944"/>
      <c r="P84" s="2935"/>
      <c r="Q84" s="2930"/>
      <c r="R84" s="2916"/>
      <c r="S84" s="2916"/>
      <c r="T84" s="2916"/>
      <c r="U84" s="2916"/>
      <c r="V84" s="2916"/>
      <c r="W84" s="2916"/>
      <c r="X84" s="2916"/>
      <c r="Y84" s="2916"/>
      <c r="Z84" s="2916"/>
      <c r="AA84" s="2916"/>
      <c r="AB84" s="2916"/>
      <c r="AC84" s="291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5"/>
      <c r="O85" s="2945"/>
      <c r="P85" s="2935"/>
      <c r="Q85" s="2930"/>
      <c r="R85" s="2916"/>
      <c r="S85" s="2916"/>
      <c r="T85" s="2916"/>
      <c r="U85" s="2916"/>
      <c r="V85" s="2916"/>
      <c r="W85" s="2916"/>
      <c r="X85" s="2916"/>
      <c r="Y85" s="2916"/>
      <c r="Z85" s="2916"/>
      <c r="AA85" s="2916"/>
      <c r="AB85" s="2916"/>
      <c r="AC85" s="2916"/>
    </row>
    <row r="86" spans="1:29" s="113" customFormat="1" ht="15.75" thickTop="1">
      <c r="A86" s="536"/>
      <c r="B86" s="495" t="s">
        <v>2439</v>
      </c>
      <c r="C86" s="511"/>
      <c r="D86" s="511"/>
      <c r="E86" s="511"/>
      <c r="F86" s="511"/>
      <c r="G86" s="511"/>
      <c r="H86" s="511"/>
      <c r="I86" s="511"/>
      <c r="J86" s="511"/>
      <c r="K86" s="511"/>
      <c r="L86" s="537"/>
      <c r="M86" s="538"/>
      <c r="N86" s="2943"/>
      <c r="O86" s="2943"/>
      <c r="P86" s="2935"/>
      <c r="Q86" s="2930"/>
      <c r="R86" s="2850"/>
      <c r="S86" s="2850"/>
      <c r="T86" s="2850"/>
      <c r="U86" s="2850"/>
      <c r="V86" s="2850"/>
      <c r="W86" s="2850"/>
      <c r="X86" s="2850"/>
      <c r="Y86" s="2850"/>
      <c r="Z86" s="2850"/>
      <c r="AA86" s="2850"/>
      <c r="AB86" s="2850"/>
      <c r="AC86" s="285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5"/>
      <c r="O87" s="2945"/>
      <c r="P87" s="2935"/>
      <c r="Q87" s="2930"/>
      <c r="R87" s="2850"/>
      <c r="S87" s="2850"/>
      <c r="T87" s="2850"/>
      <c r="U87" s="2850"/>
      <c r="V87" s="2850"/>
      <c r="W87" s="2850"/>
      <c r="X87" s="2850"/>
      <c r="Y87" s="2850"/>
      <c r="Z87" s="2850"/>
      <c r="AA87" s="2850"/>
      <c r="AB87" s="2850"/>
      <c r="AC87" s="2850"/>
    </row>
    <row r="88" spans="1:29" s="113" customFormat="1" ht="15.75" thickTop="1">
      <c r="A88" s="536"/>
      <c r="B88" s="495" t="str">
        <f>B26</f>
        <v>平面位置/可视性</v>
      </c>
      <c r="C88" s="511"/>
      <c r="D88" s="511"/>
      <c r="E88" s="511"/>
      <c r="F88" s="2076"/>
      <c r="G88" s="511"/>
      <c r="H88" s="511"/>
      <c r="I88" s="511"/>
      <c r="J88" s="511"/>
      <c r="K88" s="511"/>
      <c r="L88" s="511"/>
      <c r="M88" s="538"/>
      <c r="N88" s="2943"/>
      <c r="O88" s="2943"/>
      <c r="P88" s="2935"/>
      <c r="Q88" s="2930"/>
      <c r="R88" s="2850"/>
      <c r="S88" s="2850"/>
      <c r="T88" s="2850"/>
      <c r="U88" s="2850"/>
      <c r="V88" s="2850"/>
      <c r="W88" s="2850"/>
      <c r="X88" s="2850"/>
      <c r="Y88" s="2850"/>
      <c r="Z88" s="2850"/>
      <c r="AA88" s="2850"/>
      <c r="AB88" s="2850"/>
      <c r="AC88" s="2850"/>
    </row>
    <row r="89" spans="1:29" s="113" customFormat="1" ht="15.75" thickBot="1">
      <c r="A89" s="536"/>
      <c r="B89" s="500"/>
      <c r="C89" s="517"/>
      <c r="D89" s="493"/>
      <c r="E89" s="493"/>
      <c r="F89" s="493"/>
      <c r="G89" s="493"/>
      <c r="H89" s="493"/>
      <c r="I89" s="493"/>
      <c r="J89" s="493"/>
      <c r="K89" s="493"/>
      <c r="L89" s="493"/>
      <c r="M89" s="493"/>
      <c r="N89" s="2945"/>
      <c r="O89" s="2945"/>
      <c r="P89" s="2935"/>
      <c r="Q89" s="2930"/>
      <c r="R89" s="2850"/>
      <c r="S89" s="2850"/>
      <c r="T89" s="2850"/>
      <c r="U89" s="2850"/>
      <c r="V89" s="2850"/>
      <c r="W89" s="2850"/>
      <c r="X89" s="2850"/>
      <c r="Y89" s="2850"/>
      <c r="Z89" s="2850"/>
      <c r="AA89" s="2850"/>
      <c r="AB89" s="2850"/>
      <c r="AC89" s="2850"/>
    </row>
    <row r="90" spans="1:29" s="430" customFormat="1" ht="15.75" thickTop="1">
      <c r="A90" s="510"/>
      <c r="B90" s="495" t="str">
        <f>B27</f>
        <v>人流量</v>
      </c>
      <c r="C90" s="511"/>
      <c r="D90" s="511"/>
      <c r="E90" s="511"/>
      <c r="F90" s="511"/>
      <c r="G90" s="511"/>
      <c r="H90" s="512"/>
      <c r="I90" s="512"/>
      <c r="J90" s="512"/>
      <c r="K90" s="512"/>
      <c r="L90" s="513"/>
      <c r="M90" s="514"/>
      <c r="N90" s="2946"/>
      <c r="O90" s="2946"/>
      <c r="P90" s="2936"/>
      <c r="Q90" s="2937"/>
      <c r="R90" s="2938"/>
      <c r="S90" s="2938"/>
      <c r="T90" s="2938"/>
      <c r="U90" s="2938"/>
      <c r="V90" s="2938"/>
      <c r="W90" s="2938"/>
      <c r="X90" s="2938"/>
      <c r="Y90" s="2938"/>
      <c r="Z90" s="2938"/>
      <c r="AA90" s="2938"/>
      <c r="AB90" s="2938"/>
      <c r="AC90" s="293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6"/>
      <c r="O91" s="2946"/>
      <c r="P91" s="2936"/>
      <c r="Q91" s="2937"/>
      <c r="R91" s="2938"/>
      <c r="S91" s="2938"/>
      <c r="T91" s="2938"/>
      <c r="U91" s="2938"/>
      <c r="V91" s="2938"/>
      <c r="W91" s="2938"/>
      <c r="X91" s="2938"/>
      <c r="Y91" s="2938"/>
      <c r="Z91" s="2938"/>
      <c r="AA91" s="2938"/>
      <c r="AB91" s="2938"/>
      <c r="AC91" s="2938"/>
    </row>
    <row r="92" spans="1:29" ht="15.75" thickTop="1">
      <c r="A92" s="491"/>
      <c r="B92" s="495" t="str">
        <f>B28</f>
        <v>楼层</v>
      </c>
      <c r="C92" s="511"/>
      <c r="D92" s="511"/>
      <c r="E92" s="511"/>
      <c r="F92" s="511"/>
      <c r="G92" s="511"/>
      <c r="H92" s="511"/>
      <c r="I92" s="511"/>
      <c r="J92" s="511"/>
      <c r="K92" s="511"/>
      <c r="L92" s="537"/>
      <c r="M92" s="538"/>
      <c r="N92" s="2944"/>
      <c r="O92" s="2944"/>
      <c r="P92" s="2935"/>
      <c r="Q92" s="2930"/>
      <c r="R92" s="2916"/>
      <c r="S92" s="2916"/>
      <c r="T92" s="2916"/>
      <c r="U92" s="2916"/>
      <c r="V92" s="2916"/>
      <c r="W92" s="2916"/>
      <c r="X92" s="2916"/>
      <c r="Y92" s="2916"/>
      <c r="Z92" s="2916"/>
      <c r="AA92" s="2916"/>
      <c r="AB92" s="2916"/>
      <c r="AC92" s="2916"/>
    </row>
    <row r="93" spans="1:29" ht="15.75" thickBot="1">
      <c r="A93" s="491"/>
      <c r="B93" s="500"/>
      <c r="C93" s="493"/>
      <c r="D93" s="493"/>
      <c r="E93" s="493"/>
      <c r="F93" s="493"/>
      <c r="G93" s="493"/>
      <c r="H93" s="493"/>
      <c r="I93" s="493"/>
      <c r="J93" s="493"/>
      <c r="K93" s="493"/>
      <c r="L93" s="493"/>
      <c r="M93" s="494"/>
      <c r="N93" s="2945"/>
      <c r="O93" s="2945"/>
      <c r="P93" s="2935"/>
      <c r="Q93" s="2930"/>
      <c r="R93" s="2916"/>
      <c r="S93" s="2916"/>
      <c r="T93" s="2916"/>
      <c r="U93" s="2916"/>
      <c r="V93" s="2916"/>
      <c r="W93" s="2916"/>
      <c r="X93" s="2916"/>
      <c r="Y93" s="2916"/>
      <c r="Z93" s="2916"/>
      <c r="AA93" s="2916"/>
      <c r="AB93" s="2916"/>
      <c r="AC93" s="2916"/>
    </row>
    <row r="94" spans="1:29" ht="15.75" thickTop="1">
      <c r="A94" s="491"/>
      <c r="B94" s="495">
        <f>B29</f>
        <v>111</v>
      </c>
      <c r="C94" s="511"/>
      <c r="D94" s="511"/>
      <c r="E94" s="511"/>
      <c r="F94" s="511"/>
      <c r="G94" s="540"/>
      <c r="H94" s="540"/>
      <c r="I94" s="540"/>
      <c r="J94" s="540"/>
      <c r="K94" s="541"/>
      <c r="L94" s="542"/>
      <c r="M94" s="543"/>
      <c r="N94" s="2944"/>
      <c r="O94" s="2944"/>
      <c r="P94" s="2935"/>
      <c r="Q94" s="2930"/>
      <c r="R94" s="2916"/>
      <c r="S94" s="2916"/>
      <c r="T94" s="2916"/>
      <c r="U94" s="2916"/>
      <c r="V94" s="2916"/>
      <c r="W94" s="2916"/>
      <c r="X94" s="2916"/>
      <c r="Y94" s="2916"/>
      <c r="Z94" s="2916"/>
      <c r="AA94" s="2916"/>
      <c r="AB94" s="2916"/>
      <c r="AC94" s="2916"/>
    </row>
    <row r="95" spans="1:29" ht="15.75" thickBot="1">
      <c r="A95" s="491"/>
      <c r="B95" s="500"/>
      <c r="C95" s="517"/>
      <c r="D95" s="493"/>
      <c r="E95" s="493"/>
      <c r="F95" s="493"/>
      <c r="G95" s="493"/>
      <c r="H95" s="493"/>
      <c r="I95" s="493"/>
      <c r="J95" s="493"/>
      <c r="K95" s="493"/>
      <c r="L95" s="493"/>
      <c r="M95" s="494"/>
      <c r="N95" s="2945"/>
      <c r="O95" s="2945"/>
      <c r="P95" s="2935"/>
      <c r="Q95" s="2930"/>
      <c r="R95" s="2916"/>
      <c r="S95" s="2916"/>
      <c r="T95" s="2916"/>
      <c r="U95" s="2916"/>
      <c r="V95" s="2916"/>
      <c r="W95" s="2916"/>
      <c r="X95" s="2916"/>
      <c r="Y95" s="2916"/>
      <c r="Z95" s="2916"/>
      <c r="AA95" s="2916"/>
      <c r="AB95" s="2916"/>
      <c r="AC95" s="2916"/>
    </row>
    <row r="96" spans="1:29" ht="15.75" thickTop="1">
      <c r="A96" s="491"/>
      <c r="B96" s="495">
        <f>B30</f>
        <v>111</v>
      </c>
      <c r="C96" s="511"/>
      <c r="D96" s="511"/>
      <c r="E96" s="511"/>
      <c r="F96" s="511"/>
      <c r="G96" s="540"/>
      <c r="H96" s="540"/>
      <c r="I96" s="540"/>
      <c r="J96" s="540"/>
      <c r="K96" s="541"/>
      <c r="L96" s="542"/>
      <c r="M96" s="543"/>
      <c r="N96" s="2944"/>
      <c r="O96" s="2944"/>
      <c r="P96" s="2935"/>
      <c r="Q96" s="2930"/>
      <c r="R96" s="2916"/>
      <c r="S96" s="2916"/>
      <c r="T96" s="2916"/>
      <c r="U96" s="2916"/>
      <c r="V96" s="2916"/>
      <c r="W96" s="2916"/>
      <c r="X96" s="2916"/>
      <c r="Y96" s="2916"/>
      <c r="Z96" s="2916"/>
      <c r="AA96" s="2916"/>
      <c r="AB96" s="2916"/>
      <c r="AC96" s="2916"/>
    </row>
    <row r="97" spans="1:29" ht="15.75" thickBot="1">
      <c r="A97" s="491"/>
      <c r="B97" s="500"/>
      <c r="C97" s="517"/>
      <c r="D97" s="493"/>
      <c r="E97" s="493"/>
      <c r="F97" s="493"/>
      <c r="G97" s="493"/>
      <c r="H97" s="493"/>
      <c r="I97" s="493"/>
      <c r="J97" s="493"/>
      <c r="K97" s="493"/>
      <c r="L97" s="493"/>
      <c r="M97" s="494"/>
      <c r="N97" s="2945"/>
      <c r="O97" s="2945"/>
      <c r="P97" s="2935"/>
      <c r="Q97" s="2930"/>
      <c r="R97" s="2916"/>
      <c r="S97" s="2916"/>
      <c r="T97" s="2916"/>
      <c r="U97" s="2916"/>
      <c r="V97" s="2916"/>
      <c r="W97" s="2916"/>
      <c r="X97" s="2916"/>
      <c r="Y97" s="2916"/>
      <c r="Z97" s="2916"/>
      <c r="AA97" s="2916"/>
      <c r="AB97" s="2916"/>
      <c r="AC97" s="2916"/>
    </row>
    <row r="98" spans="1:29" ht="15.75" thickTop="1">
      <c r="A98" s="491"/>
      <c r="B98" s="503">
        <f>B31</f>
        <v>111</v>
      </c>
      <c r="C98" s="511"/>
      <c r="D98" s="511"/>
      <c r="E98" s="511"/>
      <c r="F98" s="511"/>
      <c r="G98" s="544"/>
      <c r="H98" s="544"/>
      <c r="I98" s="544"/>
      <c r="J98" s="544"/>
      <c r="K98" s="545"/>
      <c r="L98" s="546"/>
      <c r="M98" s="547"/>
      <c r="N98" s="2944"/>
      <c r="O98" s="2944"/>
      <c r="P98" s="2935"/>
      <c r="Q98" s="2930"/>
      <c r="R98" s="2916"/>
      <c r="S98" s="2916"/>
      <c r="T98" s="2916"/>
      <c r="U98" s="2916"/>
      <c r="V98" s="2916"/>
      <c r="W98" s="2916"/>
      <c r="X98" s="2916"/>
      <c r="Y98" s="2916"/>
      <c r="Z98" s="2916"/>
      <c r="AA98" s="2916"/>
      <c r="AB98" s="2916"/>
      <c r="AC98" s="2916"/>
    </row>
    <row r="99" spans="1:29" ht="15.75" thickBot="1">
      <c r="A99" s="2077"/>
      <c r="B99" s="526"/>
      <c r="C99" s="527"/>
      <c r="D99" s="527"/>
      <c r="E99" s="527"/>
      <c r="F99" s="527"/>
      <c r="G99" s="548"/>
      <c r="H99" s="548"/>
      <c r="I99" s="548"/>
      <c r="J99" s="548"/>
      <c r="K99" s="548"/>
      <c r="L99" s="548"/>
      <c r="M99" s="549"/>
      <c r="N99" s="2945"/>
      <c r="O99" s="2945"/>
      <c r="P99" s="2935"/>
      <c r="Q99" s="2930"/>
      <c r="R99" s="2916"/>
      <c r="S99" s="2916"/>
      <c r="T99" s="2916"/>
      <c r="U99" s="2916"/>
      <c r="V99" s="2916"/>
      <c r="W99" s="2916"/>
      <c r="X99" s="2916"/>
      <c r="Y99" s="2916"/>
      <c r="Z99" s="2916"/>
      <c r="AA99" s="2916"/>
      <c r="AB99" s="2916"/>
      <c r="AC99" s="2916"/>
    </row>
    <row r="100" spans="1:29">
      <c r="A100" s="484" t="s">
        <v>2322</v>
      </c>
      <c r="B100" s="485" t="s">
        <v>2440</v>
      </c>
      <c r="C100" s="487"/>
      <c r="D100" s="487"/>
      <c r="E100" s="487"/>
      <c r="F100" s="487"/>
      <c r="G100" s="487"/>
      <c r="H100" s="487"/>
      <c r="I100" s="487"/>
      <c r="J100" s="487"/>
      <c r="K100" s="488"/>
      <c r="L100" s="489"/>
      <c r="M100" s="490"/>
      <c r="N100" s="2944"/>
      <c r="O100" s="2944"/>
      <c r="P100" s="2935"/>
      <c r="Q100" s="2930"/>
      <c r="R100" s="2916"/>
      <c r="S100" s="2916"/>
      <c r="T100" s="2916"/>
      <c r="U100" s="2916"/>
      <c r="V100" s="2916"/>
      <c r="W100" s="2916"/>
      <c r="X100" s="2916"/>
      <c r="Y100" s="2916"/>
      <c r="Z100" s="2916"/>
      <c r="AA100" s="2916"/>
      <c r="AB100" s="2916"/>
      <c r="AC100" s="291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5"/>
      <c r="O101" s="2945"/>
      <c r="P101" s="2935"/>
      <c r="Q101" s="2930"/>
      <c r="R101" s="2916"/>
      <c r="S101" s="2916"/>
      <c r="T101" s="2916"/>
      <c r="U101" s="2916"/>
      <c r="V101" s="2916"/>
      <c r="W101" s="2916"/>
      <c r="X101" s="2916"/>
      <c r="Y101" s="2916"/>
      <c r="Z101" s="2916"/>
      <c r="AA101" s="2916"/>
      <c r="AB101" s="2916"/>
      <c r="AC101" s="2916"/>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3"/>
      <c r="O102" s="2943"/>
      <c r="P102" s="2935"/>
      <c r="Q102" s="2930"/>
      <c r="R102" s="2916"/>
      <c r="S102" s="2916"/>
      <c r="T102" s="2916"/>
      <c r="U102" s="2916"/>
      <c r="V102" s="2916"/>
      <c r="W102" s="2916"/>
      <c r="X102" s="2916"/>
      <c r="Y102" s="2916"/>
      <c r="Z102" s="2916"/>
      <c r="AA102" s="2916"/>
      <c r="AB102" s="2916"/>
      <c r="AC102" s="2916"/>
    </row>
    <row r="103" spans="1:29" s="430" customFormat="1">
      <c r="A103" s="550"/>
      <c r="B103" s="551"/>
      <c r="C103" s="552"/>
      <c r="D103" s="552"/>
      <c r="E103" s="552"/>
      <c r="F103" s="552"/>
      <c r="G103" s="552"/>
      <c r="H103" s="552"/>
      <c r="I103" s="552"/>
      <c r="J103" s="553"/>
      <c r="K103" s="553"/>
      <c r="L103" s="554"/>
      <c r="M103" s="555"/>
      <c r="N103" s="2946"/>
      <c r="O103" s="2946"/>
      <c r="P103" s="2936"/>
      <c r="Q103" s="2937"/>
      <c r="R103" s="2938"/>
      <c r="S103" s="2938"/>
      <c r="T103" s="2938"/>
      <c r="U103" s="2938"/>
      <c r="V103" s="2938"/>
      <c r="W103" s="2938"/>
      <c r="X103" s="2938"/>
      <c r="Y103" s="2938"/>
      <c r="Z103" s="2938"/>
      <c r="AA103" s="2938"/>
      <c r="AB103" s="2938"/>
      <c r="AC103" s="2938"/>
    </row>
    <row r="104" spans="1:29" s="430" customFormat="1" ht="15.75" thickBot="1">
      <c r="A104" s="510"/>
      <c r="B104" s="500"/>
      <c r="C104" s="517"/>
      <c r="D104" s="493"/>
      <c r="E104" s="493"/>
      <c r="F104" s="493"/>
      <c r="G104" s="493"/>
      <c r="H104" s="493"/>
      <c r="I104" s="493"/>
      <c r="J104" s="493"/>
      <c r="K104" s="493"/>
      <c r="L104" s="493"/>
      <c r="M104" s="494"/>
      <c r="N104" s="2945"/>
      <c r="O104" s="2945"/>
      <c r="P104" s="2936"/>
      <c r="Q104" s="2937"/>
      <c r="R104" s="2938"/>
      <c r="S104" s="2938"/>
      <c r="T104" s="2938"/>
      <c r="U104" s="2938"/>
      <c r="V104" s="2938"/>
      <c r="W104" s="2938"/>
      <c r="X104" s="2938"/>
      <c r="Y104" s="2938"/>
      <c r="Z104" s="2938"/>
      <c r="AA104" s="2938"/>
      <c r="AB104" s="2938"/>
      <c r="AC104" s="2938"/>
    </row>
    <row r="105" spans="1:29" ht="15" thickTop="1">
      <c r="A105" s="556"/>
      <c r="B105" s="495" t="s">
        <v>2373</v>
      </c>
      <c r="C105" s="511"/>
      <c r="D105" s="511"/>
      <c r="E105" s="540"/>
      <c r="F105" s="540"/>
      <c r="G105" s="540"/>
      <c r="H105" s="540"/>
      <c r="I105" s="540"/>
      <c r="J105" s="540"/>
      <c r="K105" s="541"/>
      <c r="L105" s="542"/>
      <c r="M105" s="543"/>
      <c r="N105" s="2944"/>
      <c r="O105" s="2944"/>
      <c r="P105" s="2935"/>
      <c r="Q105" s="2930"/>
      <c r="R105" s="2916"/>
      <c r="S105" s="2916"/>
      <c r="T105" s="2916"/>
      <c r="U105" s="2916"/>
      <c r="V105" s="2916"/>
      <c r="W105" s="2916"/>
      <c r="X105" s="2916"/>
      <c r="Y105" s="2916"/>
      <c r="Z105" s="2916"/>
      <c r="AA105" s="2916"/>
      <c r="AB105" s="2916"/>
      <c r="AC105" s="291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5"/>
      <c r="O106" s="2945"/>
      <c r="P106" s="2935"/>
      <c r="Q106" s="2930"/>
      <c r="R106" s="2916"/>
      <c r="S106" s="2916"/>
      <c r="T106" s="2916"/>
      <c r="U106" s="2916"/>
      <c r="V106" s="2916"/>
      <c r="W106" s="2916"/>
      <c r="X106" s="2916"/>
      <c r="Y106" s="2916"/>
      <c r="Z106" s="2916"/>
      <c r="AA106" s="2916"/>
      <c r="AB106" s="2916"/>
      <c r="AC106" s="2916"/>
    </row>
    <row r="107" spans="1:29" ht="15" thickTop="1">
      <c r="A107" s="556"/>
      <c r="B107" s="495" t="s">
        <v>2375</v>
      </c>
      <c r="C107" s="511"/>
      <c r="D107" s="511"/>
      <c r="E107" s="511"/>
      <c r="F107" s="540"/>
      <c r="G107" s="540"/>
      <c r="H107" s="540"/>
      <c r="I107" s="540"/>
      <c r="J107" s="540"/>
      <c r="K107" s="541"/>
      <c r="L107" s="542"/>
      <c r="M107" s="543"/>
      <c r="N107" s="2944"/>
      <c r="O107" s="2944"/>
      <c r="P107" s="2935"/>
      <c r="Q107" s="2930"/>
      <c r="R107" s="2916"/>
      <c r="S107" s="2916"/>
      <c r="T107" s="2916"/>
      <c r="U107" s="2916"/>
      <c r="V107" s="2916"/>
      <c r="W107" s="2916"/>
      <c r="X107" s="2916"/>
      <c r="Y107" s="2916"/>
      <c r="Z107" s="2916"/>
      <c r="AA107" s="2916"/>
      <c r="AB107" s="2916"/>
      <c r="AC107" s="291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5"/>
      <c r="O108" s="2945"/>
      <c r="P108" s="2935"/>
      <c r="Q108" s="2930"/>
      <c r="R108" s="2916"/>
      <c r="S108" s="2916"/>
      <c r="T108" s="2916"/>
      <c r="U108" s="2916"/>
      <c r="V108" s="2916"/>
      <c r="W108" s="2916"/>
      <c r="X108" s="2916"/>
      <c r="Y108" s="2916"/>
      <c r="Z108" s="2916"/>
      <c r="AA108" s="2916"/>
      <c r="AB108" s="2916"/>
      <c r="AC108" s="2916"/>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4"/>
      <c r="O109" s="2944"/>
      <c r="P109" s="2935"/>
      <c r="Q109" s="2930"/>
      <c r="R109" s="2916"/>
      <c r="S109" s="2916"/>
      <c r="T109" s="2916"/>
      <c r="U109" s="2916"/>
      <c r="V109" s="2916"/>
      <c r="W109" s="2916"/>
      <c r="X109" s="2916"/>
      <c r="Y109" s="2916"/>
      <c r="Z109" s="2916"/>
      <c r="AA109" s="2916"/>
      <c r="AB109" s="2916"/>
      <c r="AC109" s="2916"/>
    </row>
    <row r="110" spans="1:29">
      <c r="A110" s="556"/>
      <c r="B110" s="503"/>
      <c r="C110" s="560">
        <v>0.5</v>
      </c>
      <c r="D110" s="560">
        <v>0.6</v>
      </c>
      <c r="E110" s="560">
        <v>0.7</v>
      </c>
      <c r="F110" s="560">
        <v>0.8</v>
      </c>
      <c r="G110" s="560">
        <v>0.9</v>
      </c>
      <c r="H110" s="560">
        <v>1.0001</v>
      </c>
      <c r="I110" s="579"/>
      <c r="J110" s="579"/>
      <c r="K110" s="580"/>
      <c r="L110" s="581"/>
      <c r="M110" s="582"/>
      <c r="N110" s="2944"/>
      <c r="O110" s="2944"/>
      <c r="P110" s="2935"/>
      <c r="Q110" s="2930"/>
      <c r="R110" s="2916"/>
      <c r="S110" s="2916"/>
      <c r="T110" s="2916"/>
      <c r="U110" s="2916"/>
      <c r="V110" s="2916"/>
      <c r="W110" s="2916"/>
      <c r="X110" s="2916"/>
      <c r="Y110" s="2916"/>
      <c r="Z110" s="2916"/>
      <c r="AA110" s="2916"/>
      <c r="AB110" s="2916"/>
      <c r="AC110" s="291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5"/>
      <c r="O111" s="2945"/>
      <c r="P111" s="2935"/>
      <c r="Q111" s="2930"/>
      <c r="R111" s="2916"/>
      <c r="S111" s="2916"/>
      <c r="T111" s="2916"/>
      <c r="U111" s="2916"/>
      <c r="V111" s="2916"/>
      <c r="W111" s="2916"/>
      <c r="X111" s="2916"/>
      <c r="Y111" s="2916"/>
      <c r="Z111" s="2916"/>
      <c r="AA111" s="2916"/>
      <c r="AB111" s="2916"/>
      <c r="AC111" s="2916"/>
    </row>
    <row r="112" spans="1:29" s="430" customFormat="1" ht="15" thickTop="1">
      <c r="A112" s="550"/>
      <c r="B112" s="495" t="s">
        <v>2377</v>
      </c>
      <c r="C112" s="511"/>
      <c r="D112" s="511"/>
      <c r="E112" s="511"/>
      <c r="F112" s="511"/>
      <c r="G112" s="511"/>
      <c r="H112" s="540"/>
      <c r="I112" s="540"/>
      <c r="J112" s="540"/>
      <c r="K112" s="541"/>
      <c r="L112" s="542"/>
      <c r="M112" s="543"/>
      <c r="N112" s="2946"/>
      <c r="O112" s="2946"/>
      <c r="P112" s="2936"/>
      <c r="Q112" s="2937"/>
      <c r="R112" s="2938"/>
      <c r="S112" s="2938"/>
      <c r="T112" s="2938"/>
      <c r="U112" s="2938"/>
      <c r="V112" s="2938"/>
      <c r="W112" s="2938"/>
      <c r="X112" s="2938"/>
      <c r="Y112" s="2938"/>
      <c r="Z112" s="2938"/>
      <c r="AA112" s="2938"/>
      <c r="AB112" s="2938"/>
      <c r="AC112" s="293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6"/>
      <c r="O113" s="2946"/>
      <c r="P113" s="2936"/>
      <c r="Q113" s="2937"/>
      <c r="R113" s="2938"/>
      <c r="S113" s="2938"/>
      <c r="T113" s="2938"/>
      <c r="U113" s="2938"/>
      <c r="V113" s="2938"/>
      <c r="W113" s="2938"/>
      <c r="X113" s="2938"/>
      <c r="Y113" s="2938"/>
      <c r="Z113" s="2938"/>
      <c r="AA113" s="2938"/>
      <c r="AB113" s="2938"/>
      <c r="AC113" s="2938"/>
    </row>
    <row r="114" spans="1:29" ht="15" thickTop="1">
      <c r="A114" s="556"/>
      <c r="B114" s="495" t="s">
        <v>2441</v>
      </c>
      <c r="C114" s="511"/>
      <c r="D114" s="511"/>
      <c r="E114" s="540"/>
      <c r="F114" s="540"/>
      <c r="G114" s="540"/>
      <c r="H114" s="540"/>
      <c r="I114" s="540"/>
      <c r="J114" s="540"/>
      <c r="K114" s="541"/>
      <c r="L114" s="542"/>
      <c r="M114" s="543"/>
      <c r="N114" s="2944"/>
      <c r="O114" s="2944"/>
      <c r="P114" s="2935"/>
      <c r="Q114" s="2930"/>
      <c r="R114" s="2916"/>
      <c r="S114" s="2916"/>
      <c r="T114" s="2916"/>
      <c r="U114" s="2916"/>
      <c r="V114" s="2916"/>
      <c r="W114" s="2916"/>
      <c r="X114" s="2916"/>
      <c r="Y114" s="2916"/>
      <c r="Z114" s="2916"/>
      <c r="AA114" s="2916"/>
      <c r="AB114" s="2916"/>
      <c r="AC114" s="291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35"/>
      <c r="Q115" s="2930"/>
      <c r="R115" s="2916"/>
      <c r="S115" s="2916"/>
      <c r="T115" s="2916"/>
      <c r="U115" s="2916"/>
      <c r="V115" s="2916"/>
      <c r="W115" s="2916"/>
      <c r="X115" s="2916"/>
      <c r="Y115" s="2916"/>
      <c r="Z115" s="2916"/>
      <c r="AA115" s="2916"/>
      <c r="AB115" s="2916"/>
      <c r="AC115" s="2916"/>
    </row>
    <row r="116" spans="1:29" ht="15" thickTop="1">
      <c r="A116" s="556"/>
      <c r="B116" s="495" t="s">
        <v>2442</v>
      </c>
      <c r="C116" s="511"/>
      <c r="D116" s="511"/>
      <c r="E116" s="511"/>
      <c r="F116" s="511"/>
      <c r="G116" s="511"/>
      <c r="H116" s="540"/>
      <c r="I116" s="540"/>
      <c r="J116" s="540"/>
      <c r="K116" s="541"/>
      <c r="L116" s="542"/>
      <c r="M116" s="543"/>
      <c r="N116" s="2944"/>
      <c r="O116" s="2944"/>
      <c r="P116" s="2935"/>
      <c r="Q116" s="2930"/>
      <c r="R116" s="2916"/>
      <c r="S116" s="2916"/>
      <c r="T116" s="2916"/>
      <c r="U116" s="2916"/>
      <c r="V116" s="2916"/>
      <c r="W116" s="2916"/>
      <c r="X116" s="2916"/>
      <c r="Y116" s="2916"/>
      <c r="Z116" s="2916"/>
      <c r="AA116" s="2916"/>
      <c r="AB116" s="2916"/>
      <c r="AC116" s="291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5"/>
      <c r="O117" s="2945"/>
      <c r="P117" s="2935"/>
      <c r="Q117" s="2930"/>
      <c r="R117" s="2916"/>
      <c r="S117" s="2916"/>
      <c r="T117" s="2916"/>
      <c r="U117" s="2916"/>
      <c r="V117" s="2916"/>
      <c r="W117" s="2916"/>
      <c r="X117" s="2916"/>
      <c r="Y117" s="2916"/>
      <c r="Z117" s="2916"/>
      <c r="AA117" s="2916"/>
      <c r="AB117" s="2916"/>
      <c r="AC117" s="2916"/>
    </row>
    <row r="118" spans="1:29" ht="15" thickTop="1">
      <c r="A118" s="556"/>
      <c r="B118" s="495" t="s">
        <v>2443</v>
      </c>
      <c r="C118" s="583"/>
      <c r="D118" s="583"/>
      <c r="E118" s="583"/>
      <c r="F118" s="583"/>
      <c r="G118" s="583"/>
      <c r="H118" s="512"/>
      <c r="I118" s="512"/>
      <c r="J118" s="512"/>
      <c r="K118" s="512"/>
      <c r="L118" s="513"/>
      <c r="M118" s="514"/>
      <c r="N118" s="2944"/>
      <c r="O118" s="2944"/>
      <c r="P118" s="2935"/>
      <c r="Q118" s="2930"/>
      <c r="R118" s="2916"/>
      <c r="S118" s="2916"/>
      <c r="T118" s="2916"/>
      <c r="U118" s="2916"/>
      <c r="V118" s="2916"/>
      <c r="W118" s="2916"/>
      <c r="X118" s="2916"/>
      <c r="Y118" s="2916"/>
      <c r="Z118" s="2916"/>
      <c r="AA118" s="2916"/>
      <c r="AB118" s="2916"/>
      <c r="AC118" s="2916"/>
    </row>
    <row r="119" spans="1:29" ht="15.75" thickBot="1">
      <c r="A119" s="491"/>
      <c r="B119" s="500"/>
      <c r="C119" s="517"/>
      <c r="D119" s="493"/>
      <c r="E119" s="493"/>
      <c r="F119" s="493"/>
      <c r="G119" s="493"/>
      <c r="H119" s="493"/>
      <c r="I119" s="493"/>
      <c r="J119" s="493"/>
      <c r="K119" s="493"/>
      <c r="L119" s="493"/>
      <c r="M119" s="494"/>
      <c r="N119" s="2945"/>
      <c r="O119" s="2945"/>
      <c r="P119" s="2935"/>
      <c r="Q119" s="2930"/>
      <c r="R119" s="2916"/>
      <c r="S119" s="2916"/>
      <c r="T119" s="2916"/>
      <c r="U119" s="2916"/>
      <c r="V119" s="2916"/>
      <c r="W119" s="2916"/>
      <c r="X119" s="2916"/>
      <c r="Y119" s="2916"/>
      <c r="Z119" s="2916"/>
      <c r="AA119" s="2916"/>
      <c r="AB119" s="2916"/>
      <c r="AC119" s="2916"/>
    </row>
    <row r="120" spans="1:29" s="430" customFormat="1" ht="15" thickTop="1">
      <c r="A120" s="550"/>
      <c r="B120" s="495" t="s">
        <v>2444</v>
      </c>
      <c r="C120" s="540"/>
      <c r="D120" s="540"/>
      <c r="E120" s="540"/>
      <c r="F120" s="540"/>
      <c r="G120" s="512"/>
      <c r="H120" s="512"/>
      <c r="I120" s="512"/>
      <c r="J120" s="512"/>
      <c r="K120" s="512"/>
      <c r="L120" s="513"/>
      <c r="M120" s="514"/>
      <c r="N120" s="2946"/>
      <c r="O120" s="2946"/>
      <c r="P120" s="2936"/>
      <c r="Q120" s="2937"/>
      <c r="R120" s="2938"/>
      <c r="S120" s="2938"/>
      <c r="T120" s="2938"/>
      <c r="U120" s="2938"/>
      <c r="V120" s="2938"/>
      <c r="W120" s="2938"/>
      <c r="X120" s="2938"/>
      <c r="Y120" s="2938"/>
      <c r="Z120" s="2938"/>
      <c r="AA120" s="2938"/>
      <c r="AB120" s="2938"/>
      <c r="AC120" s="293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6"/>
      <c r="O121" s="2946"/>
      <c r="P121" s="2936"/>
      <c r="Q121" s="2937"/>
      <c r="R121" s="2938"/>
      <c r="S121" s="2938"/>
      <c r="T121" s="2938"/>
      <c r="U121" s="2938"/>
      <c r="V121" s="2938"/>
      <c r="W121" s="2938"/>
      <c r="X121" s="2938"/>
      <c r="Y121" s="2938"/>
      <c r="Z121" s="2938"/>
      <c r="AA121" s="2938"/>
      <c r="AB121" s="2938"/>
      <c r="AC121" s="2938"/>
    </row>
    <row r="122" spans="1:29" ht="15" thickTop="1">
      <c r="A122" s="556"/>
      <c r="B122" s="495" t="s">
        <v>2379</v>
      </c>
      <c r="C122" s="511"/>
      <c r="D122" s="511"/>
      <c r="E122" s="511"/>
      <c r="F122" s="540"/>
      <c r="G122" s="540"/>
      <c r="H122" s="540"/>
      <c r="I122" s="540"/>
      <c r="J122" s="540"/>
      <c r="K122" s="541"/>
      <c r="L122" s="542"/>
      <c r="M122" s="543"/>
      <c r="N122" s="2944"/>
      <c r="O122" s="2944"/>
      <c r="P122" s="2935"/>
      <c r="Q122" s="2930"/>
      <c r="R122" s="2916"/>
      <c r="S122" s="2916"/>
      <c r="T122" s="2916"/>
      <c r="U122" s="2916"/>
      <c r="V122" s="2916"/>
      <c r="W122" s="2916"/>
      <c r="X122" s="2916"/>
      <c r="Y122" s="2916"/>
      <c r="Z122" s="2916"/>
      <c r="AA122" s="2916"/>
      <c r="AB122" s="2916"/>
      <c r="AC122" s="291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5"/>
      <c r="O123" s="2945"/>
      <c r="P123" s="2935"/>
      <c r="Q123" s="2930"/>
      <c r="R123" s="2916"/>
      <c r="S123" s="2916"/>
      <c r="T123" s="2916"/>
      <c r="U123" s="2916"/>
      <c r="V123" s="2916"/>
      <c r="W123" s="2916"/>
      <c r="X123" s="2916"/>
      <c r="Y123" s="2916"/>
      <c r="Z123" s="2916"/>
      <c r="AA123" s="2916"/>
      <c r="AB123" s="2916"/>
      <c r="AC123" s="2916"/>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44"/>
      <c r="O124" s="2944"/>
      <c r="P124" s="2936"/>
      <c r="Q124" s="2930"/>
      <c r="R124" s="2916"/>
      <c r="S124" s="2916"/>
      <c r="T124" s="2916"/>
      <c r="U124" s="2916"/>
      <c r="V124" s="2916"/>
      <c r="W124" s="2916"/>
      <c r="X124" s="2916"/>
      <c r="Y124" s="2916"/>
      <c r="Z124" s="2916"/>
      <c r="AA124" s="2916"/>
      <c r="AB124" s="2916"/>
      <c r="AC124" s="291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5"/>
      <c r="O125" s="2945"/>
      <c r="P125" s="2935"/>
      <c r="Q125" s="2930"/>
      <c r="R125" s="2916"/>
      <c r="S125" s="2916"/>
      <c r="T125" s="2916"/>
      <c r="U125" s="2916"/>
      <c r="V125" s="2916"/>
      <c r="W125" s="2916"/>
      <c r="X125" s="2916"/>
      <c r="Y125" s="2916"/>
      <c r="Z125" s="2916"/>
      <c r="AA125" s="2916"/>
      <c r="AB125" s="2916"/>
      <c r="AC125" s="2916"/>
    </row>
    <row r="126" spans="1:29" s="430" customFormat="1" ht="15" thickTop="1">
      <c r="A126" s="550"/>
      <c r="B126" s="495">
        <f>B44</f>
        <v>111</v>
      </c>
      <c r="C126" s="511"/>
      <c r="D126" s="511"/>
      <c r="E126" s="511"/>
      <c r="F126" s="511"/>
      <c r="G126" s="511"/>
      <c r="H126" s="512"/>
      <c r="I126" s="512"/>
      <c r="J126" s="512"/>
      <c r="K126" s="512"/>
      <c r="L126" s="513"/>
      <c r="M126" s="514"/>
      <c r="N126" s="2946"/>
      <c r="O126" s="2946"/>
      <c r="P126" s="2936"/>
      <c r="Q126" s="2937"/>
      <c r="R126" s="2938"/>
      <c r="S126" s="2938"/>
      <c r="T126" s="2938"/>
      <c r="U126" s="2938"/>
      <c r="V126" s="2938"/>
      <c r="W126" s="2938"/>
      <c r="X126" s="2938"/>
      <c r="Y126" s="2938"/>
      <c r="Z126" s="2938"/>
      <c r="AA126" s="2938"/>
      <c r="AB126" s="2938"/>
      <c r="AC126" s="2938"/>
    </row>
    <row r="127" spans="1:29" s="430" customFormat="1" ht="15.75" thickBot="1">
      <c r="A127" s="510"/>
      <c r="B127" s="500"/>
      <c r="C127" s="517"/>
      <c r="D127" s="493"/>
      <c r="E127" s="493"/>
      <c r="F127" s="493"/>
      <c r="G127" s="517"/>
      <c r="H127" s="519"/>
      <c r="I127" s="519"/>
      <c r="J127" s="519"/>
      <c r="K127" s="519"/>
      <c r="L127" s="519"/>
      <c r="M127" s="520"/>
      <c r="N127" s="2946"/>
      <c r="O127" s="2946"/>
      <c r="P127" s="2936"/>
      <c r="Q127" s="2937"/>
      <c r="R127" s="2938"/>
      <c r="S127" s="2938"/>
      <c r="T127" s="2938"/>
      <c r="U127" s="2938"/>
      <c r="V127" s="2938"/>
      <c r="W127" s="2938"/>
      <c r="X127" s="2938"/>
      <c r="Y127" s="2938"/>
      <c r="Z127" s="2938"/>
      <c r="AA127" s="2938"/>
      <c r="AB127" s="2938"/>
      <c r="AC127" s="2938"/>
    </row>
    <row r="128" spans="1:29" ht="15" thickTop="1">
      <c r="A128" s="556"/>
      <c r="B128" s="495">
        <f>B45</f>
        <v>111</v>
      </c>
      <c r="C128" s="511"/>
      <c r="D128" s="511"/>
      <c r="E128" s="511"/>
      <c r="F128" s="511"/>
      <c r="G128" s="540"/>
      <c r="H128" s="540"/>
      <c r="I128" s="540"/>
      <c r="J128" s="540"/>
      <c r="K128" s="541"/>
      <c r="L128" s="542"/>
      <c r="M128" s="543"/>
      <c r="N128" s="2944"/>
      <c r="O128" s="2944"/>
      <c r="P128" s="2935"/>
      <c r="Q128" s="2930"/>
      <c r="R128" s="2916"/>
      <c r="S128" s="2916"/>
      <c r="T128" s="2916"/>
      <c r="U128" s="2916"/>
      <c r="V128" s="2916"/>
      <c r="W128" s="2916"/>
      <c r="X128" s="2916"/>
      <c r="Y128" s="2916"/>
      <c r="Z128" s="2916"/>
      <c r="AA128" s="2916"/>
      <c r="AB128" s="2916"/>
      <c r="AC128" s="2916"/>
    </row>
    <row r="129" spans="1:29" ht="15.75" thickBot="1">
      <c r="A129" s="491"/>
      <c r="B129" s="500"/>
      <c r="C129" s="517"/>
      <c r="D129" s="493"/>
      <c r="E129" s="493"/>
      <c r="F129" s="493"/>
      <c r="G129" s="493"/>
      <c r="H129" s="493"/>
      <c r="I129" s="493"/>
      <c r="J129" s="493"/>
      <c r="K129" s="493"/>
      <c r="L129" s="493"/>
      <c r="M129" s="494"/>
      <c r="N129" s="2945"/>
      <c r="O129" s="2945"/>
      <c r="P129" s="2935"/>
      <c r="Q129" s="2930"/>
      <c r="R129" s="2916"/>
      <c r="S129" s="2916"/>
      <c r="T129" s="2916"/>
      <c r="U129" s="2916"/>
      <c r="V129" s="2916"/>
      <c r="W129" s="2916"/>
      <c r="X129" s="2916"/>
      <c r="Y129" s="2916"/>
      <c r="Z129" s="2916"/>
      <c r="AA129" s="2916"/>
      <c r="AB129" s="2916"/>
      <c r="AC129" s="2916"/>
    </row>
    <row r="130" spans="1:29" ht="15" thickTop="1">
      <c r="A130" s="556"/>
      <c r="B130" s="503">
        <f>B46</f>
        <v>111</v>
      </c>
      <c r="C130" s="511"/>
      <c r="D130" s="511"/>
      <c r="E130" s="511"/>
      <c r="F130" s="511"/>
      <c r="G130" s="544"/>
      <c r="H130" s="544"/>
      <c r="I130" s="544"/>
      <c r="J130" s="544"/>
      <c r="K130" s="480"/>
      <c r="L130" s="481"/>
      <c r="M130" s="547"/>
      <c r="N130" s="2944"/>
      <c r="O130" s="2944"/>
      <c r="P130" s="2935"/>
      <c r="Q130" s="2930"/>
      <c r="R130" s="2916"/>
      <c r="S130" s="2916"/>
      <c r="T130" s="2916"/>
      <c r="U130" s="2916"/>
      <c r="V130" s="2916"/>
      <c r="W130" s="2916"/>
      <c r="X130" s="2916"/>
      <c r="Y130" s="2916"/>
      <c r="Z130" s="2916"/>
      <c r="AA130" s="2916"/>
      <c r="AB130" s="2916"/>
      <c r="AC130" s="2916"/>
    </row>
    <row r="131" spans="1:29" ht="15.75" thickBot="1">
      <c r="A131" s="2077"/>
      <c r="B131" s="526"/>
      <c r="C131" s="527"/>
      <c r="D131" s="527"/>
      <c r="E131" s="527"/>
      <c r="F131" s="527"/>
      <c r="G131" s="548"/>
      <c r="H131" s="548"/>
      <c r="I131" s="548"/>
      <c r="J131" s="548"/>
      <c r="K131" s="548"/>
      <c r="L131" s="548"/>
      <c r="M131" s="549"/>
      <c r="N131" s="2945"/>
      <c r="O131" s="2945"/>
      <c r="P131" s="2935"/>
      <c r="Q131" s="2930"/>
      <c r="R131" s="2916"/>
      <c r="S131" s="2916"/>
      <c r="T131" s="2916"/>
      <c r="U131" s="2916"/>
      <c r="V131" s="2916"/>
      <c r="W131" s="2916"/>
      <c r="X131" s="2916"/>
      <c r="Y131" s="2916"/>
      <c r="Z131" s="2916"/>
      <c r="AA131" s="2916"/>
      <c r="AB131" s="2916"/>
      <c r="AC131" s="29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1" zoomScale="80" zoomScaleNormal="70" zoomScaleSheetLayoutView="80" workbookViewId="0">
      <selection activeCell="H60" sqref="H6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106" t="s">
        <v>2445</v>
      </c>
      <c r="C1" s="1360" t="s">
        <v>2290</v>
      </c>
      <c r="D1" s="1361" t="s">
        <v>3238</v>
      </c>
      <c r="E1" s="1370"/>
      <c r="F1" s="2030" t="s">
        <v>3271</v>
      </c>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f>IF(C2="——",ROUND(C50*D3/10000,0),ROUND(C50*D3/10000,0)-D2)</f>
        <v>0</v>
      </c>
      <c r="C2" s="2032" t="s">
        <v>70</v>
      </c>
      <c r="D2" s="1243" t="e">
        <f ca="1">SUMIF(INDIRECT("'"&amp;F2&amp;"'"&amp;"!A:A"),"承租人权益价值",INDIRECT("'"&amp;F2&amp;"'"&amp;"!c:c"))</f>
        <v>#REF!</v>
      </c>
      <c r="E2" s="2033" t="s">
        <v>2088</v>
      </c>
      <c r="F2" s="2034"/>
      <c r="G2" s="1035"/>
      <c r="H2" s="1035"/>
      <c r="I2" s="1035"/>
      <c r="J2" s="1035"/>
      <c r="K2" s="1035"/>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31.2</v>
      </c>
      <c r="C3" s="360" t="s">
        <v>2403</v>
      </c>
      <c r="D3" s="359">
        <f>IF(D1="",'数据-汇总表'!E3,SUMIF('数据-汇总表'!$C19:$C33,D1,'数据-汇总表'!$E19:$E33))</f>
        <v>0</v>
      </c>
      <c r="E3" s="2103"/>
      <c r="F3" s="1036"/>
      <c r="G3" s="1035"/>
      <c r="H3" s="1035"/>
      <c r="I3" s="1035"/>
      <c r="J3" s="1035"/>
      <c r="K3" s="1037"/>
      <c r="L3" s="2925"/>
      <c r="M3" s="2926"/>
      <c r="N3" s="2926"/>
      <c r="O3" s="2926"/>
      <c r="P3" s="708"/>
      <c r="Q3" s="708"/>
      <c r="R3" s="708"/>
      <c r="S3" s="708"/>
      <c r="T3" s="708"/>
      <c r="U3" s="708"/>
      <c r="V3" s="708"/>
      <c r="W3" s="708"/>
      <c r="X3" s="708"/>
      <c r="Y3" s="708"/>
      <c r="Z3" s="708"/>
      <c r="AA3" s="708"/>
      <c r="AB3" s="708"/>
      <c r="AC3" s="709"/>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87" t="s">
        <v>2410</v>
      </c>
      <c r="Q4" s="3788"/>
      <c r="R4" s="3791" t="s">
        <v>2406</v>
      </c>
      <c r="S4" s="3792"/>
      <c r="T4" s="3791" t="s">
        <v>2407</v>
      </c>
      <c r="U4" s="3792"/>
      <c r="V4" s="3793" t="s">
        <v>2408</v>
      </c>
      <c r="W4" s="3793"/>
      <c r="X4" s="2107"/>
      <c r="Y4" s="3791" t="s">
        <v>2410</v>
      </c>
      <c r="Z4" s="3792"/>
      <c r="AA4" s="3795" t="s">
        <v>2406</v>
      </c>
      <c r="AB4" s="3795" t="s">
        <v>2407</v>
      </c>
      <c r="AC4" s="3784" t="s">
        <v>2408</v>
      </c>
    </row>
    <row r="5" spans="1:29" ht="15">
      <c r="A5" s="364"/>
      <c r="B5" s="365"/>
      <c r="C5" s="3779" t="s">
        <v>2301</v>
      </c>
      <c r="D5" s="3771"/>
      <c r="E5" s="3780" t="s">
        <v>2302</v>
      </c>
      <c r="F5" s="3778"/>
      <c r="G5" s="3779" t="s">
        <v>2303</v>
      </c>
      <c r="H5" s="3771"/>
      <c r="I5" s="3779" t="s">
        <v>2304</v>
      </c>
      <c r="J5" s="3771"/>
      <c r="K5" s="567"/>
      <c r="L5" s="2906"/>
      <c r="M5" s="2907"/>
      <c r="N5" s="2907"/>
      <c r="O5" s="2907"/>
      <c r="P5" s="3789"/>
      <c r="Q5" s="3758"/>
      <c r="R5" s="3763"/>
      <c r="S5" s="3764"/>
      <c r="T5" s="3763"/>
      <c r="U5" s="3764"/>
      <c r="V5" s="3767"/>
      <c r="W5" s="3767"/>
      <c r="X5" s="1505"/>
      <c r="Y5" s="3763"/>
      <c r="Z5" s="3764"/>
      <c r="AA5" s="3749"/>
      <c r="AB5" s="3749"/>
      <c r="AC5" s="3785"/>
    </row>
    <row r="6" spans="1:29" ht="15.75" thickBot="1">
      <c r="A6" s="366"/>
      <c r="B6" s="367"/>
      <c r="C6" s="3768" t="s">
        <v>2305</v>
      </c>
      <c r="D6" s="3769"/>
      <c r="E6" s="3775" t="s">
        <v>2305</v>
      </c>
      <c r="F6" s="3776"/>
      <c r="G6" s="3768" t="s">
        <v>2305</v>
      </c>
      <c r="H6" s="3769"/>
      <c r="I6" s="3768" t="s">
        <v>2305</v>
      </c>
      <c r="J6" s="3769"/>
      <c r="K6" s="567" t="s">
        <v>2306</v>
      </c>
      <c r="L6" s="2906"/>
      <c r="M6" s="2907"/>
      <c r="N6" s="2907"/>
      <c r="O6" s="2907"/>
      <c r="P6" s="3790"/>
      <c r="Q6" s="3760"/>
      <c r="R6" s="3763"/>
      <c r="S6" s="3764"/>
      <c r="T6" s="3765"/>
      <c r="U6" s="3766"/>
      <c r="V6" s="3767"/>
      <c r="W6" s="3767"/>
      <c r="X6" s="1505"/>
      <c r="Y6" s="3765"/>
      <c r="Z6" s="3766"/>
      <c r="AA6" s="3750"/>
      <c r="AB6" s="3750"/>
      <c r="AC6" s="3786"/>
    </row>
    <row r="7" spans="1:29" s="113" customFormat="1" ht="15.75" thickBot="1">
      <c r="A7" s="368" t="s">
        <v>2307</v>
      </c>
      <c r="B7" s="369"/>
      <c r="C7" s="370">
        <f>'数据-取费表'!B2</f>
        <v>44652</v>
      </c>
      <c r="D7" s="371">
        <v>100</v>
      </c>
      <c r="E7" s="372">
        <v>44531</v>
      </c>
      <c r="F7" s="373">
        <f>SUMIF(59:59,YEAR(E7)&amp;"-"&amp;MONTH(E7),60:60)</f>
        <v>99.5</v>
      </c>
      <c r="G7" s="372">
        <v>44531</v>
      </c>
      <c r="H7" s="371">
        <f>SUMIF(59:59,YEAR(G7)&amp;"-"&amp;MONTH(G7),60:60)</f>
        <v>99.5</v>
      </c>
      <c r="I7" s="372">
        <v>44531</v>
      </c>
      <c r="J7" s="371">
        <f>SUMIF(59:59,YEAR(I7)&amp;"-"&amp;MONTH(I7),60:60)</f>
        <v>99.5</v>
      </c>
      <c r="K7" s="568"/>
      <c r="L7" s="2908"/>
      <c r="M7" s="2909"/>
      <c r="N7" s="2909"/>
      <c r="O7" s="2909"/>
      <c r="P7" s="3794" t="s">
        <v>2308</v>
      </c>
      <c r="Q7" s="3774"/>
      <c r="R7" s="710" t="s">
        <v>17</v>
      </c>
      <c r="S7" s="711">
        <f t="shared" ref="S7:S15" si="0">F7</f>
        <v>99.5</v>
      </c>
      <c r="T7" s="710" t="s">
        <v>17</v>
      </c>
      <c r="U7" s="711">
        <f t="shared" ref="U7:U15" si="1">H7</f>
        <v>99.5</v>
      </c>
      <c r="V7" s="710" t="s">
        <v>17</v>
      </c>
      <c r="W7" s="711">
        <f t="shared" ref="W7:W15" si="2">J7</f>
        <v>99.5</v>
      </c>
      <c r="X7" s="712"/>
      <c r="Y7" s="3772" t="s">
        <v>2308</v>
      </c>
      <c r="Z7" s="3773"/>
      <c r="AA7" s="713">
        <f>D7/F7</f>
        <v>1.0050251256281406</v>
      </c>
      <c r="AB7" s="713">
        <f>D7/H7</f>
        <v>1.0050251256281406</v>
      </c>
      <c r="AC7" s="2108">
        <f>D7/J7</f>
        <v>1.0050251256281406</v>
      </c>
    </row>
    <row r="8" spans="1:29" s="113" customFormat="1" ht="15.75" thickBot="1">
      <c r="A8" s="368" t="s">
        <v>2309</v>
      </c>
      <c r="B8" s="369"/>
      <c r="C8" s="374" t="s">
        <v>2411</v>
      </c>
      <c r="D8" s="371">
        <v>100</v>
      </c>
      <c r="E8" s="374" t="s">
        <v>2346</v>
      </c>
      <c r="F8" s="373">
        <f>SUMIF(62:62,E8,63:63)-SUMIF(62:62,C8,63:63)+100</f>
        <v>100</v>
      </c>
      <c r="G8" s="374" t="s">
        <v>2346</v>
      </c>
      <c r="H8" s="371">
        <f>SUMIF(62:62,G8,63:63)-SUMIF(62:62,C8,63:63)+100</f>
        <v>100</v>
      </c>
      <c r="I8" s="374" t="s">
        <v>2346</v>
      </c>
      <c r="J8" s="371">
        <f>SUMIF(62:62,I8,63:63)-SUMIF(62:62,C8,63:63)+100</f>
        <v>100</v>
      </c>
      <c r="K8" s="568"/>
      <c r="L8" s="2908"/>
      <c r="M8" s="2909"/>
      <c r="N8" s="2909"/>
      <c r="O8" s="2909"/>
      <c r="P8" s="3794" t="s">
        <v>2311</v>
      </c>
      <c r="Q8" s="3773"/>
      <c r="R8" s="710" t="s">
        <v>17</v>
      </c>
      <c r="S8" s="711">
        <f t="shared" si="0"/>
        <v>100</v>
      </c>
      <c r="T8" s="710" t="s">
        <v>17</v>
      </c>
      <c r="U8" s="711">
        <f t="shared" si="1"/>
        <v>100</v>
      </c>
      <c r="V8" s="710" t="s">
        <v>17</v>
      </c>
      <c r="W8" s="711">
        <f t="shared" si="2"/>
        <v>100</v>
      </c>
      <c r="X8" s="712"/>
      <c r="Y8" s="3772" t="s">
        <v>2311</v>
      </c>
      <c r="Z8" s="3773"/>
      <c r="AA8" s="713">
        <f t="shared" ref="AA8:AA47" si="3">D8/F8</f>
        <v>1</v>
      </c>
      <c r="AB8" s="713">
        <f t="shared" ref="AB8:AB47" si="4">D8/H8</f>
        <v>1</v>
      </c>
      <c r="AC8" s="2108">
        <f t="shared" ref="AC8:AC47" si="5">D8/J8</f>
        <v>1</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08"/>
      <c r="M9" s="2909"/>
      <c r="N9" s="2909"/>
      <c r="O9" s="2909"/>
      <c r="P9" s="3747" t="s">
        <v>2314</v>
      </c>
      <c r="Q9" s="1493" t="str">
        <f t="shared" ref="Q9:Q15" si="6">B9</f>
        <v>用途</v>
      </c>
      <c r="R9" s="710" t="s">
        <v>17</v>
      </c>
      <c r="S9" s="711">
        <f t="shared" si="0"/>
        <v>100</v>
      </c>
      <c r="T9" s="710" t="s">
        <v>17</v>
      </c>
      <c r="U9" s="711">
        <f t="shared" si="1"/>
        <v>100</v>
      </c>
      <c r="V9" s="710" t="s">
        <v>17</v>
      </c>
      <c r="W9" s="711">
        <f t="shared" si="2"/>
        <v>100</v>
      </c>
      <c r="X9" s="712"/>
      <c r="Y9" s="3608" t="s">
        <v>2315</v>
      </c>
      <c r="Z9" s="55" t="str">
        <f t="shared" ref="Z9:Z15" si="7">Q9</f>
        <v>用途</v>
      </c>
      <c r="AA9" s="713">
        <f t="shared" si="3"/>
        <v>1</v>
      </c>
      <c r="AB9" s="713">
        <f t="shared" si="4"/>
        <v>1</v>
      </c>
      <c r="AC9" s="2108">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0"/>
      <c r="M10" s="2911"/>
      <c r="N10" s="2911"/>
      <c r="O10" s="2911"/>
      <c r="P10" s="3747"/>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2108">
        <f t="shared" si="5"/>
        <v>1</v>
      </c>
    </row>
    <row r="11" spans="1:29" ht="15">
      <c r="A11" s="387"/>
      <c r="B11" s="381" t="s">
        <v>2317</v>
      </c>
      <c r="C11" s="388"/>
      <c r="D11" s="132">
        <v>100</v>
      </c>
      <c r="E11" s="388"/>
      <c r="F11" s="132">
        <f>LOOKUP(E11,69:69,70:70)-LOOKUP(C11,69:69,70:70)+100</f>
        <v>100</v>
      </c>
      <c r="G11" s="389"/>
      <c r="H11" s="132">
        <f>LOOKUP(G11,69:69,70:70)-LOOKUP(C11,69:69,70:70)+100</f>
        <v>100</v>
      </c>
      <c r="I11" s="388"/>
      <c r="J11" s="132">
        <f>LOOKUP(I11,69:69,70:70)-LOOKUP(C11,69:69,70:70)+100</f>
        <v>100</v>
      </c>
      <c r="K11" s="569"/>
      <c r="L11" s="2912"/>
      <c r="M11" s="2907"/>
      <c r="N11" s="2907"/>
      <c r="O11" s="2907"/>
      <c r="P11" s="3747"/>
      <c r="Q11" s="1493" t="str">
        <f t="shared" si="6"/>
        <v>容积率</v>
      </c>
      <c r="R11" s="710" t="s">
        <v>17</v>
      </c>
      <c r="S11" s="711">
        <f t="shared" si="0"/>
        <v>100</v>
      </c>
      <c r="T11" s="710" t="s">
        <v>17</v>
      </c>
      <c r="U11" s="711">
        <f t="shared" si="1"/>
        <v>100</v>
      </c>
      <c r="V11" s="710" t="s">
        <v>17</v>
      </c>
      <c r="W11" s="711">
        <f t="shared" si="2"/>
        <v>100</v>
      </c>
      <c r="X11" s="712"/>
      <c r="Y11" s="3608"/>
      <c r="Z11" s="55" t="str">
        <f t="shared" si="7"/>
        <v>容积率</v>
      </c>
      <c r="AA11" s="713">
        <f t="shared" si="3"/>
        <v>1</v>
      </c>
      <c r="AB11" s="713">
        <f t="shared" si="4"/>
        <v>1</v>
      </c>
      <c r="AC11" s="2108">
        <f t="shared" si="5"/>
        <v>1</v>
      </c>
    </row>
    <row r="12" spans="1:29" s="113" customFormat="1" ht="15">
      <c r="A12" s="390"/>
      <c r="B12" s="2044">
        <v>111</v>
      </c>
      <c r="C12" s="391"/>
      <c r="D12" s="392">
        <v>100</v>
      </c>
      <c r="E12" s="391"/>
      <c r="F12" s="132">
        <f>SUMIF(71:71,E12,72:72)-SUMIF(71:71,C12,72:72)+100</f>
        <v>100</v>
      </c>
      <c r="G12" s="2109"/>
      <c r="H12" s="132">
        <f>SUMIF(71:71,G12,72:72)-SUMIF(71:71,C12,72:72)+100</f>
        <v>100</v>
      </c>
      <c r="I12" s="391"/>
      <c r="J12" s="132">
        <f>SUMIF(71:71,I12,72:72)-SUMIF(71:71,C12,72:72)+100</f>
        <v>100</v>
      </c>
      <c r="K12" s="570"/>
      <c r="L12" s="2908"/>
      <c r="M12" s="2909"/>
      <c r="N12" s="2909"/>
      <c r="O12" s="2909"/>
      <c r="P12" s="3747"/>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2108">
        <f>D12/J12</f>
        <v>1</v>
      </c>
    </row>
    <row r="13" spans="1:29" ht="15">
      <c r="A13" s="387"/>
      <c r="B13" s="2044">
        <v>111</v>
      </c>
      <c r="C13" s="393"/>
      <c r="D13" s="394">
        <v>100</v>
      </c>
      <c r="E13" s="391"/>
      <c r="F13" s="132">
        <f>SUMIF(73:73,E13,74:74)-SUMIF(73:73,C13,74:74)+100</f>
        <v>100</v>
      </c>
      <c r="G13" s="2109"/>
      <c r="H13" s="394">
        <f>SUMIF(73:73,G13,74:74)-SUMIF(73:73,C13,74:74)+100</f>
        <v>100</v>
      </c>
      <c r="I13" s="391"/>
      <c r="J13" s="394">
        <f>SUMIF(73:73,I13,74:74)-SUMIF(73:73,C13,74:74)+100</f>
        <v>100</v>
      </c>
      <c r="K13" s="570"/>
      <c r="L13" s="2913"/>
      <c r="M13" s="2907"/>
      <c r="N13" s="2907"/>
      <c r="O13" s="2907"/>
      <c r="P13" s="3747"/>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2108">
        <f t="shared" si="5"/>
        <v>1</v>
      </c>
    </row>
    <row r="14" spans="1:29" ht="15.75" thickBot="1">
      <c r="A14" s="395"/>
      <c r="B14" s="2046">
        <v>111</v>
      </c>
      <c r="C14" s="396"/>
      <c r="D14" s="397">
        <v>100</v>
      </c>
      <c r="E14" s="584"/>
      <c r="F14" s="397">
        <f>SUMIF(75:75,E14,76:76)-SUMIF(75:75,C14,76:76)+100</f>
        <v>100</v>
      </c>
      <c r="G14" s="2109"/>
      <c r="H14" s="397">
        <f>SUMIF(75:75,G14,76:76)-SUMIF(75:75,C14,76:76)+100</f>
        <v>100</v>
      </c>
      <c r="I14" s="391"/>
      <c r="J14" s="397">
        <f>SUMIF(75:75,I14,76:76)-SUMIF(75:75,C14,76:76)+100</f>
        <v>100</v>
      </c>
      <c r="K14" s="570"/>
      <c r="L14" s="2913"/>
      <c r="M14" s="2907"/>
      <c r="N14" s="2907"/>
      <c r="O14" s="2907"/>
      <c r="P14" s="3747"/>
      <c r="Q14" s="1493">
        <f t="shared" si="6"/>
        <v>111</v>
      </c>
      <c r="R14" s="710" t="s">
        <v>17</v>
      </c>
      <c r="S14" s="711">
        <f t="shared" si="0"/>
        <v>100</v>
      </c>
      <c r="T14" s="710" t="s">
        <v>17</v>
      </c>
      <c r="U14" s="711">
        <f t="shared" si="1"/>
        <v>100</v>
      </c>
      <c r="V14" s="710" t="s">
        <v>17</v>
      </c>
      <c r="W14" s="711">
        <f t="shared" si="2"/>
        <v>100</v>
      </c>
      <c r="X14" s="712"/>
      <c r="Y14" s="3608"/>
      <c r="Z14" s="55">
        <f t="shared" si="7"/>
        <v>111</v>
      </c>
      <c r="AA14" s="713">
        <f t="shared" si="3"/>
        <v>1</v>
      </c>
      <c r="AB14" s="713">
        <f t="shared" si="4"/>
        <v>1</v>
      </c>
      <c r="AC14" s="2108">
        <f t="shared" si="5"/>
        <v>1</v>
      </c>
    </row>
    <row r="15" spans="1:29" ht="71.25">
      <c r="A15" s="399" t="s">
        <v>2318</v>
      </c>
      <c r="B15" s="585" t="s">
        <v>2446</v>
      </c>
      <c r="C15" s="2110"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13"/>
      <c r="M15" s="2907"/>
      <c r="N15" s="2907"/>
      <c r="O15" s="2907"/>
      <c r="P15" s="3745" t="s">
        <v>2319</v>
      </c>
      <c r="Q15" s="1502" t="str">
        <f t="shared" si="6"/>
        <v>办公集聚程度</v>
      </c>
      <c r="R15" s="714" t="s">
        <v>17</v>
      </c>
      <c r="S15" s="715">
        <f t="shared" si="0"/>
        <v>100</v>
      </c>
      <c r="T15" s="714" t="s">
        <v>17</v>
      </c>
      <c r="U15" s="715">
        <f t="shared" si="1"/>
        <v>100</v>
      </c>
      <c r="V15" s="714" t="s">
        <v>17</v>
      </c>
      <c r="W15" s="715">
        <f t="shared" si="2"/>
        <v>100</v>
      </c>
      <c r="X15" s="1505"/>
      <c r="Y15" s="3738" t="s">
        <v>2319</v>
      </c>
      <c r="Z15" s="1506" t="str">
        <f t="shared" si="7"/>
        <v>办公集聚程度</v>
      </c>
      <c r="AA15" s="1503">
        <f t="shared" si="3"/>
        <v>1</v>
      </c>
      <c r="AB15" s="1503">
        <f t="shared" si="4"/>
        <v>1</v>
      </c>
      <c r="AC15" s="2111">
        <f t="shared" si="5"/>
        <v>1</v>
      </c>
    </row>
    <row r="16" spans="1:29" ht="15">
      <c r="A16" s="387"/>
      <c r="B16" s="586"/>
      <c r="C16" s="2055" t="s">
        <v>3272</v>
      </c>
      <c r="D16" s="407"/>
      <c r="E16" s="2055" t="s">
        <v>3272</v>
      </c>
      <c r="F16" s="407"/>
      <c r="G16" s="2055" t="s">
        <v>3272</v>
      </c>
      <c r="H16" s="409"/>
      <c r="I16" s="2055" t="s">
        <v>3272</v>
      </c>
      <c r="J16" s="407"/>
      <c r="K16" s="572"/>
      <c r="L16" s="2913"/>
      <c r="M16" s="2907"/>
      <c r="N16" s="2907"/>
      <c r="O16" s="2907"/>
      <c r="P16" s="3746"/>
      <c r="Q16" s="1502"/>
      <c r="R16" s="714"/>
      <c r="S16" s="715"/>
      <c r="T16" s="714"/>
      <c r="U16" s="715"/>
      <c r="V16" s="714"/>
      <c r="W16" s="715"/>
      <c r="X16" s="1505"/>
      <c r="Y16" s="3739"/>
      <c r="Z16" s="1506"/>
      <c r="AA16" s="1503">
        <v>1</v>
      </c>
      <c r="AB16" s="1503">
        <v>1</v>
      </c>
      <c r="AC16" s="2111">
        <v>1</v>
      </c>
    </row>
    <row r="17" spans="1:29" ht="185.25">
      <c r="A17" s="387"/>
      <c r="B17" s="587" t="s">
        <v>1884</v>
      </c>
      <c r="C17" s="2112"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SUMIF(79:79,E18,80:80)-SUMIF(79:79,C18,80:80)+100</f>
        <v>102</v>
      </c>
      <c r="G17" s="411"/>
      <c r="H17" s="414">
        <f>SUMIF(79:79,G18,80:80)-SUMIF(79:79,C18,80:80)+100</f>
        <v>102</v>
      </c>
      <c r="I17" s="411"/>
      <c r="J17" s="414">
        <f>SUMIF(79:79,I18,80:80)-SUMIF(79:79,C18,80:80)+100</f>
        <v>102</v>
      </c>
      <c r="K17" s="571">
        <v>2</v>
      </c>
      <c r="L17" s="2913"/>
      <c r="M17" s="2907"/>
      <c r="N17" s="2907"/>
      <c r="O17" s="2907"/>
      <c r="P17" s="3746"/>
      <c r="Q17" s="1502" t="str">
        <f>B17</f>
        <v>交通便捷度</v>
      </c>
      <c r="R17" s="714" t="s">
        <v>17</v>
      </c>
      <c r="S17" s="715">
        <f>F17</f>
        <v>102</v>
      </c>
      <c r="T17" s="714" t="s">
        <v>17</v>
      </c>
      <c r="U17" s="715">
        <f>H17</f>
        <v>102</v>
      </c>
      <c r="V17" s="714" t="s">
        <v>17</v>
      </c>
      <c r="W17" s="715">
        <f>J17</f>
        <v>102</v>
      </c>
      <c r="X17" s="1505"/>
      <c r="Y17" s="3739"/>
      <c r="Z17" s="1506" t="str">
        <f>Q17</f>
        <v>交通便捷度</v>
      </c>
      <c r="AA17" s="1503">
        <f t="shared" si="3"/>
        <v>0.98039215686274506</v>
      </c>
      <c r="AB17" s="1503">
        <f t="shared" si="4"/>
        <v>0.98039215686274506</v>
      </c>
      <c r="AC17" s="2111">
        <f t="shared" si="5"/>
        <v>0.98039215686274506</v>
      </c>
    </row>
    <row r="18" spans="1:29" ht="15">
      <c r="A18" s="387"/>
      <c r="B18" s="588"/>
      <c r="C18" s="2113" t="s">
        <v>3273</v>
      </c>
      <c r="D18" s="409"/>
      <c r="E18" s="2053" t="s">
        <v>3272</v>
      </c>
      <c r="F18" s="409"/>
      <c r="G18" s="2053" t="s">
        <v>3272</v>
      </c>
      <c r="H18" s="407"/>
      <c r="I18" s="2053" t="s">
        <v>3272</v>
      </c>
      <c r="J18" s="407"/>
      <c r="K18" s="572"/>
      <c r="L18" s="2913"/>
      <c r="M18" s="2907"/>
      <c r="N18" s="2907"/>
      <c r="O18" s="2907"/>
      <c r="P18" s="3746"/>
      <c r="Q18" s="1502"/>
      <c r="R18" s="714"/>
      <c r="S18" s="715"/>
      <c r="T18" s="714"/>
      <c r="U18" s="715"/>
      <c r="V18" s="714"/>
      <c r="W18" s="715"/>
      <c r="X18" s="1505"/>
      <c r="Y18" s="3739"/>
      <c r="Z18" s="1506"/>
      <c r="AA18" s="1503">
        <v>1</v>
      </c>
      <c r="AB18" s="1503">
        <v>1</v>
      </c>
      <c r="AC18" s="2111">
        <v>1</v>
      </c>
    </row>
    <row r="19" spans="1:29" ht="313.5">
      <c r="A19" s="387"/>
      <c r="B19" s="587" t="s">
        <v>2447</v>
      </c>
      <c r="C19" s="2112"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SUMIF(81:81,E20,82:82)-SUMIF(81:81,C20,82:82)+100</f>
        <v>100</v>
      </c>
      <c r="G19" s="416"/>
      <c r="H19" s="409">
        <f>SUMIF(81:81,G20,82:82)-SUMIF(81:81,C20,82:82)+100</f>
        <v>100</v>
      </c>
      <c r="I19" s="416"/>
      <c r="J19" s="409">
        <f>SUMIF(81:81,I20,82:82)-SUMIF(81:81,C20,82:82)+100</f>
        <v>100</v>
      </c>
      <c r="K19" s="571">
        <v>2</v>
      </c>
      <c r="L19" s="2913"/>
      <c r="M19" s="2907"/>
      <c r="N19" s="2907"/>
      <c r="O19" s="2907"/>
      <c r="P19" s="3746"/>
      <c r="Q19" s="1502" t="str">
        <f>B19</f>
        <v>公共配套设施</v>
      </c>
      <c r="R19" s="714" t="s">
        <v>17</v>
      </c>
      <c r="S19" s="715">
        <f>F19</f>
        <v>100</v>
      </c>
      <c r="T19" s="714" t="s">
        <v>17</v>
      </c>
      <c r="U19" s="715">
        <f>H19</f>
        <v>100</v>
      </c>
      <c r="V19" s="714" t="s">
        <v>17</v>
      </c>
      <c r="W19" s="715">
        <f>J19</f>
        <v>100</v>
      </c>
      <c r="X19" s="1505"/>
      <c r="Y19" s="3739"/>
      <c r="Z19" s="1506" t="str">
        <f>Q19</f>
        <v>公共配套设施</v>
      </c>
      <c r="AA19" s="1503">
        <f t="shared" si="3"/>
        <v>1</v>
      </c>
      <c r="AB19" s="1503">
        <f t="shared" si="4"/>
        <v>1</v>
      </c>
      <c r="AC19" s="2111">
        <f t="shared" si="5"/>
        <v>1</v>
      </c>
    </row>
    <row r="20" spans="1:29" ht="15">
      <c r="A20" s="387"/>
      <c r="B20" s="588"/>
      <c r="C20" s="2055" t="s">
        <v>3272</v>
      </c>
      <c r="D20" s="407"/>
      <c r="E20" s="2048" t="s">
        <v>3272</v>
      </c>
      <c r="F20" s="407"/>
      <c r="G20" s="2049" t="s">
        <v>3272</v>
      </c>
      <c r="H20" s="407"/>
      <c r="I20" s="2049" t="s">
        <v>3272</v>
      </c>
      <c r="J20" s="407"/>
      <c r="K20" s="572"/>
      <c r="L20" s="2913"/>
      <c r="M20" s="2907"/>
      <c r="N20" s="2907"/>
      <c r="O20" s="2907"/>
      <c r="P20" s="3746"/>
      <c r="Q20" s="1502"/>
      <c r="R20" s="714"/>
      <c r="S20" s="715"/>
      <c r="T20" s="714"/>
      <c r="U20" s="715"/>
      <c r="V20" s="714"/>
      <c r="W20" s="715"/>
      <c r="X20" s="1505"/>
      <c r="Y20" s="3739"/>
      <c r="Z20" s="1506"/>
      <c r="AA20" s="1503">
        <v>1</v>
      </c>
      <c r="AB20" s="1503">
        <v>1</v>
      </c>
      <c r="AC20" s="2111">
        <v>1</v>
      </c>
    </row>
    <row r="21" spans="1:29" ht="28.5">
      <c r="A21" s="387"/>
      <c r="B21" s="589" t="s">
        <v>2448</v>
      </c>
      <c r="C21" s="2112"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13"/>
      <c r="M21" s="2907"/>
      <c r="N21" s="2907"/>
      <c r="O21" s="2907"/>
      <c r="P21" s="3746"/>
      <c r="Q21" s="1502" t="str">
        <f>B21</f>
        <v>基础设施水平</v>
      </c>
      <c r="R21" s="714" t="s">
        <v>17</v>
      </c>
      <c r="S21" s="715">
        <f>F21</f>
        <v>100</v>
      </c>
      <c r="T21" s="714" t="s">
        <v>17</v>
      </c>
      <c r="U21" s="715">
        <f>H21</f>
        <v>100</v>
      </c>
      <c r="V21" s="714" t="s">
        <v>17</v>
      </c>
      <c r="W21" s="715">
        <f>J21</f>
        <v>100</v>
      </c>
      <c r="X21" s="1505"/>
      <c r="Y21" s="3739"/>
      <c r="Z21" s="1506" t="str">
        <f>Q21</f>
        <v>基础设施水平</v>
      </c>
      <c r="AA21" s="1503">
        <f t="shared" ref="AA21" si="8">D21/F21</f>
        <v>1</v>
      </c>
      <c r="AB21" s="1503">
        <f t="shared" ref="AB21" si="9">D21/H21</f>
        <v>1</v>
      </c>
      <c r="AC21" s="2111">
        <f t="shared" ref="AC21" si="10">D21/J21</f>
        <v>1</v>
      </c>
    </row>
    <row r="22" spans="1:29" ht="15">
      <c r="A22" s="387"/>
      <c r="B22" s="589"/>
      <c r="C22" s="2113" t="s">
        <v>3274</v>
      </c>
      <c r="D22" s="407"/>
      <c r="E22" s="2113" t="s">
        <v>3274</v>
      </c>
      <c r="F22" s="407"/>
      <c r="G22" s="2113" t="s">
        <v>3274</v>
      </c>
      <c r="H22" s="407"/>
      <c r="I22" s="2113" t="s">
        <v>3274</v>
      </c>
      <c r="J22" s="407"/>
      <c r="K22" s="1260"/>
      <c r="L22" s="2913"/>
      <c r="M22" s="2907"/>
      <c r="N22" s="2907"/>
      <c r="O22" s="2907"/>
      <c r="P22" s="3746"/>
      <c r="Q22" s="1502"/>
      <c r="R22" s="714"/>
      <c r="S22" s="715"/>
      <c r="T22" s="714"/>
      <c r="U22" s="715"/>
      <c r="V22" s="714"/>
      <c r="W22" s="715"/>
      <c r="X22" s="1505"/>
      <c r="Y22" s="3739"/>
      <c r="Z22" s="1506"/>
      <c r="AA22" s="1503">
        <v>1</v>
      </c>
      <c r="AB22" s="1503">
        <v>1</v>
      </c>
      <c r="AC22" s="2111">
        <v>1</v>
      </c>
    </row>
    <row r="23" spans="1:29" ht="114">
      <c r="A23" s="387"/>
      <c r="B23" s="587" t="s">
        <v>2449</v>
      </c>
      <c r="C23" s="2112" t="str">
        <f>估价对象房地状况!C9</f>
        <v>自然环境有西湖园、社区文化公园等自然景观；人文环境无；距离北京首都国际机场1.5公里，机场噪音大，综合评价环境状况较差。</v>
      </c>
      <c r="D23" s="409">
        <v>100</v>
      </c>
      <c r="E23" s="413"/>
      <c r="F23" s="409">
        <f>SUMIF(85:85,E24,86:86)-SUMIF(85:85,C24,86:86)+100</f>
        <v>100</v>
      </c>
      <c r="G23" s="411"/>
      <c r="H23" s="409">
        <f>SUMIF(85:85,G24,86:86)-SUMIF(85:85,C24,86:86)+100</f>
        <v>100</v>
      </c>
      <c r="I23" s="411"/>
      <c r="J23" s="409">
        <f>SUMIF(85:85,I24,86:86)-SUMIF(85:85,C24,86:86)+100</f>
        <v>100</v>
      </c>
      <c r="K23" s="571">
        <v>2</v>
      </c>
      <c r="L23" s="2913"/>
      <c r="M23" s="2907"/>
      <c r="N23" s="2907"/>
      <c r="O23" s="2907"/>
      <c r="P23" s="3746"/>
      <c r="Q23" s="1502" t="str">
        <f>B23</f>
        <v>环境质量</v>
      </c>
      <c r="R23" s="714" t="s">
        <v>17</v>
      </c>
      <c r="S23" s="715">
        <f>F23</f>
        <v>100</v>
      </c>
      <c r="T23" s="714" t="s">
        <v>17</v>
      </c>
      <c r="U23" s="715">
        <f>H23</f>
        <v>100</v>
      </c>
      <c r="V23" s="714" t="s">
        <v>17</v>
      </c>
      <c r="W23" s="715">
        <f>J23</f>
        <v>100</v>
      </c>
      <c r="X23" s="1505"/>
      <c r="Y23" s="3739"/>
      <c r="Z23" s="1506" t="str">
        <f>Q23</f>
        <v>环境质量</v>
      </c>
      <c r="AA23" s="1503">
        <f t="shared" si="3"/>
        <v>1</v>
      </c>
      <c r="AB23" s="1503">
        <f t="shared" si="4"/>
        <v>1</v>
      </c>
      <c r="AC23" s="2111">
        <f t="shared" si="5"/>
        <v>1</v>
      </c>
    </row>
    <row r="24" spans="1:29" ht="15">
      <c r="A24" s="387"/>
      <c r="B24" s="589"/>
      <c r="C24" s="2055" t="s">
        <v>3272</v>
      </c>
      <c r="D24" s="407"/>
      <c r="E24" s="2055" t="s">
        <v>3272</v>
      </c>
      <c r="F24" s="407"/>
      <c r="G24" s="2055" t="s">
        <v>3272</v>
      </c>
      <c r="H24" s="407"/>
      <c r="I24" s="2055" t="s">
        <v>3272</v>
      </c>
      <c r="J24" s="407"/>
      <c r="K24" s="572"/>
      <c r="L24" s="2913"/>
      <c r="M24" s="2907"/>
      <c r="N24" s="2907"/>
      <c r="O24" s="2907"/>
      <c r="P24" s="3746"/>
      <c r="Q24" s="1502"/>
      <c r="R24" s="714"/>
      <c r="S24" s="715"/>
      <c r="T24" s="714"/>
      <c r="U24" s="715"/>
      <c r="V24" s="714"/>
      <c r="W24" s="715"/>
      <c r="X24" s="1505"/>
      <c r="Y24" s="3739"/>
      <c r="Z24" s="1506"/>
      <c r="AA24" s="1503">
        <v>1</v>
      </c>
      <c r="AB24" s="1503">
        <v>1</v>
      </c>
      <c r="AC24" s="2111">
        <v>1</v>
      </c>
    </row>
    <row r="25" spans="1:29" ht="27">
      <c r="A25" s="364"/>
      <c r="B25" s="587" t="s">
        <v>2450</v>
      </c>
      <c r="C25" s="2059"/>
      <c r="D25" s="394">
        <v>100</v>
      </c>
      <c r="E25" s="393"/>
      <c r="F25" s="394">
        <f>SUMIF(87:87,E26,88:88)-SUMIF(87:87,C26,88:88)+100</f>
        <v>100</v>
      </c>
      <c r="G25" s="2059"/>
      <c r="H25" s="394">
        <f>SUMIF(87:87,G26,88:88)-SUMIF(87:87,C26,88:88)+100</f>
        <v>100</v>
      </c>
      <c r="I25" s="393"/>
      <c r="J25" s="394">
        <f>SUMIF(87:87,I26,88:88)-SUMIF(87:87,C26,88:88)+100</f>
        <v>100</v>
      </c>
      <c r="K25" s="571"/>
      <c r="L25" s="2913"/>
      <c r="M25" s="2907"/>
      <c r="N25" s="2907"/>
      <c r="O25" s="2907"/>
      <c r="P25" s="3746"/>
      <c r="Q25" s="1502" t="str">
        <f>B25</f>
        <v>毗邻道路的类型与等级</v>
      </c>
      <c r="R25" s="714" t="s">
        <v>17</v>
      </c>
      <c r="S25" s="715">
        <f>F25</f>
        <v>100</v>
      </c>
      <c r="T25" s="714" t="s">
        <v>17</v>
      </c>
      <c r="U25" s="715">
        <f>H25</f>
        <v>100</v>
      </c>
      <c r="V25" s="714" t="s">
        <v>17</v>
      </c>
      <c r="W25" s="715">
        <f>J25</f>
        <v>100</v>
      </c>
      <c r="X25" s="1505"/>
      <c r="Y25" s="3739"/>
      <c r="Z25" s="1506" t="str">
        <f>Q25</f>
        <v>毗邻道路的类型与等级</v>
      </c>
      <c r="AA25" s="1503">
        <f t="shared" si="3"/>
        <v>1</v>
      </c>
      <c r="AB25" s="1503">
        <f t="shared" si="4"/>
        <v>1</v>
      </c>
      <c r="AC25" s="2111">
        <f t="shared" si="5"/>
        <v>1</v>
      </c>
    </row>
    <row r="26" spans="1:29" ht="15">
      <c r="A26" s="364"/>
      <c r="B26" s="588"/>
      <c r="C26" s="590"/>
      <c r="D26" s="394"/>
      <c r="E26" s="573"/>
      <c r="F26" s="394"/>
      <c r="G26" s="590"/>
      <c r="H26" s="394"/>
      <c r="I26" s="573"/>
      <c r="J26" s="394"/>
      <c r="K26" s="572"/>
      <c r="L26" s="2913"/>
      <c r="M26" s="2907"/>
      <c r="N26" s="2907"/>
      <c r="O26" s="2907"/>
      <c r="P26" s="3746"/>
      <c r="Q26" s="1502"/>
      <c r="R26" s="714"/>
      <c r="S26" s="715"/>
      <c r="T26" s="714"/>
      <c r="U26" s="715"/>
      <c r="V26" s="714"/>
      <c r="W26" s="715"/>
      <c r="X26" s="1505"/>
      <c r="Y26" s="3739"/>
      <c r="Z26" s="1506"/>
      <c r="AA26" s="1503">
        <v>1</v>
      </c>
      <c r="AB26" s="1503">
        <v>1</v>
      </c>
      <c r="AC26" s="2111">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3"/>
      <c r="M27" s="2907"/>
      <c r="N27" s="2907"/>
      <c r="O27" s="2907"/>
      <c r="P27" s="3746"/>
      <c r="Q27" s="1502" t="str">
        <f t="shared" ref="Q27:Q47" si="11">B27</f>
        <v>楼层</v>
      </c>
      <c r="R27" s="714" t="s">
        <v>17</v>
      </c>
      <c r="S27" s="715">
        <f>F27</f>
        <v>100</v>
      </c>
      <c r="T27" s="714" t="s">
        <v>17</v>
      </c>
      <c r="U27" s="715">
        <f>H27</f>
        <v>100</v>
      </c>
      <c r="V27" s="714" t="s">
        <v>17</v>
      </c>
      <c r="W27" s="715">
        <f>J27</f>
        <v>100</v>
      </c>
      <c r="X27" s="1505"/>
      <c r="Y27" s="3739"/>
      <c r="Z27" s="1506" t="str">
        <f>Q27</f>
        <v>楼层</v>
      </c>
      <c r="AA27" s="1503">
        <f t="shared" si="3"/>
        <v>1</v>
      </c>
      <c r="AB27" s="1503">
        <f t="shared" si="4"/>
        <v>1</v>
      </c>
      <c r="AC27" s="2111">
        <f t="shared" si="5"/>
        <v>1</v>
      </c>
    </row>
    <row r="28" spans="1:29" s="113" customFormat="1" ht="15">
      <c r="A28" s="390"/>
      <c r="B28" s="587" t="s">
        <v>2451</v>
      </c>
      <c r="C28" s="2114"/>
      <c r="D28" s="421">
        <v>100</v>
      </c>
      <c r="E28" s="2105"/>
      <c r="F28" s="421">
        <f>SUMIF(91:91,E28,92:92)-SUMIF(91:91,C28,92:92)+100</f>
        <v>100</v>
      </c>
      <c r="G28" s="2114"/>
      <c r="H28" s="421">
        <f>SUMIF(91:91,G28,92:92)-SUMIF(91:91,C28,92:92)+100</f>
        <v>100</v>
      </c>
      <c r="I28" s="2105"/>
      <c r="J28" s="421">
        <f>SUMIF(91:91,I28,92:92)-SUMIF(91:91,C28,92:92)+100</f>
        <v>100</v>
      </c>
      <c r="K28" s="569"/>
      <c r="L28" s="2908"/>
      <c r="M28" s="2909"/>
      <c r="N28" s="2909"/>
      <c r="O28" s="2909"/>
      <c r="P28" s="3746"/>
      <c r="Q28" s="1493" t="str">
        <f t="shared" si="11"/>
        <v>朝向</v>
      </c>
      <c r="R28" s="710" t="s">
        <v>17</v>
      </c>
      <c r="S28" s="711">
        <f>F28</f>
        <v>100</v>
      </c>
      <c r="T28" s="710" t="s">
        <v>17</v>
      </c>
      <c r="U28" s="711">
        <f>H28</f>
        <v>100</v>
      </c>
      <c r="V28" s="710" t="s">
        <v>17</v>
      </c>
      <c r="W28" s="711">
        <f>J28</f>
        <v>100</v>
      </c>
      <c r="X28" s="712"/>
      <c r="Y28" s="3739"/>
      <c r="Z28" s="55" t="str">
        <f>Q28</f>
        <v>朝向</v>
      </c>
      <c r="AA28" s="1503">
        <f>D28/F28</f>
        <v>1</v>
      </c>
      <c r="AB28" s="1503">
        <f>D28/H28</f>
        <v>1</v>
      </c>
      <c r="AC28" s="2111">
        <f>D28/J28</f>
        <v>1</v>
      </c>
    </row>
    <row r="29" spans="1:29" ht="15">
      <c r="A29" s="387"/>
      <c r="B29" s="2115">
        <v>111</v>
      </c>
      <c r="C29" s="2059"/>
      <c r="D29" s="394">
        <v>100</v>
      </c>
      <c r="E29" s="391"/>
      <c r="F29" s="394">
        <f>SUMIF(93:93,E29,94:94)-SUMIF(93:93,C29,94:94)+100</f>
        <v>100</v>
      </c>
      <c r="G29" s="2109"/>
      <c r="H29" s="394">
        <f>SUMIF(93:93,G29,94:94)-SUMIF(93:93,C29,94:94)+100</f>
        <v>100</v>
      </c>
      <c r="I29" s="391"/>
      <c r="J29" s="394">
        <f>SUMIF(93:93,I29,94:94)-SUMIF(93:93,C29,94:94)+100</f>
        <v>100</v>
      </c>
      <c r="K29" s="570"/>
      <c r="L29" s="2913"/>
      <c r="M29" s="2907"/>
      <c r="N29" s="2907"/>
      <c r="O29" s="2907"/>
      <c r="P29" s="3746"/>
      <c r="Q29" s="1502">
        <f t="shared" si="11"/>
        <v>111</v>
      </c>
      <c r="R29" s="714" t="s">
        <v>17</v>
      </c>
      <c r="S29" s="715">
        <f t="shared" ref="S29:S47" si="12">F29</f>
        <v>100</v>
      </c>
      <c r="T29" s="714" t="s">
        <v>17</v>
      </c>
      <c r="U29" s="715">
        <f t="shared" ref="U29:U47" si="13">H29</f>
        <v>100</v>
      </c>
      <c r="V29" s="714" t="s">
        <v>17</v>
      </c>
      <c r="W29" s="715">
        <f t="shared" ref="W29:W47" si="14">J29</f>
        <v>100</v>
      </c>
      <c r="X29" s="1505"/>
      <c r="Y29" s="3739"/>
      <c r="Z29" s="1506">
        <f t="shared" ref="Z29:Z47" si="15">Q29</f>
        <v>111</v>
      </c>
      <c r="AA29" s="1503">
        <f t="shared" si="3"/>
        <v>1</v>
      </c>
      <c r="AB29" s="1503">
        <f t="shared" si="4"/>
        <v>1</v>
      </c>
      <c r="AC29" s="2111">
        <f t="shared" si="5"/>
        <v>1</v>
      </c>
    </row>
    <row r="30" spans="1:29" ht="15">
      <c r="A30" s="387"/>
      <c r="B30" s="2115">
        <v>111</v>
      </c>
      <c r="C30" s="2059"/>
      <c r="D30" s="394">
        <v>100</v>
      </c>
      <c r="E30" s="391"/>
      <c r="F30" s="394">
        <f>SUMIF(95:95,E30,96:96)-SUMIF(95:95,C30,96:96)+100</f>
        <v>100</v>
      </c>
      <c r="G30" s="2109"/>
      <c r="H30" s="394">
        <f>SUMIF(95:95,G30,96:96)-SUMIF(95:95,C30,96:96)+100</f>
        <v>100</v>
      </c>
      <c r="I30" s="391"/>
      <c r="J30" s="394">
        <f>SUMIF(95:95,I30,96:96)-SUMIF(95:95,C30,96:96)+100</f>
        <v>100</v>
      </c>
      <c r="K30" s="570"/>
      <c r="L30" s="2913"/>
      <c r="M30" s="2907"/>
      <c r="N30" s="2907"/>
      <c r="O30" s="2907"/>
      <c r="P30" s="3746"/>
      <c r="Q30" s="1502">
        <f t="shared" si="11"/>
        <v>111</v>
      </c>
      <c r="R30" s="714" t="s">
        <v>17</v>
      </c>
      <c r="S30" s="715">
        <f t="shared" si="12"/>
        <v>100</v>
      </c>
      <c r="T30" s="714" t="s">
        <v>17</v>
      </c>
      <c r="U30" s="715">
        <f t="shared" si="13"/>
        <v>100</v>
      </c>
      <c r="V30" s="714" t="s">
        <v>17</v>
      </c>
      <c r="W30" s="715">
        <f t="shared" si="14"/>
        <v>100</v>
      </c>
      <c r="X30" s="1505"/>
      <c r="Y30" s="3739"/>
      <c r="Z30" s="1506">
        <f t="shared" si="15"/>
        <v>111</v>
      </c>
      <c r="AA30" s="1503">
        <f t="shared" si="3"/>
        <v>1</v>
      </c>
      <c r="AB30" s="1503">
        <f t="shared" si="4"/>
        <v>1</v>
      </c>
      <c r="AC30" s="2111">
        <f t="shared" si="5"/>
        <v>1</v>
      </c>
    </row>
    <row r="31" spans="1:29" ht="15">
      <c r="A31" s="387"/>
      <c r="B31" s="2115">
        <v>111</v>
      </c>
      <c r="C31" s="2059"/>
      <c r="D31" s="394">
        <v>100</v>
      </c>
      <c r="E31" s="391"/>
      <c r="F31" s="394">
        <f>SUMIF(97:97,E31,98:98)-SUMIF(97:97,C31,98:98)+100</f>
        <v>100</v>
      </c>
      <c r="G31" s="2109"/>
      <c r="H31" s="394">
        <f>SUMIF(97:97,G31,98:98)-SUMIF(97:97,C31,98:98)+100</f>
        <v>100</v>
      </c>
      <c r="I31" s="391"/>
      <c r="J31" s="394">
        <f>SUMIF(97:97,I31,98:98)-SUMIF(97:97,C31,98:98)+100</f>
        <v>100</v>
      </c>
      <c r="K31" s="570"/>
      <c r="L31" s="2913"/>
      <c r="M31" s="2907"/>
      <c r="N31" s="2907"/>
      <c r="O31" s="2907"/>
      <c r="P31" s="3746"/>
      <c r="Q31" s="1502">
        <f t="shared" si="11"/>
        <v>111</v>
      </c>
      <c r="R31" s="714" t="s">
        <v>17</v>
      </c>
      <c r="S31" s="715">
        <f t="shared" si="12"/>
        <v>100</v>
      </c>
      <c r="T31" s="714" t="s">
        <v>17</v>
      </c>
      <c r="U31" s="715">
        <f t="shared" si="13"/>
        <v>100</v>
      </c>
      <c r="V31" s="714" t="s">
        <v>17</v>
      </c>
      <c r="W31" s="715">
        <f t="shared" si="14"/>
        <v>100</v>
      </c>
      <c r="X31" s="1505"/>
      <c r="Y31" s="3739"/>
      <c r="Z31" s="1506">
        <f t="shared" si="15"/>
        <v>111</v>
      </c>
      <c r="AA31" s="1503">
        <f t="shared" si="3"/>
        <v>1</v>
      </c>
      <c r="AB31" s="1503">
        <f t="shared" si="4"/>
        <v>1</v>
      </c>
      <c r="AC31" s="2111">
        <f t="shared" si="5"/>
        <v>1</v>
      </c>
    </row>
    <row r="32" spans="1:29" ht="15.75" thickBot="1">
      <c r="A32" s="395"/>
      <c r="B32" s="591">
        <v>111</v>
      </c>
      <c r="C32" s="2060"/>
      <c r="D32" s="397">
        <v>100</v>
      </c>
      <c r="E32" s="584"/>
      <c r="F32" s="397">
        <f>SUMIF(99:99,E32,100:100)-SUMIF(99:99,C32,100:100)+100</f>
        <v>100</v>
      </c>
      <c r="G32" s="2109"/>
      <c r="H32" s="397">
        <f>SUMIF(99:99,G32,100:100)-SUMIF(99:99,C32,100:100)+100</f>
        <v>100</v>
      </c>
      <c r="I32" s="391"/>
      <c r="J32" s="397">
        <f>SUMIF(99:99,I32,100:100)-SUMIF(99:99,C32,100:100)+100</f>
        <v>100</v>
      </c>
      <c r="K32" s="570"/>
      <c r="L32" s="2913"/>
      <c r="M32" s="2907"/>
      <c r="N32" s="2907"/>
      <c r="O32" s="2907"/>
      <c r="P32" s="3746"/>
      <c r="Q32" s="1502">
        <f t="shared" si="11"/>
        <v>111</v>
      </c>
      <c r="R32" s="714" t="s">
        <v>17</v>
      </c>
      <c r="S32" s="715">
        <f t="shared" si="12"/>
        <v>100</v>
      </c>
      <c r="T32" s="714" t="s">
        <v>17</v>
      </c>
      <c r="U32" s="715">
        <f t="shared" si="13"/>
        <v>100</v>
      </c>
      <c r="V32" s="714" t="s">
        <v>17</v>
      </c>
      <c r="W32" s="715">
        <f t="shared" si="14"/>
        <v>100</v>
      </c>
      <c r="X32" s="1505"/>
      <c r="Y32" s="3739"/>
      <c r="Z32" s="1506">
        <f t="shared" si="15"/>
        <v>111</v>
      </c>
      <c r="AA32" s="1503">
        <f t="shared" si="3"/>
        <v>1</v>
      </c>
      <c r="AB32" s="1503">
        <f t="shared" si="4"/>
        <v>1</v>
      </c>
      <c r="AC32" s="2111">
        <f t="shared" si="5"/>
        <v>1</v>
      </c>
    </row>
    <row r="33" spans="1:29" ht="15">
      <c r="A33" s="399" t="s">
        <v>2322</v>
      </c>
      <c r="B33" s="67" t="s">
        <v>2452</v>
      </c>
      <c r="C33" s="2116"/>
      <c r="D33" s="426">
        <v>100</v>
      </c>
      <c r="E33" s="2116"/>
      <c r="F33" s="420">
        <f>SUMIF(101:101,E33,102:102)-SUMIF(101:101,C33,102:102)+100</f>
        <v>100</v>
      </c>
      <c r="G33" s="2116"/>
      <c r="H33" s="394">
        <f>SUMIF(101:101,G33,102:102)-SUMIF(101:101,C33,102:102)+100</f>
        <v>100</v>
      </c>
      <c r="I33" s="2116"/>
      <c r="J33" s="426">
        <f>SUMIF(101:101,I33,102:102)-SUMIF(101:101,C33,102:102)+100</f>
        <v>100</v>
      </c>
      <c r="K33" s="569"/>
      <c r="L33" s="2913"/>
      <c r="M33" s="2907"/>
      <c r="N33" s="2907"/>
      <c r="O33" s="2907"/>
      <c r="P33" s="3740" t="s">
        <v>2324</v>
      </c>
      <c r="Q33" s="1502" t="str">
        <f t="shared" si="11"/>
        <v>建筑类型</v>
      </c>
      <c r="R33" s="714" t="s">
        <v>17</v>
      </c>
      <c r="S33" s="715">
        <f t="shared" si="12"/>
        <v>100</v>
      </c>
      <c r="T33" s="714" t="s">
        <v>17</v>
      </c>
      <c r="U33" s="715">
        <f t="shared" si="13"/>
        <v>100</v>
      </c>
      <c r="V33" s="714" t="s">
        <v>17</v>
      </c>
      <c r="W33" s="715">
        <f t="shared" si="14"/>
        <v>100</v>
      </c>
      <c r="X33" s="1505"/>
      <c r="Y33" s="3743" t="s">
        <v>2324</v>
      </c>
      <c r="Z33" s="1506" t="str">
        <f t="shared" si="15"/>
        <v>建筑类型</v>
      </c>
      <c r="AA33" s="1503">
        <f t="shared" si="3"/>
        <v>1</v>
      </c>
      <c r="AB33" s="1503">
        <f t="shared" si="4"/>
        <v>1</v>
      </c>
      <c r="AC33" s="2111">
        <f t="shared" si="5"/>
        <v>1</v>
      </c>
    </row>
    <row r="34" spans="1:29" s="430" customFormat="1" ht="15">
      <c r="A34" s="427"/>
      <c r="B34" s="381" t="s">
        <v>2325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12"/>
      <c r="M34" s="2914"/>
      <c r="N34" s="2914"/>
      <c r="O34" s="2914"/>
      <c r="P34" s="3741"/>
      <c r="Q34" s="716" t="str">
        <f t="shared" si="11"/>
        <v>项目建筑规模</v>
      </c>
      <c r="R34" s="717" t="s">
        <v>17</v>
      </c>
      <c r="S34" s="718">
        <f t="shared" si="12"/>
        <v>100</v>
      </c>
      <c r="T34" s="717" t="s">
        <v>17</v>
      </c>
      <c r="U34" s="718">
        <f t="shared" si="13"/>
        <v>100</v>
      </c>
      <c r="V34" s="717" t="s">
        <v>17</v>
      </c>
      <c r="W34" s="718">
        <f t="shared" si="14"/>
        <v>100</v>
      </c>
      <c r="X34" s="719"/>
      <c r="Y34" s="3743"/>
      <c r="Z34" s="720" t="str">
        <f t="shared" si="15"/>
        <v>项目建筑规模</v>
      </c>
      <c r="AA34" s="1503">
        <f t="shared" si="3"/>
        <v>1</v>
      </c>
      <c r="AB34" s="1503">
        <f t="shared" si="4"/>
        <v>1</v>
      </c>
      <c r="AC34" s="2111">
        <f t="shared" si="5"/>
        <v>1</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3"/>
      <c r="M35" s="2907"/>
      <c r="N35" s="2907"/>
      <c r="O35" s="2907"/>
      <c r="P35" s="3741"/>
      <c r="Q35" s="1502" t="str">
        <f t="shared" si="11"/>
        <v>建筑结构</v>
      </c>
      <c r="R35" s="714" t="s">
        <v>17</v>
      </c>
      <c r="S35" s="715">
        <f t="shared" si="12"/>
        <v>100</v>
      </c>
      <c r="T35" s="714" t="s">
        <v>17</v>
      </c>
      <c r="U35" s="715">
        <f t="shared" si="13"/>
        <v>100</v>
      </c>
      <c r="V35" s="714" t="s">
        <v>17</v>
      </c>
      <c r="W35" s="715">
        <f t="shared" si="14"/>
        <v>100</v>
      </c>
      <c r="X35" s="1505"/>
      <c r="Y35" s="3743"/>
      <c r="Z35" s="1506" t="str">
        <f t="shared" si="15"/>
        <v>建筑结构</v>
      </c>
      <c r="AA35" s="1503">
        <f t="shared" si="3"/>
        <v>1</v>
      </c>
      <c r="AB35" s="1503">
        <f t="shared" si="4"/>
        <v>1</v>
      </c>
      <c r="AC35" s="2111">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3"/>
      <c r="M36" s="2907"/>
      <c r="N36" s="2907"/>
      <c r="O36" s="2907"/>
      <c r="P36" s="3741"/>
      <c r="Q36" s="1502" t="str">
        <f t="shared" si="11"/>
        <v>公共部分装修</v>
      </c>
      <c r="R36" s="714" t="s">
        <v>17</v>
      </c>
      <c r="S36" s="715">
        <f t="shared" si="12"/>
        <v>100</v>
      </c>
      <c r="T36" s="714" t="s">
        <v>17</v>
      </c>
      <c r="U36" s="715">
        <f t="shared" si="13"/>
        <v>100</v>
      </c>
      <c r="V36" s="714" t="s">
        <v>17</v>
      </c>
      <c r="W36" s="715">
        <f t="shared" si="14"/>
        <v>100</v>
      </c>
      <c r="X36" s="1505"/>
      <c r="Y36" s="3743"/>
      <c r="Z36" s="1506" t="str">
        <f t="shared" si="15"/>
        <v>公共部分装修</v>
      </c>
      <c r="AA36" s="1503">
        <f t="shared" si="3"/>
        <v>1</v>
      </c>
      <c r="AB36" s="1503">
        <f t="shared" si="4"/>
        <v>1</v>
      </c>
      <c r="AC36" s="2111">
        <f t="shared" si="5"/>
        <v>1</v>
      </c>
    </row>
    <row r="37" spans="1:29" ht="15">
      <c r="A37" s="431"/>
      <c r="B37" s="381" t="s">
        <v>2421</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13"/>
      <c r="M37" s="2907"/>
      <c r="N37" s="2907"/>
      <c r="O37" s="2907"/>
      <c r="P37" s="3741"/>
      <c r="Q37" s="1502" t="str">
        <f t="shared" si="11"/>
        <v>成新度</v>
      </c>
      <c r="R37" s="714" t="s">
        <v>17</v>
      </c>
      <c r="S37" s="715">
        <f t="shared" si="12"/>
        <v>100</v>
      </c>
      <c r="T37" s="714" t="s">
        <v>17</v>
      </c>
      <c r="U37" s="715">
        <f t="shared" si="13"/>
        <v>100</v>
      </c>
      <c r="V37" s="714" t="s">
        <v>17</v>
      </c>
      <c r="W37" s="715">
        <f t="shared" si="14"/>
        <v>100</v>
      </c>
      <c r="X37" s="1505"/>
      <c r="Y37" s="3743"/>
      <c r="Z37" s="1506" t="str">
        <f t="shared" si="15"/>
        <v>成新度</v>
      </c>
      <c r="AA37" s="1503">
        <f t="shared" si="3"/>
        <v>1</v>
      </c>
      <c r="AB37" s="1503">
        <f t="shared" si="4"/>
        <v>1</v>
      </c>
      <c r="AC37" s="2111">
        <f t="shared" si="5"/>
        <v>1</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8"/>
      <c r="M38" s="2909"/>
      <c r="N38" s="2909"/>
      <c r="O38" s="2909"/>
      <c r="P38" s="3741"/>
      <c r="Q38" s="1493" t="str">
        <f t="shared" si="11"/>
        <v>写字楼等级</v>
      </c>
      <c r="R38" s="710" t="s">
        <v>17</v>
      </c>
      <c r="S38" s="711">
        <f t="shared" si="12"/>
        <v>100</v>
      </c>
      <c r="T38" s="710" t="s">
        <v>17</v>
      </c>
      <c r="U38" s="711">
        <f t="shared" si="13"/>
        <v>100</v>
      </c>
      <c r="V38" s="710" t="s">
        <v>17</v>
      </c>
      <c r="W38" s="711">
        <f t="shared" si="14"/>
        <v>100</v>
      </c>
      <c r="X38" s="712"/>
      <c r="Y38" s="3743"/>
      <c r="Z38" s="55" t="str">
        <f t="shared" si="15"/>
        <v>写字楼等级</v>
      </c>
      <c r="AA38" s="713">
        <f t="shared" si="3"/>
        <v>1</v>
      </c>
      <c r="AB38" s="713">
        <f t="shared" si="4"/>
        <v>1</v>
      </c>
      <c r="AC38" s="2108">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3"/>
      <c r="M39" s="2907"/>
      <c r="N39" s="2907"/>
      <c r="O39" s="2907"/>
      <c r="P39" s="3741" t="s">
        <v>2324</v>
      </c>
      <c r="Q39" s="1502" t="str">
        <f t="shared" si="11"/>
        <v>物业管理</v>
      </c>
      <c r="R39" s="714" t="s">
        <v>17</v>
      </c>
      <c r="S39" s="715">
        <f t="shared" si="12"/>
        <v>100</v>
      </c>
      <c r="T39" s="714" t="s">
        <v>17</v>
      </c>
      <c r="U39" s="715">
        <f t="shared" si="13"/>
        <v>100</v>
      </c>
      <c r="V39" s="714" t="s">
        <v>17</v>
      </c>
      <c r="W39" s="715">
        <f t="shared" si="14"/>
        <v>100</v>
      </c>
      <c r="X39" s="1505"/>
      <c r="Y39" s="3743" t="s">
        <v>2324</v>
      </c>
      <c r="Z39" s="1506" t="str">
        <f t="shared" si="15"/>
        <v>物业管理</v>
      </c>
      <c r="AA39" s="1503">
        <f t="shared" si="3"/>
        <v>1</v>
      </c>
      <c r="AB39" s="1503">
        <f t="shared" si="4"/>
        <v>1</v>
      </c>
      <c r="AC39" s="2111">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3"/>
      <c r="M40" s="2907"/>
      <c r="N40" s="2907"/>
      <c r="O40" s="2907"/>
      <c r="P40" s="3741"/>
      <c r="Q40" s="1502" t="str">
        <f t="shared" si="11"/>
        <v>市政基础设施</v>
      </c>
      <c r="R40" s="714" t="s">
        <v>17</v>
      </c>
      <c r="S40" s="715">
        <f t="shared" si="12"/>
        <v>100</v>
      </c>
      <c r="T40" s="714" t="s">
        <v>17</v>
      </c>
      <c r="U40" s="715">
        <f t="shared" si="13"/>
        <v>100</v>
      </c>
      <c r="V40" s="714" t="s">
        <v>17</v>
      </c>
      <c r="W40" s="715">
        <f t="shared" si="14"/>
        <v>100</v>
      </c>
      <c r="X40" s="1505"/>
      <c r="Y40" s="3743"/>
      <c r="Z40" s="1506" t="str">
        <f t="shared" si="15"/>
        <v>市政基础设施</v>
      </c>
      <c r="AA40" s="1503">
        <f t="shared" si="3"/>
        <v>1</v>
      </c>
      <c r="AB40" s="1503">
        <f t="shared" si="4"/>
        <v>1</v>
      </c>
      <c r="AC40" s="2111">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3"/>
      <c r="M41" s="2907"/>
      <c r="N41" s="2907"/>
      <c r="O41" s="2907"/>
      <c r="P41" s="3741"/>
      <c r="Q41" s="1502" t="str">
        <f t="shared" si="11"/>
        <v>层高</v>
      </c>
      <c r="R41" s="714" t="s">
        <v>17</v>
      </c>
      <c r="S41" s="715">
        <f t="shared" si="12"/>
        <v>100</v>
      </c>
      <c r="T41" s="714" t="s">
        <v>17</v>
      </c>
      <c r="U41" s="715">
        <f t="shared" si="13"/>
        <v>100</v>
      </c>
      <c r="V41" s="714" t="s">
        <v>17</v>
      </c>
      <c r="W41" s="715">
        <f t="shared" si="14"/>
        <v>100</v>
      </c>
      <c r="X41" s="1505"/>
      <c r="Y41" s="3743"/>
      <c r="Z41" s="1506" t="str">
        <f t="shared" si="15"/>
        <v>层高</v>
      </c>
      <c r="AA41" s="1503">
        <f t="shared" si="3"/>
        <v>1</v>
      </c>
      <c r="AB41" s="1503">
        <f t="shared" si="4"/>
        <v>1</v>
      </c>
      <c r="AC41" s="2111">
        <f t="shared" si="5"/>
        <v>1</v>
      </c>
    </row>
    <row r="42" spans="1:29" s="430" customFormat="1" ht="15">
      <c r="A42" s="427"/>
      <c r="B42" s="1504"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2"/>
      <c r="M42" s="2914"/>
      <c r="N42" s="2914"/>
      <c r="O42" s="2914"/>
      <c r="P42" s="3741"/>
      <c r="Q42" s="716" t="str">
        <f t="shared" si="11"/>
        <v>单套建筑面积</v>
      </c>
      <c r="R42" s="717" t="s">
        <v>17</v>
      </c>
      <c r="S42" s="718">
        <f t="shared" si="12"/>
        <v>100</v>
      </c>
      <c r="T42" s="717" t="s">
        <v>17</v>
      </c>
      <c r="U42" s="718">
        <f t="shared" si="13"/>
        <v>100</v>
      </c>
      <c r="V42" s="717" t="s">
        <v>17</v>
      </c>
      <c r="W42" s="718">
        <f t="shared" si="14"/>
        <v>100</v>
      </c>
      <c r="X42" s="719"/>
      <c r="Y42" s="3743"/>
      <c r="Z42" s="720" t="str">
        <f t="shared" si="15"/>
        <v>单套建筑面积</v>
      </c>
      <c r="AA42" s="1503">
        <f t="shared" si="3"/>
        <v>1</v>
      </c>
      <c r="AB42" s="1503">
        <f t="shared" si="4"/>
        <v>1</v>
      </c>
      <c r="AC42" s="2111">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3"/>
      <c r="M43" s="2907"/>
      <c r="N43" s="2907"/>
      <c r="O43" s="2907"/>
      <c r="P43" s="3741"/>
      <c r="Q43" s="1502" t="str">
        <f t="shared" si="11"/>
        <v>内部装修</v>
      </c>
      <c r="R43" s="714" t="s">
        <v>17</v>
      </c>
      <c r="S43" s="715">
        <f t="shared" si="12"/>
        <v>100</v>
      </c>
      <c r="T43" s="714" t="s">
        <v>17</v>
      </c>
      <c r="U43" s="715">
        <f t="shared" si="13"/>
        <v>100</v>
      </c>
      <c r="V43" s="714" t="s">
        <v>17</v>
      </c>
      <c r="W43" s="715">
        <f t="shared" si="14"/>
        <v>100</v>
      </c>
      <c r="X43" s="1505"/>
      <c r="Y43" s="3743"/>
      <c r="Z43" s="1506" t="str">
        <f t="shared" si="15"/>
        <v>内部装修</v>
      </c>
      <c r="AA43" s="1503">
        <f t="shared" si="3"/>
        <v>1</v>
      </c>
      <c r="AB43" s="1503">
        <f t="shared" si="4"/>
        <v>1</v>
      </c>
      <c r="AC43" s="2111">
        <f t="shared" si="5"/>
        <v>1</v>
      </c>
    </row>
    <row r="44" spans="1:29" ht="15">
      <c r="A44" s="431"/>
      <c r="B44" s="381" t="s">
        <v>2335</v>
      </c>
      <c r="C44" s="419"/>
      <c r="D44" s="394">
        <v>100</v>
      </c>
      <c r="E44" s="2057"/>
      <c r="F44" s="420">
        <f>SUMIF(125:125,E44,126:126)-SUMIF(125:125,C44,126:126)+100</f>
        <v>100</v>
      </c>
      <c r="G44" s="2057"/>
      <c r="H44" s="394">
        <f>SUMIF(125:125,G44,126:126)-SUMIF(125:125,C44,126:126)+100</f>
        <v>100</v>
      </c>
      <c r="I44" s="2057"/>
      <c r="J44" s="394">
        <f>SUMIF(125:125,I44,126:126)-SUMIF(125:125,C44,126:126)+100</f>
        <v>100</v>
      </c>
      <c r="K44" s="569"/>
      <c r="L44" s="2913"/>
      <c r="M44" s="2907"/>
      <c r="N44" s="2907"/>
      <c r="O44" s="2907"/>
      <c r="P44" s="3741"/>
      <c r="Q44" s="1502" t="str">
        <f t="shared" si="11"/>
        <v>内部装修维护情况</v>
      </c>
      <c r="R44" s="714" t="s">
        <v>17</v>
      </c>
      <c r="S44" s="715">
        <f t="shared" si="12"/>
        <v>100</v>
      </c>
      <c r="T44" s="714" t="s">
        <v>17</v>
      </c>
      <c r="U44" s="715">
        <f t="shared" si="13"/>
        <v>100</v>
      </c>
      <c r="V44" s="714" t="s">
        <v>17</v>
      </c>
      <c r="W44" s="715">
        <f t="shared" si="14"/>
        <v>100</v>
      </c>
      <c r="X44" s="1505"/>
      <c r="Y44" s="3743"/>
      <c r="Z44" s="1506" t="str">
        <f t="shared" si="15"/>
        <v>内部装修维护情况</v>
      </c>
      <c r="AA44" s="1503">
        <f t="shared" si="3"/>
        <v>1</v>
      </c>
      <c r="AB44" s="1503">
        <f t="shared" si="4"/>
        <v>1</v>
      </c>
      <c r="AC44" s="2111">
        <f t="shared" si="5"/>
        <v>1</v>
      </c>
    </row>
    <row r="45" spans="1:29" s="113" customFormat="1" ht="15">
      <c r="A45" s="432"/>
      <c r="B45" s="126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8"/>
      <c r="M45" s="2909"/>
      <c r="N45" s="2909"/>
      <c r="O45" s="2909"/>
      <c r="P45" s="3741"/>
      <c r="Q45" s="1493">
        <f t="shared" si="11"/>
        <v>111</v>
      </c>
      <c r="R45" s="710" t="s">
        <v>17</v>
      </c>
      <c r="S45" s="711">
        <f t="shared" si="12"/>
        <v>100</v>
      </c>
      <c r="T45" s="710" t="s">
        <v>17</v>
      </c>
      <c r="U45" s="711">
        <f t="shared" si="13"/>
        <v>100</v>
      </c>
      <c r="V45" s="710" t="s">
        <v>17</v>
      </c>
      <c r="W45" s="711">
        <f t="shared" si="14"/>
        <v>100</v>
      </c>
      <c r="X45" s="712"/>
      <c r="Y45" s="3743"/>
      <c r="Z45" s="55">
        <f t="shared" si="15"/>
        <v>111</v>
      </c>
      <c r="AA45" s="713">
        <f t="shared" si="3"/>
        <v>1</v>
      </c>
      <c r="AB45" s="713">
        <f t="shared" si="4"/>
        <v>1</v>
      </c>
      <c r="AC45" s="2108">
        <f t="shared" si="5"/>
        <v>1</v>
      </c>
    </row>
    <row r="46" spans="1:29" ht="15">
      <c r="A46" s="431"/>
      <c r="B46" s="126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3"/>
      <c r="M46" s="2907"/>
      <c r="N46" s="2907"/>
      <c r="O46" s="2907"/>
      <c r="P46" s="3741"/>
      <c r="Q46" s="1502">
        <f t="shared" si="11"/>
        <v>111</v>
      </c>
      <c r="R46" s="714" t="s">
        <v>17</v>
      </c>
      <c r="S46" s="715">
        <f t="shared" si="12"/>
        <v>100</v>
      </c>
      <c r="T46" s="714" t="s">
        <v>17</v>
      </c>
      <c r="U46" s="715">
        <f t="shared" si="13"/>
        <v>100</v>
      </c>
      <c r="V46" s="714" t="s">
        <v>17</v>
      </c>
      <c r="W46" s="715">
        <f t="shared" si="14"/>
        <v>100</v>
      </c>
      <c r="X46" s="1505"/>
      <c r="Y46" s="3743"/>
      <c r="Z46" s="1506">
        <f t="shared" si="15"/>
        <v>111</v>
      </c>
      <c r="AA46" s="1503">
        <f t="shared" si="3"/>
        <v>1</v>
      </c>
      <c r="AB46" s="1503">
        <f t="shared" si="4"/>
        <v>1</v>
      </c>
      <c r="AC46" s="2111">
        <f t="shared" si="5"/>
        <v>1</v>
      </c>
    </row>
    <row r="47" spans="1:29" ht="15.75" thickBot="1">
      <c r="A47" s="437"/>
      <c r="B47" s="204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3"/>
      <c r="M47" s="2907"/>
      <c r="N47" s="2907"/>
      <c r="O47" s="2907"/>
      <c r="P47" s="3742"/>
      <c r="Q47" s="1502">
        <f t="shared" si="11"/>
        <v>111</v>
      </c>
      <c r="R47" s="714" t="s">
        <v>17</v>
      </c>
      <c r="S47" s="715">
        <f t="shared" si="12"/>
        <v>100</v>
      </c>
      <c r="T47" s="714" t="s">
        <v>17</v>
      </c>
      <c r="U47" s="715">
        <f t="shared" si="13"/>
        <v>100</v>
      </c>
      <c r="V47" s="714" t="s">
        <v>17</v>
      </c>
      <c r="W47" s="715">
        <f t="shared" si="14"/>
        <v>100</v>
      </c>
      <c r="X47" s="1505"/>
      <c r="Y47" s="3744"/>
      <c r="Z47" s="1506">
        <f t="shared" si="15"/>
        <v>111</v>
      </c>
      <c r="AA47" s="1503">
        <f t="shared" si="3"/>
        <v>1</v>
      </c>
      <c r="AB47" s="1503">
        <f t="shared" si="4"/>
        <v>1</v>
      </c>
      <c r="AC47" s="2111">
        <f t="shared" si="5"/>
        <v>1</v>
      </c>
    </row>
    <row r="48" spans="1:29" ht="15">
      <c r="A48" s="438" t="s">
        <v>2336</v>
      </c>
      <c r="B48" s="439"/>
      <c r="C48" s="1284" t="s">
        <v>1</v>
      </c>
      <c r="D48" s="1285"/>
      <c r="E48" s="1286">
        <v>35</v>
      </c>
      <c r="F48" s="1287"/>
      <c r="G48" s="1288">
        <v>30</v>
      </c>
      <c r="H48" s="1289"/>
      <c r="I48" s="1286">
        <v>30</v>
      </c>
      <c r="J48" s="444"/>
      <c r="K48" s="723"/>
      <c r="L48" s="2915"/>
      <c r="M48" s="2907"/>
      <c r="N48" s="2907"/>
      <c r="O48" s="2907"/>
      <c r="P48" s="3747" t="str">
        <f>A48</f>
        <v>成交单价（元/平方米）</v>
      </c>
      <c r="Q48" s="3736"/>
      <c r="R48" s="3737">
        <f>E48</f>
        <v>35</v>
      </c>
      <c r="S48" s="3737"/>
      <c r="T48" s="3737">
        <f>G48</f>
        <v>30</v>
      </c>
      <c r="U48" s="3737"/>
      <c r="V48" s="3737">
        <f>I48</f>
        <v>30</v>
      </c>
      <c r="W48" s="3737"/>
      <c r="X48" s="405"/>
      <c r="Y48" s="721"/>
      <c r="Z48" s="405"/>
      <c r="AA48" s="405"/>
      <c r="AB48" s="405"/>
      <c r="AC48" s="586"/>
    </row>
    <row r="49" spans="1:29" ht="15.75" thickBot="1">
      <c r="A49" s="445" t="s">
        <v>2428</v>
      </c>
      <c r="B49" s="446"/>
      <c r="C49" s="1290">
        <f>R50</f>
        <v>31.2</v>
      </c>
      <c r="D49" s="2501" t="s">
        <v>2819</v>
      </c>
      <c r="E49" s="1291">
        <f>R49</f>
        <v>34.5</v>
      </c>
      <c r="F49" s="2502"/>
      <c r="G49" s="1290">
        <f>T49</f>
        <v>29.6</v>
      </c>
      <c r="H49" s="2502"/>
      <c r="I49" s="1291">
        <f>V49</f>
        <v>29.6</v>
      </c>
      <c r="J49" s="2502"/>
      <c r="K49" s="2504">
        <f>F49+H49+J49</f>
        <v>0</v>
      </c>
      <c r="L49" s="2915"/>
      <c r="M49" s="2907"/>
      <c r="N49" s="2907"/>
      <c r="O49" s="2907"/>
      <c r="P49" s="3747" t="str">
        <f>A49</f>
        <v>比较价值（元/平方米）</v>
      </c>
      <c r="Q49" s="3736"/>
      <c r="R49" s="3737">
        <f>IF(F1="售价",ROUND(PRODUCT(R48,AA7:AA47),0),ROUND(PRODUCT(R48,AA7:AA47),1))</f>
        <v>34.5</v>
      </c>
      <c r="S49" s="3737"/>
      <c r="T49" s="3737">
        <f>IF(F1="售价",ROUND(PRODUCT(T48,AB7:AB47),0),ROUND(PRODUCT(T48,AB7:AB47),1))</f>
        <v>29.6</v>
      </c>
      <c r="U49" s="3737"/>
      <c r="V49" s="3737">
        <f>IF(F1="售价",ROUND(PRODUCT(V48,AC7:AC47),0),ROUND(PRODUCT(V48,AC7:AC47),1))</f>
        <v>29.6</v>
      </c>
      <c r="W49" s="3737"/>
      <c r="X49" s="405"/>
      <c r="Y49" s="405"/>
      <c r="Z49" s="405"/>
      <c r="AA49" s="405"/>
      <c r="AB49" s="405"/>
      <c r="AC49" s="586"/>
    </row>
    <row r="50" spans="1:29" ht="15.75" thickBot="1">
      <c r="A50" s="449" t="s">
        <v>2429</v>
      </c>
      <c r="B50" s="450"/>
      <c r="C50" s="1293">
        <f>R50</f>
        <v>31.2</v>
      </c>
      <c r="D50" s="1293"/>
      <c r="E50" s="1293"/>
      <c r="F50" s="1293"/>
      <c r="G50" s="1293"/>
      <c r="H50" s="1293"/>
      <c r="I50" s="1293"/>
      <c r="J50" s="451"/>
      <c r="K50" s="724"/>
      <c r="L50" s="2915"/>
      <c r="M50" s="2907"/>
      <c r="N50" s="2907"/>
      <c r="O50" s="2907"/>
      <c r="P50" s="3781" t="str">
        <f>A50</f>
        <v>估价对象XX用房的比较价值（楼面单价，元/平方米）</v>
      </c>
      <c r="Q50" s="3782"/>
      <c r="R50" s="3783">
        <f>IF(F1="售价",ROUND(IF(D49="简单平均",AVERAGE(R49:V49),R49*F49+T49*H49+V49*J49),0),ROUND(IF(D49="简单平均",AVERAGE(R49:V49),R49*F49+T49*H49+V49*J49),1))</f>
        <v>31.2</v>
      </c>
      <c r="S50" s="3783"/>
      <c r="T50" s="3783"/>
      <c r="U50" s="3783"/>
      <c r="V50" s="3783"/>
      <c r="W50" s="3783"/>
      <c r="X50" s="2095"/>
      <c r="Y50" s="2095"/>
      <c r="Z50" s="2095"/>
      <c r="AA50" s="2095"/>
      <c r="AB50" s="2095"/>
      <c r="AC50" s="2096"/>
    </row>
    <row r="51" spans="1:29">
      <c r="A51" s="2916"/>
      <c r="B51" s="2916"/>
      <c r="C51" s="2916"/>
      <c r="D51" s="2916"/>
      <c r="E51" s="2916"/>
      <c r="F51" s="2916"/>
      <c r="G51" s="2920"/>
      <c r="H51" s="2916"/>
      <c r="I51" s="2916"/>
      <c r="J51" s="2916"/>
      <c r="K51" s="2921"/>
      <c r="L51" s="2917"/>
      <c r="M51" s="2916"/>
      <c r="N51" s="2916"/>
      <c r="O51" s="2916"/>
      <c r="P51" s="2947"/>
      <c r="Q51" s="2916"/>
      <c r="R51" s="2916"/>
      <c r="S51" s="2916"/>
      <c r="T51" s="2916"/>
      <c r="U51" s="2916"/>
      <c r="V51" s="2916"/>
      <c r="W51" s="2916"/>
      <c r="X51" s="2916"/>
      <c r="Y51" s="2916"/>
      <c r="Z51" s="2916"/>
      <c r="AA51" s="2916"/>
      <c r="AB51" s="2916"/>
      <c r="AC51" s="2916"/>
    </row>
    <row r="52" spans="1:29">
      <c r="A52" s="2916"/>
      <c r="B52" s="2916"/>
      <c r="C52" s="2916"/>
      <c r="D52" s="2916"/>
      <c r="E52" s="2916"/>
      <c r="F52" s="2916"/>
      <c r="G52" s="2916"/>
      <c r="H52" s="2916"/>
      <c r="I52" s="2916"/>
      <c r="J52" s="2916"/>
      <c r="K52" s="2921"/>
      <c r="L52" s="2917"/>
      <c r="M52" s="2916"/>
      <c r="N52" s="2916"/>
      <c r="O52" s="2916"/>
      <c r="P52" s="2947"/>
      <c r="Q52" s="2916"/>
      <c r="R52" s="2916"/>
      <c r="S52" s="2916"/>
      <c r="T52" s="2916"/>
      <c r="U52" s="2916"/>
      <c r="V52" s="2916"/>
      <c r="W52" s="2916"/>
      <c r="X52" s="2916"/>
      <c r="Y52" s="2916"/>
      <c r="Z52" s="2916"/>
      <c r="AA52" s="2916"/>
      <c r="AB52" s="2916"/>
      <c r="AC52" s="2916"/>
    </row>
    <row r="53" spans="1:29" ht="13.5" customHeight="1">
      <c r="A53" s="2916"/>
      <c r="B53" s="2916"/>
      <c r="C53" s="454" t="s">
        <v>2430</v>
      </c>
      <c r="D53" s="455"/>
      <c r="E53" s="456">
        <f>IF(E48&lt;E49,E49/E48-1,E48/E49-1)</f>
        <v>1.449275362318847E-2</v>
      </c>
      <c r="F53" s="457" t="str">
        <f>IF(OR(E53&gt;=0.3,E53&lt;=-0.3),"超过30%","")</f>
        <v/>
      </c>
      <c r="G53" s="456">
        <f>IF(G48&lt;G49,G49/G48-1,G48/G49-1)</f>
        <v>1.3513513513513375E-2</v>
      </c>
      <c r="H53" s="457" t="str">
        <f>IF(OR(G53&gt;=0.3,G53&lt;=-0.3),"超过30%","")</f>
        <v/>
      </c>
      <c r="I53" s="456">
        <f>IF(I48&lt;I49,I49/I48-1,I48/I49-1)</f>
        <v>1.3513513513513375E-2</v>
      </c>
      <c r="J53" s="457" t="str">
        <f>IF(OR(I53&gt;=0.3,I53&lt;=-0.3),"超过30%","")</f>
        <v/>
      </c>
      <c r="K53" s="2921"/>
      <c r="L53" s="2917"/>
      <c r="M53" s="2916"/>
      <c r="N53" s="2916"/>
      <c r="O53" s="2916"/>
      <c r="P53" s="2947"/>
      <c r="Q53" s="2916"/>
      <c r="R53" s="2916"/>
      <c r="S53" s="2916"/>
      <c r="T53" s="2916"/>
      <c r="U53" s="2916"/>
      <c r="V53" s="2916"/>
      <c r="W53" s="2916"/>
      <c r="X53" s="2916"/>
      <c r="Y53" s="2916"/>
      <c r="Z53" s="2916"/>
      <c r="AA53" s="2916"/>
      <c r="AB53" s="2916"/>
      <c r="AC53" s="2916"/>
    </row>
    <row r="54" spans="1:29" ht="13.5" customHeight="1">
      <c r="A54" s="2916"/>
      <c r="B54" s="2916"/>
      <c r="C54" s="454" t="s">
        <v>2431</v>
      </c>
      <c r="D54" s="458"/>
      <c r="E54" s="456">
        <f>IF(E49&lt;G49,G49/E49-1,E49/G49-1)</f>
        <v>0.16554054054054057</v>
      </c>
      <c r="F54" s="457" t="str">
        <f>IF(OR(E54&gt;=0.2,E54&lt;=-0.2),"超过20%","")</f>
        <v/>
      </c>
      <c r="G54" s="456">
        <f>IF(G49&lt;I49,I49/G49-1,G49/I49-1)</f>
        <v>0</v>
      </c>
      <c r="H54" s="457" t="str">
        <f>IF(OR(G54&gt;=0.2,G54&lt;=-0.2),"超过20%","")</f>
        <v/>
      </c>
      <c r="I54" s="456">
        <f>IF(I49&lt;E49,E49/I49-1,I49/E49-1)</f>
        <v>0.16554054054054057</v>
      </c>
      <c r="J54" s="457" t="str">
        <f>IF(OR(I54&gt;=0.2,I54&lt;=-0.2),"超过20%","")</f>
        <v/>
      </c>
      <c r="K54" s="2921"/>
      <c r="L54" s="2917"/>
      <c r="M54" s="2916"/>
      <c r="N54" s="2916"/>
      <c r="O54" s="2916"/>
      <c r="P54" s="2947"/>
      <c r="Q54" s="2916"/>
      <c r="R54" s="2916"/>
      <c r="S54" s="2916"/>
      <c r="T54" s="2916"/>
      <c r="U54" s="2916"/>
      <c r="V54" s="2916"/>
      <c r="W54" s="2916"/>
      <c r="X54" s="2916"/>
      <c r="Y54" s="2916"/>
      <c r="Z54" s="2916"/>
      <c r="AA54" s="2916"/>
      <c r="AB54" s="2916"/>
      <c r="AC54" s="2916"/>
    </row>
    <row r="55" spans="1:29" s="459" customFormat="1" ht="13.5" customHeight="1">
      <c r="A55" s="2919"/>
      <c r="B55" s="2919"/>
      <c r="C55" s="454" t="s">
        <v>2432</v>
      </c>
      <c r="D55" s="458"/>
      <c r="E55" s="456">
        <f>IF(E48&lt;G48,G48/E48-1,E48/G48-1)</f>
        <v>0.16666666666666674</v>
      </c>
      <c r="F55" s="457" t="str">
        <f>IF(OR(E55&gt;=0.3,E55&lt;=-0.3),"超过30%","")</f>
        <v/>
      </c>
      <c r="G55" s="456">
        <f>IF(G48&lt;I48,I48/G48-1,G48/I48-1)</f>
        <v>0</v>
      </c>
      <c r="H55" s="457" t="str">
        <f>IF(OR(G55&gt;=0.3,G55&lt;=-0.3),"超过30%","")</f>
        <v/>
      </c>
      <c r="I55" s="456">
        <f>IF(I48&lt;E48,E48/I48-1,I48/E48-1)</f>
        <v>0.16666666666666674</v>
      </c>
      <c r="J55" s="457" t="str">
        <f>IF(OR(I55&gt;=0.3,I55&lt;=-0.3),"超过30%","")</f>
        <v/>
      </c>
      <c r="K55" s="2924"/>
      <c r="L55" s="2918"/>
      <c r="M55" s="2919"/>
      <c r="N55" s="2919"/>
      <c r="O55" s="2919"/>
      <c r="P55" s="2948"/>
      <c r="Q55" s="2919"/>
      <c r="R55" s="2919"/>
      <c r="S55" s="2919"/>
      <c r="T55" s="2919"/>
      <c r="U55" s="2919"/>
      <c r="V55" s="2919"/>
      <c r="W55" s="2919"/>
      <c r="X55" s="2919"/>
      <c r="Y55" s="2919"/>
      <c r="Z55" s="2919"/>
      <c r="AA55" s="2919"/>
      <c r="AB55" s="2919"/>
      <c r="AC55" s="2919"/>
    </row>
    <row r="56" spans="1:29" s="459" customFormat="1">
      <c r="A56" s="2919"/>
      <c r="B56" s="2922"/>
      <c r="C56" s="2923"/>
      <c r="D56" s="2919"/>
      <c r="E56" s="2919"/>
      <c r="F56" s="2919"/>
      <c r="G56" s="2919"/>
      <c r="H56" s="2919"/>
      <c r="I56" s="2919"/>
      <c r="J56" s="2919"/>
      <c r="K56" s="2924"/>
      <c r="L56" s="2918"/>
      <c r="M56" s="2919"/>
      <c r="N56" s="2919"/>
      <c r="O56" s="2919"/>
      <c r="P56" s="2948"/>
      <c r="Q56" s="2919"/>
      <c r="R56" s="2919"/>
      <c r="S56" s="2919"/>
      <c r="T56" s="2919"/>
      <c r="U56" s="2919"/>
      <c r="V56" s="2919"/>
      <c r="W56" s="2919"/>
      <c r="X56" s="2919"/>
      <c r="Y56" s="2919"/>
      <c r="Z56" s="2919"/>
      <c r="AA56" s="2919"/>
      <c r="AB56" s="2919"/>
      <c r="AC56" s="2919"/>
    </row>
    <row r="57" spans="1:29">
      <c r="A57" s="2916"/>
      <c r="B57" s="2922"/>
      <c r="C57" s="2923"/>
      <c r="D57" s="2916"/>
      <c r="E57" s="2916"/>
      <c r="F57" s="2916"/>
      <c r="G57" s="2916"/>
      <c r="H57" s="2916"/>
      <c r="I57" s="2916"/>
      <c r="J57" s="2916"/>
      <c r="K57" s="2921"/>
      <c r="L57" s="2917"/>
      <c r="M57" s="2916"/>
      <c r="N57" s="2916"/>
      <c r="O57" s="2916"/>
      <c r="P57" s="2947"/>
      <c r="Q57" s="2916"/>
      <c r="R57" s="2916"/>
      <c r="S57" s="2916"/>
      <c r="T57" s="2916"/>
      <c r="U57" s="2916"/>
      <c r="V57" s="2916"/>
      <c r="W57" s="2916"/>
      <c r="X57" s="2916"/>
      <c r="Y57" s="2916"/>
      <c r="Z57" s="2916"/>
      <c r="AA57" s="2916"/>
      <c r="AB57" s="2916"/>
      <c r="AC57" s="2916"/>
    </row>
    <row r="58" spans="1:29" ht="21.75" thickBot="1">
      <c r="A58" s="703" t="s">
        <v>2433</v>
      </c>
      <c r="B58" s="699"/>
      <c r="C58" s="704"/>
      <c r="D58" s="704"/>
      <c r="E58" s="704"/>
      <c r="F58" s="705"/>
      <c r="G58" s="705"/>
      <c r="H58" s="704"/>
      <c r="I58" s="704"/>
      <c r="J58" s="704"/>
      <c r="K58" s="706"/>
      <c r="L58" s="1069"/>
      <c r="M58" s="1067"/>
      <c r="N58" s="2960"/>
      <c r="O58" s="2960"/>
      <c r="P58" s="2949"/>
      <c r="Q58" s="2930"/>
      <c r="R58" s="2916"/>
      <c r="S58" s="2916"/>
      <c r="T58" s="2916"/>
      <c r="U58" s="2916"/>
      <c r="V58" s="2916"/>
      <c r="W58" s="2916"/>
      <c r="X58" s="2916"/>
      <c r="Y58" s="2916"/>
      <c r="Z58" s="2916"/>
      <c r="AA58" s="2916"/>
      <c r="AB58" s="2916"/>
      <c r="AC58" s="2916"/>
    </row>
    <row r="59" spans="1:29" s="465" customFormat="1" ht="15">
      <c r="A59" s="462" t="s">
        <v>2307</v>
      </c>
      <c r="B59" s="463"/>
      <c r="C59" s="1314" t="str">
        <f>YEAR(C7)&amp;"-"&amp;MONTH(C7)</f>
        <v>2022-4</v>
      </c>
      <c r="D59" s="1315">
        <f>EDATE(C59,-1)</f>
        <v>44621</v>
      </c>
      <c r="E59" s="1315">
        <f>EDATE(D59,-1)</f>
        <v>44593</v>
      </c>
      <c r="F59" s="1315">
        <f t="shared" ref="F59:O59" si="16">EDATE(E59,-1)</f>
        <v>44562</v>
      </c>
      <c r="G59" s="1315">
        <f t="shared" si="16"/>
        <v>44531</v>
      </c>
      <c r="H59" s="1315">
        <f t="shared" si="16"/>
        <v>44501</v>
      </c>
      <c r="I59" s="1315">
        <f t="shared" si="16"/>
        <v>44470</v>
      </c>
      <c r="J59" s="1315">
        <f t="shared" si="16"/>
        <v>44440</v>
      </c>
      <c r="K59" s="1315">
        <f t="shared" si="16"/>
        <v>44409</v>
      </c>
      <c r="L59" s="1315">
        <f t="shared" si="16"/>
        <v>44378</v>
      </c>
      <c r="M59" s="1315">
        <f t="shared" si="16"/>
        <v>44348</v>
      </c>
      <c r="N59" s="1315">
        <f t="shared" si="16"/>
        <v>44317</v>
      </c>
      <c r="O59" s="1315">
        <f t="shared" si="16"/>
        <v>44287</v>
      </c>
      <c r="P59" s="2950"/>
      <c r="Q59" s="2932"/>
      <c r="R59" s="2932"/>
      <c r="S59" s="2932"/>
      <c r="T59" s="2932"/>
      <c r="U59" s="2932"/>
      <c r="V59" s="2932"/>
      <c r="W59" s="2932"/>
      <c r="X59" s="2932"/>
      <c r="Y59" s="2932"/>
      <c r="Z59" s="2932"/>
      <c r="AA59" s="2932"/>
      <c r="AB59" s="2932"/>
      <c r="AC59" s="2932"/>
    </row>
    <row r="60" spans="1:29" s="113" customFormat="1" ht="15">
      <c r="A60" s="466"/>
      <c r="B60" s="467"/>
      <c r="C60" s="1313">
        <v>100</v>
      </c>
      <c r="D60" s="469">
        <v>100</v>
      </c>
      <c r="E60" s="469">
        <v>100</v>
      </c>
      <c r="F60" s="469">
        <v>100</v>
      </c>
      <c r="G60" s="469">
        <v>99.5</v>
      </c>
      <c r="H60" s="469"/>
      <c r="I60" s="469"/>
      <c r="J60" s="469"/>
      <c r="K60" s="469"/>
      <c r="L60" s="469"/>
      <c r="M60" s="470"/>
      <c r="N60" s="469"/>
      <c r="O60" s="470"/>
      <c r="P60" s="2951"/>
      <c r="Q60" s="2850"/>
      <c r="R60" s="2850"/>
      <c r="S60" s="2850"/>
      <c r="T60" s="2850"/>
      <c r="U60" s="2850"/>
      <c r="V60" s="2850"/>
      <c r="W60" s="2850"/>
      <c r="X60" s="2850"/>
      <c r="Y60" s="2850"/>
      <c r="Z60" s="2850"/>
      <c r="AA60" s="2850"/>
      <c r="AB60" s="2850"/>
      <c r="AC60" s="2850"/>
    </row>
    <row r="61" spans="1:29" s="113" customFormat="1" ht="15.75" thickBot="1">
      <c r="A61" s="472" t="s">
        <v>2344</v>
      </c>
      <c r="B61" s="473"/>
      <c r="C61" s="474"/>
      <c r="D61" s="475"/>
      <c r="E61" s="475"/>
      <c r="F61" s="475"/>
      <c r="G61" s="475"/>
      <c r="H61" s="475"/>
      <c r="I61" s="475"/>
      <c r="J61" s="475"/>
      <c r="K61" s="475"/>
      <c r="L61" s="475"/>
      <c r="M61" s="476"/>
      <c r="N61" s="475"/>
      <c r="O61" s="476"/>
      <c r="P61" s="2951"/>
      <c r="Q61" s="2930"/>
      <c r="R61" s="2850"/>
      <c r="S61" s="2850"/>
      <c r="T61" s="2850"/>
      <c r="U61" s="2850"/>
      <c r="V61" s="2850"/>
      <c r="W61" s="2850"/>
      <c r="X61" s="2850"/>
      <c r="Y61" s="2850"/>
      <c r="Z61" s="2850"/>
      <c r="AA61" s="2850"/>
      <c r="AB61" s="2850"/>
      <c r="AC61" s="2850"/>
    </row>
    <row r="62" spans="1:29" s="113" customFormat="1" ht="15">
      <c r="A62" s="478" t="s">
        <v>2309</v>
      </c>
      <c r="B62" s="467"/>
      <c r="C62" s="479" t="s">
        <v>2411</v>
      </c>
      <c r="D62" s="480"/>
      <c r="E62" s="480"/>
      <c r="F62" s="480"/>
      <c r="G62" s="480"/>
      <c r="H62" s="480"/>
      <c r="I62" s="480"/>
      <c r="J62" s="480"/>
      <c r="K62" s="480"/>
      <c r="L62" s="481"/>
      <c r="M62" s="482"/>
      <c r="N62" s="2943"/>
      <c r="O62" s="2943"/>
      <c r="P62" s="2952"/>
      <c r="Q62" s="2930"/>
      <c r="R62" s="2850"/>
      <c r="S62" s="2850"/>
      <c r="T62" s="2850"/>
      <c r="U62" s="2850"/>
      <c r="V62" s="2850"/>
      <c r="W62" s="2850"/>
      <c r="X62" s="2850"/>
      <c r="Y62" s="2850"/>
      <c r="Z62" s="2850"/>
      <c r="AA62" s="2850"/>
      <c r="AB62" s="2850"/>
      <c r="AC62" s="2850"/>
    </row>
    <row r="63" spans="1:29" s="113" customFormat="1" ht="15.75" thickBot="1">
      <c r="A63" s="478"/>
      <c r="B63" s="467"/>
      <c r="C63" s="468">
        <v>100</v>
      </c>
      <c r="D63" s="469"/>
      <c r="E63" s="469"/>
      <c r="F63" s="469"/>
      <c r="G63" s="469"/>
      <c r="H63" s="469"/>
      <c r="I63" s="469"/>
      <c r="J63" s="469"/>
      <c r="K63" s="469"/>
      <c r="L63" s="469"/>
      <c r="M63" s="471"/>
      <c r="N63" s="2943"/>
      <c r="O63" s="2943"/>
      <c r="P63" s="2951"/>
      <c r="Q63" s="2930"/>
      <c r="R63" s="2850"/>
      <c r="S63" s="2850"/>
      <c r="T63" s="2850"/>
      <c r="U63" s="2850"/>
      <c r="V63" s="2850"/>
      <c r="W63" s="2850"/>
      <c r="X63" s="2850"/>
      <c r="Y63" s="2850"/>
      <c r="Z63" s="2850"/>
      <c r="AA63" s="2850"/>
      <c r="AB63" s="2850"/>
      <c r="AC63" s="2850"/>
    </row>
    <row r="64" spans="1:29">
      <c r="A64" s="484" t="s">
        <v>2347</v>
      </c>
      <c r="B64" s="485" t="s">
        <v>2313</v>
      </c>
      <c r="C64" s="486">
        <f>C9</f>
        <v>0</v>
      </c>
      <c r="D64" s="487"/>
      <c r="E64" s="487"/>
      <c r="F64" s="487"/>
      <c r="G64" s="487"/>
      <c r="H64" s="487"/>
      <c r="I64" s="487"/>
      <c r="J64" s="487"/>
      <c r="K64" s="488"/>
      <c r="L64" s="489"/>
      <c r="M64" s="490"/>
      <c r="N64" s="2944"/>
      <c r="O64" s="2944"/>
      <c r="P64" s="2953"/>
      <c r="Q64" s="2930"/>
      <c r="R64" s="2916"/>
      <c r="S64" s="2916"/>
      <c r="T64" s="2916"/>
      <c r="U64" s="2916"/>
      <c r="V64" s="2916"/>
      <c r="W64" s="2916"/>
      <c r="X64" s="2916"/>
      <c r="Y64" s="2916"/>
      <c r="Z64" s="2916"/>
      <c r="AA64" s="2916"/>
      <c r="AB64" s="2916"/>
      <c r="AC64" s="2916"/>
    </row>
    <row r="65" spans="1:29" ht="15.75" thickBot="1">
      <c r="A65" s="491"/>
      <c r="B65" s="492"/>
      <c r="C65" s="493">
        <v>100</v>
      </c>
      <c r="D65" s="493"/>
      <c r="E65" s="493"/>
      <c r="F65" s="493"/>
      <c r="G65" s="493"/>
      <c r="H65" s="493"/>
      <c r="I65" s="493"/>
      <c r="J65" s="493"/>
      <c r="K65" s="493"/>
      <c r="L65" s="493"/>
      <c r="M65" s="494"/>
      <c r="N65" s="2945"/>
      <c r="O65" s="2945"/>
      <c r="P65" s="2953"/>
      <c r="Q65" s="2930"/>
      <c r="R65" s="2916"/>
      <c r="S65" s="2916"/>
      <c r="T65" s="2916"/>
      <c r="U65" s="2916"/>
      <c r="V65" s="2916"/>
      <c r="W65" s="2916"/>
      <c r="X65" s="2916"/>
      <c r="Y65" s="2916"/>
      <c r="Z65" s="2916"/>
      <c r="AA65" s="2916"/>
      <c r="AB65" s="2916"/>
      <c r="AC65" s="2916"/>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44"/>
      <c r="O66" s="2944"/>
      <c r="P66" s="2953"/>
      <c r="Q66" s="2930"/>
      <c r="R66" s="2916"/>
      <c r="S66" s="2916"/>
      <c r="T66" s="2916"/>
      <c r="U66" s="2916"/>
      <c r="V66" s="2916"/>
      <c r="W66" s="2916"/>
      <c r="X66" s="2916"/>
      <c r="Y66" s="2916"/>
      <c r="Z66" s="2916"/>
      <c r="AA66" s="2916"/>
      <c r="AB66" s="2916"/>
      <c r="AC66" s="291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5"/>
      <c r="O67" s="2945"/>
      <c r="P67" s="2953"/>
      <c r="Q67" s="2930"/>
      <c r="R67" s="2916"/>
      <c r="S67" s="2916"/>
      <c r="T67" s="2916"/>
      <c r="U67" s="2916"/>
      <c r="V67" s="2916"/>
      <c r="W67" s="2916"/>
      <c r="X67" s="2916"/>
      <c r="Y67" s="2916"/>
      <c r="Z67" s="2916"/>
      <c r="AA67" s="2916"/>
      <c r="AB67" s="2916"/>
      <c r="AC67" s="2916"/>
    </row>
    <row r="68" spans="1:29" ht="15.75" thickTop="1">
      <c r="A68" s="491"/>
      <c r="B68" s="503" t="s">
        <v>2317</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5"/>
      <c r="O68" s="2945"/>
      <c r="P68" s="2953"/>
      <c r="Q68" s="2930"/>
      <c r="R68" s="2916"/>
      <c r="S68" s="2916"/>
      <c r="T68" s="2916"/>
      <c r="U68" s="2916"/>
      <c r="V68" s="2916"/>
      <c r="W68" s="2916"/>
      <c r="X68" s="2916"/>
      <c r="Y68" s="2916"/>
      <c r="Z68" s="2916"/>
      <c r="AA68" s="2916"/>
      <c r="AB68" s="2916"/>
      <c r="AC68" s="2916"/>
    </row>
    <row r="69" spans="1:29" ht="15">
      <c r="A69" s="491"/>
      <c r="B69" s="505"/>
      <c r="C69" s="506">
        <v>0</v>
      </c>
      <c r="D69" s="506">
        <v>1</v>
      </c>
      <c r="E69" s="506">
        <v>2</v>
      </c>
      <c r="F69" s="506">
        <v>3</v>
      </c>
      <c r="G69" s="506"/>
      <c r="H69" s="506"/>
      <c r="I69" s="506"/>
      <c r="J69" s="506"/>
      <c r="K69" s="507"/>
      <c r="L69" s="508"/>
      <c r="M69" s="509"/>
      <c r="N69" s="2944"/>
      <c r="O69" s="2944"/>
      <c r="P69" s="2953"/>
      <c r="Q69" s="2930"/>
      <c r="R69" s="2916"/>
      <c r="S69" s="2916"/>
      <c r="T69" s="2916"/>
      <c r="U69" s="2916"/>
      <c r="V69" s="2916"/>
      <c r="W69" s="2916"/>
      <c r="X69" s="2916"/>
      <c r="Y69" s="2916"/>
      <c r="Z69" s="2916"/>
      <c r="AA69" s="2916"/>
      <c r="AB69" s="2916"/>
      <c r="AC69" s="291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5"/>
      <c r="O70" s="2945"/>
      <c r="P70" s="2953"/>
      <c r="Q70" s="2930"/>
      <c r="R70" s="2916"/>
      <c r="S70" s="2916"/>
      <c r="T70" s="2916"/>
      <c r="U70" s="2916"/>
      <c r="V70" s="2916"/>
      <c r="W70" s="2916"/>
      <c r="X70" s="2916"/>
      <c r="Y70" s="2916"/>
      <c r="Z70" s="2916"/>
      <c r="AA70" s="2916"/>
      <c r="AB70" s="2916"/>
      <c r="AC70" s="2916"/>
    </row>
    <row r="71" spans="1:29" s="430" customFormat="1" ht="15.75" thickTop="1">
      <c r="A71" s="510"/>
      <c r="B71" s="495">
        <f>B12</f>
        <v>111</v>
      </c>
      <c r="C71" s="511"/>
      <c r="D71" s="511"/>
      <c r="E71" s="511"/>
      <c r="F71" s="511"/>
      <c r="G71" s="511"/>
      <c r="H71" s="512"/>
      <c r="I71" s="512"/>
      <c r="J71" s="512"/>
      <c r="K71" s="512"/>
      <c r="L71" s="513"/>
      <c r="M71" s="514"/>
      <c r="N71" s="2946"/>
      <c r="O71" s="2946"/>
      <c r="P71" s="2954"/>
      <c r="Q71" s="2937"/>
      <c r="R71" s="2938"/>
      <c r="S71" s="2938"/>
      <c r="T71" s="2938"/>
      <c r="U71" s="2938"/>
      <c r="V71" s="2938"/>
      <c r="W71" s="2938"/>
      <c r="X71" s="2938"/>
      <c r="Y71" s="2938"/>
      <c r="Z71" s="2938"/>
      <c r="AA71" s="2938"/>
      <c r="AB71" s="2938"/>
      <c r="AC71" s="2938"/>
    </row>
    <row r="72" spans="1:29" s="430" customFormat="1" ht="15.75" thickBot="1">
      <c r="A72" s="510"/>
      <c r="B72" s="500"/>
      <c r="C72" s="517"/>
      <c r="D72" s="493"/>
      <c r="E72" s="493"/>
      <c r="F72" s="493"/>
      <c r="G72" s="493"/>
      <c r="H72" s="493"/>
      <c r="I72" s="493"/>
      <c r="J72" s="493"/>
      <c r="K72" s="493"/>
      <c r="L72" s="493"/>
      <c r="M72" s="494"/>
      <c r="N72" s="2945"/>
      <c r="O72" s="2945"/>
      <c r="P72" s="2954"/>
      <c r="Q72" s="2937"/>
      <c r="R72" s="2938"/>
      <c r="S72" s="2938"/>
      <c r="T72" s="2938"/>
      <c r="U72" s="2938"/>
      <c r="V72" s="2938"/>
      <c r="W72" s="2938"/>
      <c r="X72" s="2938"/>
      <c r="Y72" s="2938"/>
      <c r="Z72" s="2938"/>
      <c r="AA72" s="2938"/>
      <c r="AB72" s="2938"/>
      <c r="AC72" s="2938"/>
    </row>
    <row r="73" spans="1:29" s="430" customFormat="1" ht="15.75" thickTop="1">
      <c r="A73" s="510"/>
      <c r="B73" s="495">
        <f>B13</f>
        <v>111</v>
      </c>
      <c r="C73" s="511"/>
      <c r="D73" s="511"/>
      <c r="E73" s="511"/>
      <c r="F73" s="511"/>
      <c r="G73" s="511"/>
      <c r="H73" s="512"/>
      <c r="I73" s="512"/>
      <c r="J73" s="512"/>
      <c r="K73" s="512"/>
      <c r="L73" s="513"/>
      <c r="M73" s="514"/>
      <c r="N73" s="2946"/>
      <c r="O73" s="2946"/>
      <c r="P73" s="2955"/>
      <c r="Q73" s="2940"/>
      <c r="R73" s="2938"/>
      <c r="S73" s="2938"/>
      <c r="T73" s="2938"/>
      <c r="U73" s="2938"/>
      <c r="V73" s="2938"/>
      <c r="W73" s="2938"/>
      <c r="X73" s="2938"/>
      <c r="Y73" s="2938"/>
      <c r="Z73" s="2938"/>
      <c r="AA73" s="2938"/>
      <c r="AB73" s="2938"/>
      <c r="AC73" s="2938"/>
    </row>
    <row r="74" spans="1:29" s="430" customFormat="1" ht="15.75" thickBot="1">
      <c r="A74" s="510"/>
      <c r="B74" s="500"/>
      <c r="C74" s="517"/>
      <c r="D74" s="517"/>
      <c r="E74" s="517"/>
      <c r="F74" s="517"/>
      <c r="G74" s="517"/>
      <c r="H74" s="519"/>
      <c r="I74" s="519"/>
      <c r="J74" s="519"/>
      <c r="K74" s="519"/>
      <c r="L74" s="519"/>
      <c r="M74" s="520"/>
      <c r="N74" s="2946"/>
      <c r="O74" s="2946"/>
      <c r="P74" s="2954"/>
      <c r="Q74" s="2937"/>
      <c r="R74" s="2938"/>
      <c r="S74" s="2938"/>
      <c r="T74" s="2938"/>
      <c r="U74" s="2938"/>
      <c r="V74" s="2938"/>
      <c r="W74" s="2938"/>
      <c r="X74" s="2938"/>
      <c r="Y74" s="2938"/>
      <c r="Z74" s="2938"/>
      <c r="AA74" s="2938"/>
      <c r="AB74" s="2938"/>
      <c r="AC74" s="2938"/>
    </row>
    <row r="75" spans="1:29" s="430" customFormat="1" ht="15.75" thickTop="1">
      <c r="A75" s="510"/>
      <c r="B75" s="503">
        <f>B14</f>
        <v>111</v>
      </c>
      <c r="C75" s="480"/>
      <c r="D75" s="480"/>
      <c r="E75" s="480"/>
      <c r="F75" s="480"/>
      <c r="G75" s="480"/>
      <c r="H75" s="521"/>
      <c r="I75" s="521"/>
      <c r="J75" s="521"/>
      <c r="K75" s="521"/>
      <c r="L75" s="522"/>
      <c r="M75" s="523"/>
      <c r="N75" s="2946"/>
      <c r="O75" s="2946"/>
      <c r="P75" s="2956"/>
      <c r="Q75" s="2937"/>
      <c r="R75" s="2938"/>
      <c r="S75" s="2938"/>
      <c r="T75" s="2938"/>
      <c r="U75" s="2938"/>
      <c r="V75" s="2938"/>
      <c r="W75" s="2938"/>
      <c r="X75" s="2938"/>
      <c r="Y75" s="2938"/>
      <c r="Z75" s="2938"/>
      <c r="AA75" s="2938"/>
      <c r="AB75" s="2938"/>
      <c r="AC75" s="2938"/>
    </row>
    <row r="76" spans="1:29" s="430" customFormat="1" ht="15.75" thickBot="1">
      <c r="A76" s="525"/>
      <c r="B76" s="526"/>
      <c r="C76" s="527"/>
      <c r="D76" s="527"/>
      <c r="E76" s="527"/>
      <c r="F76" s="527"/>
      <c r="G76" s="527"/>
      <c r="H76" s="528"/>
      <c r="I76" s="528"/>
      <c r="J76" s="528"/>
      <c r="K76" s="528"/>
      <c r="L76" s="528"/>
      <c r="M76" s="529"/>
      <c r="N76" s="2946"/>
      <c r="O76" s="2946"/>
      <c r="P76" s="2954"/>
      <c r="Q76" s="2937"/>
      <c r="R76" s="2938"/>
      <c r="S76" s="2938"/>
      <c r="T76" s="2938"/>
      <c r="U76" s="2938"/>
      <c r="V76" s="2938"/>
      <c r="W76" s="2938"/>
      <c r="X76" s="2938"/>
      <c r="Y76" s="2938"/>
      <c r="Z76" s="2938"/>
      <c r="AA76" s="2938"/>
      <c r="AB76" s="2938"/>
      <c r="AC76" s="2938"/>
    </row>
    <row r="77" spans="1:29">
      <c r="A77" s="484" t="s">
        <v>2318</v>
      </c>
      <c r="B77" s="485" t="s">
        <v>2456</v>
      </c>
      <c r="C77" s="530" t="s">
        <v>2356</v>
      </c>
      <c r="D77" s="530" t="s">
        <v>2357</v>
      </c>
      <c r="E77" s="530" t="s">
        <v>2358</v>
      </c>
      <c r="F77" s="530" t="s">
        <v>2359</v>
      </c>
      <c r="G77" s="530" t="s">
        <v>2360</v>
      </c>
      <c r="H77" s="486"/>
      <c r="I77" s="486"/>
      <c r="J77" s="486"/>
      <c r="K77" s="531"/>
      <c r="L77" s="532"/>
      <c r="M77" s="533"/>
      <c r="N77" s="2944"/>
      <c r="O77" s="2944"/>
      <c r="P77" s="2957"/>
      <c r="Q77" s="2930"/>
      <c r="R77" s="2916"/>
      <c r="S77" s="2916"/>
      <c r="T77" s="2916"/>
      <c r="U77" s="2916"/>
      <c r="V77" s="2916"/>
      <c r="W77" s="2916"/>
      <c r="X77" s="2916"/>
      <c r="Y77" s="2916"/>
      <c r="Z77" s="2916"/>
      <c r="AA77" s="2916"/>
      <c r="AB77" s="2916"/>
      <c r="AC77" s="2916"/>
    </row>
    <row r="78" spans="1:29" ht="15.75" thickBot="1">
      <c r="A78" s="491"/>
      <c r="B78" s="500"/>
      <c r="C78" s="501">
        <v>100</v>
      </c>
      <c r="D78" s="501">
        <f>C78-$K15</f>
        <v>98</v>
      </c>
      <c r="E78" s="501">
        <f>D78-$K15</f>
        <v>96</v>
      </c>
      <c r="F78" s="501">
        <f>E78-$K15</f>
        <v>94</v>
      </c>
      <c r="G78" s="501">
        <f>F78-$K15</f>
        <v>92</v>
      </c>
      <c r="H78" s="501"/>
      <c r="I78" s="501"/>
      <c r="J78" s="501"/>
      <c r="K78" s="501"/>
      <c r="L78" s="501"/>
      <c r="M78" s="502"/>
      <c r="N78" s="2945"/>
      <c r="O78" s="2945"/>
      <c r="P78" s="2953"/>
      <c r="Q78" s="2930"/>
      <c r="R78" s="2916"/>
      <c r="S78" s="2916"/>
      <c r="T78" s="2916"/>
      <c r="U78" s="2916"/>
      <c r="V78" s="2916"/>
      <c r="W78" s="2916"/>
      <c r="X78" s="2916"/>
      <c r="Y78" s="2916"/>
      <c r="Z78" s="2916"/>
      <c r="AA78" s="2916"/>
      <c r="AB78" s="2916"/>
      <c r="AC78" s="2916"/>
    </row>
    <row r="79" spans="1:29" ht="15.75" thickTop="1">
      <c r="A79" s="491"/>
      <c r="B79" s="495" t="s">
        <v>2361</v>
      </c>
      <c r="C79" s="535" t="s">
        <v>2356</v>
      </c>
      <c r="D79" s="535" t="s">
        <v>2357</v>
      </c>
      <c r="E79" s="535" t="s">
        <v>2358</v>
      </c>
      <c r="F79" s="535" t="s">
        <v>2359</v>
      </c>
      <c r="G79" s="535" t="s">
        <v>2360</v>
      </c>
      <c r="H79" s="496"/>
      <c r="I79" s="496"/>
      <c r="J79" s="496"/>
      <c r="K79" s="497"/>
      <c r="L79" s="498"/>
      <c r="M79" s="499"/>
      <c r="N79" s="2944"/>
      <c r="O79" s="2944"/>
      <c r="P79" s="2953"/>
      <c r="Q79" s="2930"/>
      <c r="R79" s="2916"/>
      <c r="S79" s="2916"/>
      <c r="T79" s="2916"/>
      <c r="U79" s="2916"/>
      <c r="V79" s="2916"/>
      <c r="W79" s="2916"/>
      <c r="X79" s="2916"/>
      <c r="Y79" s="2916"/>
      <c r="Z79" s="2916"/>
      <c r="AA79" s="2916"/>
      <c r="AB79" s="2916"/>
      <c r="AC79" s="2916"/>
    </row>
    <row r="80" spans="1:29" ht="15.75" thickBot="1">
      <c r="A80" s="491"/>
      <c r="B80" s="500"/>
      <c r="C80" s="501">
        <v>100</v>
      </c>
      <c r="D80" s="501">
        <f>C80-$K17</f>
        <v>98</v>
      </c>
      <c r="E80" s="501">
        <f>D80-$K17</f>
        <v>96</v>
      </c>
      <c r="F80" s="501">
        <f>E80-$K17</f>
        <v>94</v>
      </c>
      <c r="G80" s="501">
        <f>F80-$K17</f>
        <v>92</v>
      </c>
      <c r="H80" s="501"/>
      <c r="I80" s="501"/>
      <c r="J80" s="501"/>
      <c r="K80" s="501"/>
      <c r="L80" s="501"/>
      <c r="M80" s="502"/>
      <c r="N80" s="2945"/>
      <c r="O80" s="2945"/>
      <c r="P80" s="2953"/>
      <c r="Q80" s="2930"/>
      <c r="R80" s="2916"/>
      <c r="S80" s="2916"/>
      <c r="T80" s="2916"/>
      <c r="U80" s="2916"/>
      <c r="V80" s="2916"/>
      <c r="W80" s="2916"/>
      <c r="X80" s="2916"/>
      <c r="Y80" s="2916"/>
      <c r="Z80" s="2916"/>
      <c r="AA80" s="2916"/>
      <c r="AB80" s="2916"/>
      <c r="AC80" s="2916"/>
    </row>
    <row r="81" spans="1:29" ht="15.75" thickTop="1">
      <c r="A81" s="491"/>
      <c r="B81" s="495" t="s">
        <v>2362</v>
      </c>
      <c r="C81" s="535" t="s">
        <v>2356</v>
      </c>
      <c r="D81" s="535" t="s">
        <v>2357</v>
      </c>
      <c r="E81" s="535" t="s">
        <v>2358</v>
      </c>
      <c r="F81" s="535" t="s">
        <v>2359</v>
      </c>
      <c r="G81" s="535" t="s">
        <v>2360</v>
      </c>
      <c r="H81" s="496"/>
      <c r="I81" s="496"/>
      <c r="J81" s="496"/>
      <c r="K81" s="497"/>
      <c r="L81" s="498"/>
      <c r="M81" s="499"/>
      <c r="N81" s="2944"/>
      <c r="O81" s="2944"/>
      <c r="P81" s="2953"/>
      <c r="Q81" s="2930"/>
      <c r="R81" s="2916"/>
      <c r="S81" s="2916"/>
      <c r="T81" s="2916"/>
      <c r="U81" s="2916"/>
      <c r="V81" s="2916"/>
      <c r="W81" s="2916"/>
      <c r="X81" s="2916"/>
      <c r="Y81" s="2916"/>
      <c r="Z81" s="2916"/>
      <c r="AA81" s="2916"/>
      <c r="AB81" s="2916"/>
      <c r="AC81" s="2916"/>
    </row>
    <row r="82" spans="1:29" ht="15.75" thickBot="1">
      <c r="A82" s="491"/>
      <c r="B82" s="500"/>
      <c r="C82" s="501">
        <v>100</v>
      </c>
      <c r="D82" s="501">
        <f>C82-$K19</f>
        <v>98</v>
      </c>
      <c r="E82" s="501">
        <f>D82-$K19</f>
        <v>96</v>
      </c>
      <c r="F82" s="501">
        <f>E82-$K19</f>
        <v>94</v>
      </c>
      <c r="G82" s="501">
        <f>F82-$K19</f>
        <v>92</v>
      </c>
      <c r="H82" s="501"/>
      <c r="I82" s="501"/>
      <c r="J82" s="501"/>
      <c r="K82" s="501"/>
      <c r="L82" s="501"/>
      <c r="M82" s="502"/>
      <c r="N82" s="2945"/>
      <c r="O82" s="2945"/>
      <c r="P82" s="2953"/>
      <c r="Q82" s="2930"/>
      <c r="R82" s="2916"/>
      <c r="S82" s="2916"/>
      <c r="T82" s="2916"/>
      <c r="U82" s="2916"/>
      <c r="V82" s="2916"/>
      <c r="W82" s="2916"/>
      <c r="X82" s="2916"/>
      <c r="Y82" s="2916"/>
      <c r="Z82" s="2916"/>
      <c r="AA82" s="2916"/>
      <c r="AB82" s="2916"/>
      <c r="AC82" s="2916"/>
    </row>
    <row r="83" spans="1:29" ht="15.75" thickTop="1">
      <c r="A83" s="491"/>
      <c r="B83" s="503" t="s">
        <v>2448</v>
      </c>
      <c r="C83" s="616" t="s">
        <v>2434</v>
      </c>
      <c r="D83" s="616" t="s">
        <v>2435</v>
      </c>
      <c r="E83" s="616" t="s">
        <v>2436</v>
      </c>
      <c r="F83" s="616" t="s">
        <v>2437</v>
      </c>
      <c r="G83" s="616" t="s">
        <v>2438</v>
      </c>
      <c r="H83" s="496"/>
      <c r="I83" s="496"/>
      <c r="J83" s="496"/>
      <c r="K83" s="496"/>
      <c r="L83" s="496"/>
      <c r="M83" s="1259"/>
      <c r="N83" s="2945"/>
      <c r="O83" s="2945"/>
      <c r="P83" s="2953"/>
      <c r="Q83" s="2930"/>
      <c r="R83" s="2916"/>
      <c r="S83" s="2916"/>
      <c r="T83" s="2916"/>
      <c r="U83" s="2916"/>
      <c r="V83" s="2916"/>
      <c r="W83" s="2916"/>
      <c r="X83" s="2916"/>
      <c r="Y83" s="2916"/>
      <c r="Z83" s="2916"/>
      <c r="AA83" s="2916"/>
      <c r="AB83" s="2916"/>
      <c r="AC83" s="2916"/>
    </row>
    <row r="84" spans="1:29" ht="15.75" thickBot="1">
      <c r="A84" s="491"/>
      <c r="B84" s="503"/>
      <c r="C84" s="501">
        <v>100</v>
      </c>
      <c r="D84" s="501">
        <f>C84-$K21</f>
        <v>98</v>
      </c>
      <c r="E84" s="501">
        <f>D84-$K21</f>
        <v>96</v>
      </c>
      <c r="F84" s="501">
        <f>E84-$K21</f>
        <v>94</v>
      </c>
      <c r="G84" s="501">
        <f>F84-$K21</f>
        <v>92</v>
      </c>
      <c r="H84" s="616"/>
      <c r="I84" s="616"/>
      <c r="J84" s="616"/>
      <c r="K84" s="616"/>
      <c r="L84" s="616"/>
      <c r="M84" s="409"/>
      <c r="N84" s="2945"/>
      <c r="O84" s="2945"/>
      <c r="P84" s="2953"/>
      <c r="Q84" s="2930"/>
      <c r="R84" s="2916"/>
      <c r="S84" s="2916"/>
      <c r="T84" s="2916"/>
      <c r="U84" s="2916"/>
      <c r="V84" s="2916"/>
      <c r="W84" s="2916"/>
      <c r="X84" s="2916"/>
      <c r="Y84" s="2916"/>
      <c r="Z84" s="2916"/>
      <c r="AA84" s="2916"/>
      <c r="AB84" s="2916"/>
      <c r="AC84" s="2916"/>
    </row>
    <row r="85" spans="1:29" ht="15.75" thickTop="1">
      <c r="A85" s="491"/>
      <c r="B85" s="495" t="s">
        <v>2457</v>
      </c>
      <c r="C85" s="535" t="s">
        <v>2356</v>
      </c>
      <c r="D85" s="535" t="s">
        <v>2357</v>
      </c>
      <c r="E85" s="535" t="s">
        <v>2358</v>
      </c>
      <c r="F85" s="535" t="s">
        <v>2359</v>
      </c>
      <c r="G85" s="535" t="s">
        <v>2360</v>
      </c>
      <c r="H85" s="496"/>
      <c r="I85" s="496"/>
      <c r="J85" s="496"/>
      <c r="K85" s="497"/>
      <c r="L85" s="498"/>
      <c r="M85" s="499"/>
      <c r="N85" s="2944"/>
      <c r="O85" s="2944"/>
      <c r="P85" s="2953"/>
      <c r="Q85" s="2930"/>
      <c r="R85" s="2916"/>
      <c r="S85" s="2916"/>
      <c r="T85" s="2916"/>
      <c r="U85" s="2916"/>
      <c r="V85" s="2916"/>
      <c r="W85" s="2916"/>
      <c r="X85" s="2916"/>
      <c r="Y85" s="2916"/>
      <c r="Z85" s="2916"/>
      <c r="AA85" s="2916"/>
      <c r="AB85" s="2916"/>
      <c r="AC85" s="2916"/>
    </row>
    <row r="86" spans="1:29" ht="15.75" thickBot="1">
      <c r="A86" s="491"/>
      <c r="B86" s="500"/>
      <c r="C86" s="501">
        <v>100</v>
      </c>
      <c r="D86" s="501">
        <f>C86-$K23</f>
        <v>98</v>
      </c>
      <c r="E86" s="501">
        <f>D86-$K23</f>
        <v>96</v>
      </c>
      <c r="F86" s="501">
        <f>E86-$K23</f>
        <v>94</v>
      </c>
      <c r="G86" s="501">
        <f>F86-$K23</f>
        <v>92</v>
      </c>
      <c r="H86" s="501"/>
      <c r="I86" s="501"/>
      <c r="J86" s="501"/>
      <c r="K86" s="501"/>
      <c r="L86" s="501"/>
      <c r="M86" s="502"/>
      <c r="N86" s="2945"/>
      <c r="O86" s="2945"/>
      <c r="P86" s="2953"/>
      <c r="Q86" s="2930"/>
      <c r="R86" s="2916"/>
      <c r="S86" s="2916"/>
      <c r="T86" s="2916"/>
      <c r="U86" s="2916"/>
      <c r="V86" s="2916"/>
      <c r="W86" s="2916"/>
      <c r="X86" s="2916"/>
      <c r="Y86" s="2916"/>
      <c r="Z86" s="2916"/>
      <c r="AA86" s="2916"/>
      <c r="AB86" s="2916"/>
      <c r="AC86" s="2916"/>
    </row>
    <row r="87" spans="1:29" s="113" customFormat="1" ht="27.75" thickTop="1">
      <c r="A87" s="536"/>
      <c r="B87" s="495" t="s">
        <v>2458</v>
      </c>
      <c r="C87" s="511"/>
      <c r="D87" s="511"/>
      <c r="E87" s="511"/>
      <c r="F87" s="511"/>
      <c r="G87" s="511"/>
      <c r="H87" s="511"/>
      <c r="I87" s="511"/>
      <c r="J87" s="511"/>
      <c r="K87" s="511"/>
      <c r="L87" s="537"/>
      <c r="M87" s="538"/>
      <c r="N87" s="2943"/>
      <c r="O87" s="2943"/>
      <c r="P87" s="2953"/>
      <c r="Q87" s="2930"/>
      <c r="R87" s="2850"/>
      <c r="S87" s="2850"/>
      <c r="T87" s="2850"/>
      <c r="U87" s="2850"/>
      <c r="V87" s="2850"/>
      <c r="W87" s="2850"/>
      <c r="X87" s="2850"/>
      <c r="Y87" s="2850"/>
      <c r="Z87" s="2850"/>
      <c r="AA87" s="2850"/>
      <c r="AB87" s="2850"/>
      <c r="AC87" s="285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5"/>
      <c r="O88" s="2945"/>
      <c r="P88" s="2953"/>
      <c r="Q88" s="2930"/>
      <c r="R88" s="2850"/>
      <c r="S88" s="2850"/>
      <c r="T88" s="2850"/>
      <c r="U88" s="2850"/>
      <c r="V88" s="2850"/>
      <c r="W88" s="2850"/>
      <c r="X88" s="2850"/>
      <c r="Y88" s="2850"/>
      <c r="Z88" s="2850"/>
      <c r="AA88" s="2850"/>
      <c r="AB88" s="2850"/>
      <c r="AC88" s="2850"/>
    </row>
    <row r="89" spans="1:29" s="113" customFormat="1" ht="15.75" thickTop="1">
      <c r="A89" s="536"/>
      <c r="B89" s="495" t="str">
        <f>B27</f>
        <v>楼层</v>
      </c>
      <c r="C89" s="511"/>
      <c r="D89" s="511"/>
      <c r="E89" s="511"/>
      <c r="F89" s="2076"/>
      <c r="G89" s="511"/>
      <c r="H89" s="511"/>
      <c r="I89" s="511"/>
      <c r="J89" s="511"/>
      <c r="K89" s="511"/>
      <c r="L89" s="511"/>
      <c r="M89" s="538"/>
      <c r="N89" s="2943"/>
      <c r="O89" s="2943"/>
      <c r="P89" s="2953"/>
      <c r="Q89" s="2930"/>
      <c r="R89" s="2850"/>
      <c r="S89" s="2850"/>
      <c r="T89" s="2850"/>
      <c r="U89" s="2850"/>
      <c r="V89" s="2850"/>
      <c r="W89" s="2850"/>
      <c r="X89" s="2850"/>
      <c r="Y89" s="2850"/>
      <c r="Z89" s="2850"/>
      <c r="AA89" s="2850"/>
      <c r="AB89" s="2850"/>
      <c r="AC89" s="285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5"/>
      <c r="O90" s="2945"/>
      <c r="P90" s="2953"/>
      <c r="Q90" s="2930"/>
      <c r="R90" s="2850"/>
      <c r="S90" s="2850"/>
      <c r="T90" s="2850"/>
      <c r="U90" s="2850"/>
      <c r="V90" s="2850"/>
      <c r="W90" s="2850"/>
      <c r="X90" s="2850"/>
      <c r="Y90" s="2850"/>
      <c r="Z90" s="2850"/>
      <c r="AA90" s="2850"/>
      <c r="AB90" s="2850"/>
      <c r="AC90" s="2850"/>
    </row>
    <row r="91" spans="1:29" s="430" customFormat="1" ht="15.75" thickTop="1">
      <c r="A91" s="510"/>
      <c r="B91" s="495" t="str">
        <f>B28</f>
        <v>朝向</v>
      </c>
      <c r="C91" s="511"/>
      <c r="D91" s="511"/>
      <c r="E91" s="511"/>
      <c r="F91" s="511"/>
      <c r="G91" s="511"/>
      <c r="H91" s="512"/>
      <c r="I91" s="512"/>
      <c r="J91" s="512"/>
      <c r="K91" s="512"/>
      <c r="L91" s="513"/>
      <c r="M91" s="514"/>
      <c r="N91" s="2946"/>
      <c r="O91" s="2946"/>
      <c r="P91" s="2954"/>
      <c r="Q91" s="2937"/>
      <c r="R91" s="2938"/>
      <c r="S91" s="2938"/>
      <c r="T91" s="2938"/>
      <c r="U91" s="2938"/>
      <c r="V91" s="2938"/>
      <c r="W91" s="2938"/>
      <c r="X91" s="2938"/>
      <c r="Y91" s="2938"/>
      <c r="Z91" s="2938"/>
      <c r="AA91" s="2938"/>
      <c r="AB91" s="2938"/>
      <c r="AC91" s="293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6"/>
      <c r="O92" s="2946"/>
      <c r="P92" s="2954"/>
      <c r="Q92" s="2937"/>
      <c r="R92" s="2938"/>
      <c r="S92" s="2938"/>
      <c r="T92" s="2938"/>
      <c r="U92" s="2938"/>
      <c r="V92" s="2938"/>
      <c r="W92" s="2938"/>
      <c r="X92" s="2938"/>
      <c r="Y92" s="2938"/>
      <c r="Z92" s="2938"/>
      <c r="AA92" s="2938"/>
      <c r="AB92" s="2938"/>
      <c r="AC92" s="2938"/>
    </row>
    <row r="93" spans="1:29" ht="15.75" thickTop="1">
      <c r="A93" s="491"/>
      <c r="B93" s="495">
        <f>B29</f>
        <v>111</v>
      </c>
      <c r="C93" s="511"/>
      <c r="D93" s="511"/>
      <c r="E93" s="511"/>
      <c r="F93" s="511"/>
      <c r="G93" s="511"/>
      <c r="H93" s="511"/>
      <c r="I93" s="511"/>
      <c r="J93" s="511"/>
      <c r="K93" s="511"/>
      <c r="L93" s="537"/>
      <c r="M93" s="538"/>
      <c r="N93" s="2944"/>
      <c r="O93" s="2944"/>
      <c r="P93" s="2953"/>
      <c r="Q93" s="2930"/>
      <c r="R93" s="2916"/>
      <c r="S93" s="2916"/>
      <c r="T93" s="2916"/>
      <c r="U93" s="2916"/>
      <c r="V93" s="2916"/>
      <c r="W93" s="2916"/>
      <c r="X93" s="2916"/>
      <c r="Y93" s="2916"/>
      <c r="Z93" s="2916"/>
      <c r="AA93" s="2916"/>
      <c r="AB93" s="2916"/>
      <c r="AC93" s="2916"/>
    </row>
    <row r="94" spans="1:29" ht="15.75" thickBot="1">
      <c r="A94" s="491"/>
      <c r="B94" s="500"/>
      <c r="C94" s="517"/>
      <c r="D94" s="493"/>
      <c r="E94" s="493"/>
      <c r="F94" s="493"/>
      <c r="G94" s="493"/>
      <c r="H94" s="493"/>
      <c r="I94" s="493"/>
      <c r="J94" s="493"/>
      <c r="K94" s="493"/>
      <c r="L94" s="493"/>
      <c r="M94" s="494"/>
      <c r="N94" s="2945"/>
      <c r="O94" s="2945"/>
      <c r="P94" s="2953"/>
      <c r="Q94" s="2930"/>
      <c r="R94" s="2916"/>
      <c r="S94" s="2916"/>
      <c r="T94" s="2916"/>
      <c r="U94" s="2916"/>
      <c r="V94" s="2916"/>
      <c r="W94" s="2916"/>
      <c r="X94" s="2916"/>
      <c r="Y94" s="2916"/>
      <c r="Z94" s="2916"/>
      <c r="AA94" s="2916"/>
      <c r="AB94" s="2916"/>
      <c r="AC94" s="2916"/>
    </row>
    <row r="95" spans="1:29" ht="15.75" thickTop="1">
      <c r="A95" s="491"/>
      <c r="B95" s="495">
        <f>B30</f>
        <v>111</v>
      </c>
      <c r="C95" s="511"/>
      <c r="D95" s="511"/>
      <c r="E95" s="511"/>
      <c r="F95" s="511"/>
      <c r="G95" s="540"/>
      <c r="H95" s="540"/>
      <c r="I95" s="540"/>
      <c r="J95" s="540"/>
      <c r="K95" s="541"/>
      <c r="L95" s="542"/>
      <c r="M95" s="543"/>
      <c r="N95" s="2944"/>
      <c r="O95" s="2944"/>
      <c r="P95" s="2953"/>
      <c r="Q95" s="2930"/>
      <c r="R95" s="2916"/>
      <c r="S95" s="2916"/>
      <c r="T95" s="2916"/>
      <c r="U95" s="2916"/>
      <c r="V95" s="2916"/>
      <c r="W95" s="2916"/>
      <c r="X95" s="2916"/>
      <c r="Y95" s="2916"/>
      <c r="Z95" s="2916"/>
      <c r="AA95" s="2916"/>
      <c r="AB95" s="2916"/>
      <c r="AC95" s="2916"/>
    </row>
    <row r="96" spans="1:29" ht="15.75" thickBot="1">
      <c r="A96" s="491"/>
      <c r="B96" s="500"/>
      <c r="C96" s="517"/>
      <c r="D96" s="517"/>
      <c r="E96" s="517"/>
      <c r="F96" s="517"/>
      <c r="G96" s="493"/>
      <c r="H96" s="493"/>
      <c r="I96" s="493"/>
      <c r="J96" s="493"/>
      <c r="K96" s="493"/>
      <c r="L96" s="493"/>
      <c r="M96" s="494"/>
      <c r="N96" s="2945"/>
      <c r="O96" s="2945"/>
      <c r="P96" s="2953"/>
      <c r="Q96" s="2930"/>
      <c r="R96" s="2916"/>
      <c r="S96" s="2916"/>
      <c r="T96" s="2916"/>
      <c r="U96" s="2916"/>
      <c r="V96" s="2916"/>
      <c r="W96" s="2916"/>
      <c r="X96" s="2916"/>
      <c r="Y96" s="2916"/>
      <c r="Z96" s="2916"/>
      <c r="AA96" s="2916"/>
      <c r="AB96" s="2916"/>
      <c r="AC96" s="2916"/>
    </row>
    <row r="97" spans="1:29" ht="15.75" thickTop="1">
      <c r="A97" s="491"/>
      <c r="B97" s="495">
        <f>B31</f>
        <v>111</v>
      </c>
      <c r="C97" s="511"/>
      <c r="D97" s="511"/>
      <c r="E97" s="511"/>
      <c r="F97" s="511"/>
      <c r="G97" s="540"/>
      <c r="H97" s="540"/>
      <c r="I97" s="540"/>
      <c r="J97" s="540"/>
      <c r="K97" s="541"/>
      <c r="L97" s="542"/>
      <c r="M97" s="543"/>
      <c r="N97" s="2944"/>
      <c r="O97" s="2944"/>
      <c r="P97" s="2953"/>
      <c r="Q97" s="2930"/>
      <c r="R97" s="2916"/>
      <c r="S97" s="2916"/>
      <c r="T97" s="2916"/>
      <c r="U97" s="2916"/>
      <c r="V97" s="2916"/>
      <c r="W97" s="2916"/>
      <c r="X97" s="2916"/>
      <c r="Y97" s="2916"/>
      <c r="Z97" s="2916"/>
      <c r="AA97" s="2916"/>
      <c r="AB97" s="2916"/>
      <c r="AC97" s="2916"/>
    </row>
    <row r="98" spans="1:29" ht="15.75" thickBot="1">
      <c r="A98" s="491"/>
      <c r="B98" s="500"/>
      <c r="C98" s="517"/>
      <c r="D98" s="493"/>
      <c r="E98" s="493"/>
      <c r="F98" s="493"/>
      <c r="G98" s="493"/>
      <c r="H98" s="493"/>
      <c r="I98" s="493"/>
      <c r="J98" s="493"/>
      <c r="K98" s="493"/>
      <c r="L98" s="493"/>
      <c r="M98" s="494"/>
      <c r="N98" s="2945"/>
      <c r="O98" s="2945"/>
      <c r="P98" s="2953"/>
      <c r="Q98" s="2930"/>
      <c r="R98" s="2916"/>
      <c r="S98" s="2916"/>
      <c r="T98" s="2916"/>
      <c r="U98" s="2916"/>
      <c r="V98" s="2916"/>
      <c r="W98" s="2916"/>
      <c r="X98" s="2916"/>
      <c r="Y98" s="2916"/>
      <c r="Z98" s="2916"/>
      <c r="AA98" s="2916"/>
      <c r="AB98" s="2916"/>
      <c r="AC98" s="2916"/>
    </row>
    <row r="99" spans="1:29" ht="15.75" thickTop="1">
      <c r="A99" s="491"/>
      <c r="B99" s="503">
        <f>B32</f>
        <v>111</v>
      </c>
      <c r="C99" s="480"/>
      <c r="D99" s="480"/>
      <c r="E99" s="480"/>
      <c r="F99" s="480"/>
      <c r="G99" s="544"/>
      <c r="H99" s="544"/>
      <c r="I99" s="544"/>
      <c r="J99" s="544"/>
      <c r="K99" s="545"/>
      <c r="L99" s="546"/>
      <c r="M99" s="547"/>
      <c r="N99" s="2944"/>
      <c r="O99" s="2944"/>
      <c r="P99" s="2953"/>
      <c r="Q99" s="2930"/>
      <c r="R99" s="2916"/>
      <c r="S99" s="2916"/>
      <c r="T99" s="2916"/>
      <c r="U99" s="2916"/>
      <c r="V99" s="2916"/>
      <c r="W99" s="2916"/>
      <c r="X99" s="2916"/>
      <c r="Y99" s="2916"/>
      <c r="Z99" s="2916"/>
      <c r="AA99" s="2916"/>
      <c r="AB99" s="2916"/>
      <c r="AC99" s="2916"/>
    </row>
    <row r="100" spans="1:29" ht="15.75" thickBot="1">
      <c r="A100" s="2077"/>
      <c r="B100" s="526"/>
      <c r="C100" s="527"/>
      <c r="D100" s="527"/>
      <c r="E100" s="527"/>
      <c r="F100" s="527"/>
      <c r="G100" s="548"/>
      <c r="H100" s="548"/>
      <c r="I100" s="548"/>
      <c r="J100" s="548"/>
      <c r="K100" s="548"/>
      <c r="L100" s="548"/>
      <c r="M100" s="549"/>
      <c r="N100" s="2945"/>
      <c r="O100" s="2945"/>
      <c r="P100" s="2953"/>
      <c r="Q100" s="2930"/>
      <c r="R100" s="2916"/>
      <c r="S100" s="2916"/>
      <c r="T100" s="2916"/>
      <c r="U100" s="2916"/>
      <c r="V100" s="2916"/>
      <c r="W100" s="2916"/>
      <c r="X100" s="2916"/>
      <c r="Y100" s="2916"/>
      <c r="Z100" s="2916"/>
      <c r="AA100" s="2916"/>
      <c r="AB100" s="2916"/>
      <c r="AC100" s="2916"/>
    </row>
    <row r="101" spans="1:29">
      <c r="A101" s="484" t="s">
        <v>2322</v>
      </c>
      <c r="B101" s="485" t="s">
        <v>2371</v>
      </c>
      <c r="C101" s="487"/>
      <c r="D101" s="487"/>
      <c r="E101" s="487"/>
      <c r="F101" s="487"/>
      <c r="G101" s="487"/>
      <c r="H101" s="487"/>
      <c r="I101" s="487"/>
      <c r="J101" s="487"/>
      <c r="K101" s="488"/>
      <c r="L101" s="489"/>
      <c r="M101" s="490"/>
      <c r="N101" s="2944"/>
      <c r="O101" s="2944"/>
      <c r="P101" s="2953"/>
      <c r="Q101" s="2930"/>
      <c r="R101" s="2916"/>
      <c r="S101" s="2916"/>
      <c r="T101" s="2916"/>
      <c r="U101" s="2916"/>
      <c r="V101" s="2916"/>
      <c r="W101" s="2916"/>
      <c r="X101" s="2916"/>
      <c r="Y101" s="2916"/>
      <c r="Z101" s="2916"/>
      <c r="AA101" s="2916"/>
      <c r="AB101" s="2916"/>
      <c r="AC101" s="291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5"/>
      <c r="O102" s="2945"/>
      <c r="P102" s="2953"/>
      <c r="Q102" s="2930"/>
      <c r="R102" s="2916"/>
      <c r="S102" s="2916"/>
      <c r="T102" s="2916"/>
      <c r="U102" s="2916"/>
      <c r="V102" s="2916"/>
      <c r="W102" s="2916"/>
      <c r="X102" s="2916"/>
      <c r="Y102" s="2916"/>
      <c r="Z102" s="2916"/>
      <c r="AA102" s="2916"/>
      <c r="AB102" s="2916"/>
      <c r="AC102" s="2916"/>
    </row>
    <row r="103" spans="1:29" ht="15.75" thickTop="1">
      <c r="A103" s="491"/>
      <c r="B103" s="495" t="s">
        <v>2372</v>
      </c>
      <c r="C103" s="535" t="str">
        <f>C104&amp;"(含)"&amp;"-"&amp;D104</f>
        <v>0(含)-100</v>
      </c>
      <c r="D103" s="535" t="str">
        <f t="shared" ref="D103:L103" si="23">D104&amp;"(含)"&amp;"-"&amp;E104</f>
        <v>100(含)-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3"/>
      <c r="O103" s="2943"/>
      <c r="P103" s="2953"/>
      <c r="Q103" s="2930"/>
      <c r="R103" s="2916"/>
      <c r="S103" s="2916"/>
      <c r="T103" s="2916"/>
      <c r="U103" s="2916"/>
      <c r="V103" s="2916"/>
      <c r="W103" s="2916"/>
      <c r="X103" s="2916"/>
      <c r="Y103" s="2916"/>
      <c r="Z103" s="2916"/>
      <c r="AA103" s="2916"/>
      <c r="AB103" s="2916"/>
      <c r="AC103" s="2916"/>
    </row>
    <row r="104" spans="1:29" s="430" customFormat="1">
      <c r="A104" s="550"/>
      <c r="B104" s="551"/>
      <c r="C104" s="552">
        <v>0</v>
      </c>
      <c r="D104" s="552">
        <v>100</v>
      </c>
      <c r="E104" s="552"/>
      <c r="F104" s="552"/>
      <c r="G104" s="552"/>
      <c r="H104" s="552"/>
      <c r="I104" s="552"/>
      <c r="J104" s="553"/>
      <c r="K104" s="553"/>
      <c r="L104" s="554"/>
      <c r="M104" s="555"/>
      <c r="N104" s="2946"/>
      <c r="O104" s="2946"/>
      <c r="P104" s="2954"/>
      <c r="Q104" s="2937"/>
      <c r="R104" s="2938"/>
      <c r="S104" s="2938"/>
      <c r="T104" s="2938"/>
      <c r="U104" s="2938"/>
      <c r="V104" s="2938"/>
      <c r="W104" s="2938"/>
      <c r="X104" s="2938"/>
      <c r="Y104" s="2938"/>
      <c r="Z104" s="2938"/>
      <c r="AA104" s="2938"/>
      <c r="AB104" s="2938"/>
      <c r="AC104" s="2938"/>
    </row>
    <row r="105" spans="1:29" s="430" customFormat="1" ht="15.75" thickBot="1">
      <c r="A105" s="510"/>
      <c r="B105" s="500"/>
      <c r="C105" s="517"/>
      <c r="D105" s="493"/>
      <c r="E105" s="493"/>
      <c r="F105" s="493"/>
      <c r="G105" s="493"/>
      <c r="H105" s="493"/>
      <c r="I105" s="493"/>
      <c r="J105" s="493"/>
      <c r="K105" s="493"/>
      <c r="L105" s="493"/>
      <c r="M105" s="494"/>
      <c r="N105" s="2945"/>
      <c r="O105" s="2945"/>
      <c r="P105" s="2954"/>
      <c r="Q105" s="2937"/>
      <c r="R105" s="2938"/>
      <c r="S105" s="2938"/>
      <c r="T105" s="2938"/>
      <c r="U105" s="2938"/>
      <c r="V105" s="2938"/>
      <c r="W105" s="2938"/>
      <c r="X105" s="2938"/>
      <c r="Y105" s="2938"/>
      <c r="Z105" s="2938"/>
      <c r="AA105" s="2938"/>
      <c r="AB105" s="2938"/>
      <c r="AC105" s="2938"/>
    </row>
    <row r="106" spans="1:29" ht="15" thickTop="1">
      <c r="A106" s="556"/>
      <c r="B106" s="495" t="s">
        <v>2373</v>
      </c>
      <c r="C106" s="511"/>
      <c r="D106" s="511"/>
      <c r="E106" s="540"/>
      <c r="F106" s="540"/>
      <c r="G106" s="540"/>
      <c r="H106" s="540"/>
      <c r="I106" s="540"/>
      <c r="J106" s="540"/>
      <c r="K106" s="541"/>
      <c r="L106" s="542"/>
      <c r="M106" s="543"/>
      <c r="N106" s="2944"/>
      <c r="O106" s="2944"/>
      <c r="P106" s="2953"/>
      <c r="Q106" s="2930"/>
      <c r="R106" s="2916"/>
      <c r="S106" s="2916"/>
      <c r="T106" s="2916"/>
      <c r="U106" s="2916"/>
      <c r="V106" s="2916"/>
      <c r="W106" s="2916"/>
      <c r="X106" s="2916"/>
      <c r="Y106" s="2916"/>
      <c r="Z106" s="2916"/>
      <c r="AA106" s="2916"/>
      <c r="AB106" s="2916"/>
      <c r="AC106" s="291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5"/>
      <c r="O107" s="2945"/>
      <c r="P107" s="2953"/>
      <c r="Q107" s="2930"/>
      <c r="R107" s="2916"/>
      <c r="S107" s="2916"/>
      <c r="T107" s="2916"/>
      <c r="U107" s="2916"/>
      <c r="V107" s="2916"/>
      <c r="W107" s="2916"/>
      <c r="X107" s="2916"/>
      <c r="Y107" s="2916"/>
      <c r="Z107" s="2916"/>
      <c r="AA107" s="2916"/>
      <c r="AB107" s="2916"/>
      <c r="AC107" s="2916"/>
    </row>
    <row r="108" spans="1:29" ht="15" thickTop="1">
      <c r="A108" s="556"/>
      <c r="B108" s="495" t="s">
        <v>2375</v>
      </c>
      <c r="C108" s="511"/>
      <c r="D108" s="511"/>
      <c r="E108" s="511"/>
      <c r="F108" s="540"/>
      <c r="G108" s="540"/>
      <c r="H108" s="540"/>
      <c r="I108" s="540"/>
      <c r="J108" s="540"/>
      <c r="K108" s="541"/>
      <c r="L108" s="542"/>
      <c r="M108" s="543"/>
      <c r="N108" s="2944"/>
      <c r="O108" s="2944"/>
      <c r="P108" s="2953"/>
      <c r="Q108" s="2930"/>
      <c r="R108" s="2916"/>
      <c r="S108" s="2916"/>
      <c r="T108" s="2916"/>
      <c r="U108" s="2916"/>
      <c r="V108" s="2916"/>
      <c r="W108" s="2916"/>
      <c r="X108" s="2916"/>
      <c r="Y108" s="2916"/>
      <c r="Z108" s="2916"/>
      <c r="AA108" s="2916"/>
      <c r="AB108" s="2916"/>
      <c r="AC108" s="291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5"/>
      <c r="O109" s="2945"/>
      <c r="P109" s="2953"/>
      <c r="Q109" s="2930"/>
      <c r="R109" s="2916"/>
      <c r="S109" s="2916"/>
      <c r="T109" s="2916"/>
      <c r="U109" s="2916"/>
      <c r="V109" s="2916"/>
      <c r="W109" s="2916"/>
      <c r="X109" s="2916"/>
      <c r="Y109" s="2916"/>
      <c r="Z109" s="2916"/>
      <c r="AA109" s="2916"/>
      <c r="AB109" s="2916"/>
      <c r="AC109" s="2916"/>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4"/>
      <c r="O110" s="2944"/>
      <c r="P110" s="2953"/>
      <c r="Q110" s="2930"/>
      <c r="R110" s="2916"/>
      <c r="S110" s="2916"/>
      <c r="T110" s="2916"/>
      <c r="U110" s="2916"/>
      <c r="V110" s="2916"/>
      <c r="W110" s="2916"/>
      <c r="X110" s="2916"/>
      <c r="Y110" s="2916"/>
      <c r="Z110" s="2916"/>
      <c r="AA110" s="2916"/>
      <c r="AB110" s="2916"/>
      <c r="AC110" s="2916"/>
    </row>
    <row r="111" spans="1:29">
      <c r="A111" s="556"/>
      <c r="B111" s="503"/>
      <c r="C111" s="560">
        <v>0.5</v>
      </c>
      <c r="D111" s="560">
        <v>0.6</v>
      </c>
      <c r="E111" s="560">
        <v>0.7</v>
      </c>
      <c r="F111" s="560">
        <v>0.8</v>
      </c>
      <c r="G111" s="560">
        <v>0.9</v>
      </c>
      <c r="H111" s="560">
        <v>1.0001</v>
      </c>
      <c r="I111" s="579"/>
      <c r="J111" s="579"/>
      <c r="K111" s="580"/>
      <c r="L111" s="581"/>
      <c r="M111" s="582"/>
      <c r="N111" s="2944"/>
      <c r="O111" s="2944"/>
      <c r="P111" s="2953"/>
      <c r="Q111" s="2930"/>
      <c r="R111" s="2916"/>
      <c r="S111" s="2916"/>
      <c r="T111" s="2916"/>
      <c r="U111" s="2916"/>
      <c r="V111" s="2916"/>
      <c r="W111" s="2916"/>
      <c r="X111" s="2916"/>
      <c r="Y111" s="2916"/>
      <c r="Z111" s="2916"/>
      <c r="AA111" s="2916"/>
      <c r="AB111" s="2916"/>
      <c r="AC111" s="291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5"/>
      <c r="O112" s="2945"/>
      <c r="P112" s="2953"/>
      <c r="Q112" s="2930"/>
      <c r="R112" s="2916"/>
      <c r="S112" s="2916"/>
      <c r="T112" s="2916"/>
      <c r="U112" s="2916"/>
      <c r="V112" s="2916"/>
      <c r="W112" s="2916"/>
      <c r="X112" s="2916"/>
      <c r="Y112" s="2916"/>
      <c r="Z112" s="2916"/>
      <c r="AA112" s="2916"/>
      <c r="AB112" s="2916"/>
      <c r="AC112" s="2916"/>
    </row>
    <row r="113" spans="1:29" s="430" customFormat="1" ht="15" thickTop="1">
      <c r="A113" s="550"/>
      <c r="B113" s="495" t="s">
        <v>2459</v>
      </c>
      <c r="C113" s="511"/>
      <c r="D113" s="511"/>
      <c r="E113" s="511"/>
      <c r="F113" s="511"/>
      <c r="G113" s="511"/>
      <c r="H113" s="540"/>
      <c r="I113" s="540"/>
      <c r="J113" s="540"/>
      <c r="K113" s="541"/>
      <c r="L113" s="542"/>
      <c r="M113" s="543"/>
      <c r="N113" s="2946"/>
      <c r="O113" s="2946"/>
      <c r="P113" s="2954"/>
      <c r="Q113" s="2937"/>
      <c r="R113" s="2938"/>
      <c r="S113" s="2938"/>
      <c r="T113" s="2938"/>
      <c r="U113" s="2938"/>
      <c r="V113" s="2938"/>
      <c r="W113" s="2938"/>
      <c r="X113" s="2938"/>
      <c r="Y113" s="2938"/>
      <c r="Z113" s="2938"/>
      <c r="AA113" s="2938"/>
      <c r="AB113" s="2938"/>
      <c r="AC113" s="293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6"/>
      <c r="O114" s="2946"/>
      <c r="P114" s="2954"/>
      <c r="Q114" s="2937"/>
      <c r="R114" s="2938"/>
      <c r="S114" s="2938"/>
      <c r="T114" s="2938"/>
      <c r="U114" s="2938"/>
      <c r="V114" s="2938"/>
      <c r="W114" s="2938"/>
      <c r="X114" s="2938"/>
      <c r="Y114" s="2938"/>
      <c r="Z114" s="2938"/>
      <c r="AA114" s="2938"/>
      <c r="AB114" s="2938"/>
      <c r="AC114" s="2938"/>
    </row>
    <row r="115" spans="1:29" ht="15" thickTop="1">
      <c r="A115" s="556"/>
      <c r="B115" s="495" t="s">
        <v>2376</v>
      </c>
      <c r="C115" s="511"/>
      <c r="D115" s="511"/>
      <c r="E115" s="540"/>
      <c r="F115" s="540"/>
      <c r="G115" s="540"/>
      <c r="H115" s="540"/>
      <c r="I115" s="540"/>
      <c r="J115" s="540"/>
      <c r="K115" s="541"/>
      <c r="L115" s="542"/>
      <c r="M115" s="543"/>
      <c r="N115" s="2944"/>
      <c r="O115" s="2944"/>
      <c r="P115" s="2953"/>
      <c r="Q115" s="2930"/>
      <c r="R115" s="2916"/>
      <c r="S115" s="2916"/>
      <c r="T115" s="2916"/>
      <c r="U115" s="2916"/>
      <c r="V115" s="2916"/>
      <c r="W115" s="2916"/>
      <c r="X115" s="2916"/>
      <c r="Y115" s="2916"/>
      <c r="Z115" s="2916"/>
      <c r="AA115" s="2916"/>
      <c r="AB115" s="2916"/>
      <c r="AC115" s="291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5"/>
      <c r="O116" s="2945"/>
      <c r="P116" s="2953"/>
      <c r="Q116" s="2930"/>
      <c r="R116" s="2916"/>
      <c r="S116" s="2916"/>
      <c r="T116" s="2916"/>
      <c r="U116" s="2916"/>
      <c r="V116" s="2916"/>
      <c r="W116" s="2916"/>
      <c r="X116" s="2916"/>
      <c r="Y116" s="2916"/>
      <c r="Z116" s="2916"/>
      <c r="AA116" s="2916"/>
      <c r="AB116" s="2916"/>
      <c r="AC116" s="2916"/>
    </row>
    <row r="117" spans="1:29" ht="15" thickTop="1">
      <c r="A117" s="556"/>
      <c r="B117" s="495" t="s">
        <v>2377</v>
      </c>
      <c r="C117" s="511"/>
      <c r="D117" s="511"/>
      <c r="E117" s="511"/>
      <c r="F117" s="511"/>
      <c r="G117" s="511"/>
      <c r="H117" s="540"/>
      <c r="I117" s="540"/>
      <c r="J117" s="540"/>
      <c r="K117" s="541"/>
      <c r="L117" s="542"/>
      <c r="M117" s="543"/>
      <c r="N117" s="2944"/>
      <c r="O117" s="2944"/>
      <c r="P117" s="2953"/>
      <c r="Q117" s="2930"/>
      <c r="R117" s="2916"/>
      <c r="S117" s="2916"/>
      <c r="T117" s="2916"/>
      <c r="U117" s="2916"/>
      <c r="V117" s="2916"/>
      <c r="W117" s="2916"/>
      <c r="X117" s="2916"/>
      <c r="Y117" s="2916"/>
      <c r="Z117" s="2916"/>
      <c r="AA117" s="2916"/>
      <c r="AB117" s="2916"/>
      <c r="AC117" s="291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5"/>
      <c r="O118" s="2945"/>
      <c r="P118" s="2953"/>
      <c r="Q118" s="2930"/>
      <c r="R118" s="2916"/>
      <c r="S118" s="2916"/>
      <c r="T118" s="2916"/>
      <c r="U118" s="2916"/>
      <c r="V118" s="2916"/>
      <c r="W118" s="2916"/>
      <c r="X118" s="2916"/>
      <c r="Y118" s="2916"/>
      <c r="Z118" s="2916"/>
      <c r="AA118" s="2916"/>
      <c r="AB118" s="2916"/>
      <c r="AC118" s="2916"/>
    </row>
    <row r="119" spans="1:29" ht="15" thickTop="1">
      <c r="A119" s="556"/>
      <c r="B119" s="592" t="s">
        <v>2460</v>
      </c>
      <c r="C119" s="540"/>
      <c r="D119" s="540"/>
      <c r="E119" s="540"/>
      <c r="F119" s="540"/>
      <c r="G119" s="540"/>
      <c r="H119" s="540"/>
      <c r="I119" s="540"/>
      <c r="J119" s="540"/>
      <c r="K119" s="540"/>
      <c r="L119" s="2117"/>
      <c r="M119" s="2118"/>
      <c r="N119" s="2945"/>
      <c r="O119" s="2945"/>
      <c r="P119" s="2958"/>
      <c r="Q119" s="2959"/>
      <c r="R119" s="2916"/>
      <c r="S119" s="2916"/>
      <c r="T119" s="2916"/>
      <c r="U119" s="2916"/>
      <c r="V119" s="2916"/>
      <c r="W119" s="2916"/>
      <c r="X119" s="2916"/>
      <c r="Y119" s="2916"/>
      <c r="Z119" s="2916"/>
      <c r="AA119" s="2916"/>
      <c r="AB119" s="2916"/>
      <c r="AC119" s="291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5"/>
      <c r="O120" s="2945"/>
      <c r="P120" s="2953"/>
      <c r="Q120" s="2930"/>
      <c r="R120" s="2916"/>
      <c r="S120" s="2916"/>
      <c r="T120" s="2916"/>
      <c r="U120" s="2916"/>
      <c r="V120" s="2916"/>
      <c r="W120" s="2916"/>
      <c r="X120" s="2916"/>
      <c r="Y120" s="2916"/>
      <c r="Z120" s="2916"/>
      <c r="AA120" s="2916"/>
      <c r="AB120" s="2916"/>
      <c r="AC120" s="2916"/>
    </row>
    <row r="121" spans="1:29" s="430" customFormat="1" ht="15" thickTop="1">
      <c r="A121" s="550"/>
      <c r="B121" s="495" t="s">
        <v>2443</v>
      </c>
      <c r="C121" s="511"/>
      <c r="D121" s="511"/>
      <c r="E121" s="511"/>
      <c r="F121" s="540"/>
      <c r="G121" s="512"/>
      <c r="H121" s="512"/>
      <c r="I121" s="512"/>
      <c r="J121" s="512"/>
      <c r="K121" s="512"/>
      <c r="L121" s="513"/>
      <c r="M121" s="514"/>
      <c r="N121" s="2946"/>
      <c r="O121" s="2946"/>
      <c r="P121" s="2954"/>
      <c r="Q121" s="2937"/>
      <c r="R121" s="2938"/>
      <c r="S121" s="2938"/>
      <c r="T121" s="2938"/>
      <c r="U121" s="2938"/>
      <c r="V121" s="2938"/>
      <c r="W121" s="2938"/>
      <c r="X121" s="2938"/>
      <c r="Y121" s="2938"/>
      <c r="Z121" s="2938"/>
      <c r="AA121" s="2938"/>
      <c r="AB121" s="2938"/>
      <c r="AC121" s="2938"/>
    </row>
    <row r="122" spans="1:29" s="430" customFormat="1" ht="15.75" thickBot="1">
      <c r="A122" s="510"/>
      <c r="B122" s="492"/>
      <c r="C122" s="517"/>
      <c r="D122" s="517"/>
      <c r="E122" s="517"/>
      <c r="F122" s="517"/>
      <c r="G122" s="517"/>
      <c r="H122" s="517"/>
      <c r="I122" s="517"/>
      <c r="J122" s="517"/>
      <c r="K122" s="517"/>
      <c r="L122" s="517"/>
      <c r="M122" s="517"/>
      <c r="N122" s="2946"/>
      <c r="O122" s="2946"/>
      <c r="P122" s="2954"/>
      <c r="Q122" s="2937"/>
      <c r="R122" s="2938"/>
      <c r="S122" s="2938"/>
      <c r="T122" s="2938"/>
      <c r="U122" s="2938"/>
      <c r="V122" s="2938"/>
      <c r="W122" s="2938"/>
      <c r="X122" s="2938"/>
      <c r="Y122" s="2938"/>
      <c r="Z122" s="2938"/>
      <c r="AA122" s="2938"/>
      <c r="AB122" s="2938"/>
      <c r="AC122" s="2938"/>
    </row>
    <row r="123" spans="1:29" ht="15" thickTop="1">
      <c r="A123" s="556"/>
      <c r="B123" s="495" t="s">
        <v>2379</v>
      </c>
      <c r="C123" s="511"/>
      <c r="D123" s="511"/>
      <c r="E123" s="511"/>
      <c r="F123" s="540"/>
      <c r="G123" s="540"/>
      <c r="H123" s="540"/>
      <c r="I123" s="540"/>
      <c r="J123" s="540"/>
      <c r="K123" s="541"/>
      <c r="L123" s="542"/>
      <c r="M123" s="543"/>
      <c r="N123" s="2944"/>
      <c r="O123" s="2944"/>
      <c r="P123" s="2953"/>
      <c r="Q123" s="2930"/>
      <c r="R123" s="2916"/>
      <c r="S123" s="2916"/>
      <c r="T123" s="2916"/>
      <c r="U123" s="2916"/>
      <c r="V123" s="2916"/>
      <c r="W123" s="2916"/>
      <c r="X123" s="2916"/>
      <c r="Y123" s="2916"/>
      <c r="Z123" s="2916"/>
      <c r="AA123" s="2916"/>
      <c r="AB123" s="2916"/>
      <c r="AC123" s="291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5"/>
      <c r="O124" s="2945"/>
      <c r="P124" s="2953"/>
      <c r="Q124" s="2930"/>
      <c r="R124" s="2916"/>
      <c r="S124" s="2916"/>
      <c r="T124" s="2916"/>
      <c r="U124" s="2916"/>
      <c r="V124" s="2916"/>
      <c r="W124" s="2916"/>
      <c r="X124" s="2916"/>
      <c r="Y124" s="2916"/>
      <c r="Z124" s="2916"/>
      <c r="AA124" s="2916"/>
      <c r="AB124" s="2916"/>
      <c r="AC124" s="2916"/>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44"/>
      <c r="O125" s="2944"/>
      <c r="P125" s="2954"/>
      <c r="Q125" s="2930"/>
      <c r="R125" s="2916"/>
      <c r="S125" s="2916"/>
      <c r="T125" s="2916"/>
      <c r="U125" s="2916"/>
      <c r="V125" s="2916"/>
      <c r="W125" s="2916"/>
      <c r="X125" s="2916"/>
      <c r="Y125" s="2916"/>
      <c r="Z125" s="2916"/>
      <c r="AA125" s="2916"/>
      <c r="AB125" s="2916"/>
      <c r="AC125" s="291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5"/>
      <c r="O126" s="2945"/>
      <c r="P126" s="2953"/>
      <c r="Q126" s="2930"/>
      <c r="R126" s="2916"/>
      <c r="S126" s="2916"/>
      <c r="T126" s="2916"/>
      <c r="U126" s="2916"/>
      <c r="V126" s="2916"/>
      <c r="W126" s="2916"/>
      <c r="X126" s="2916"/>
      <c r="Y126" s="2916"/>
      <c r="Z126" s="2916"/>
      <c r="AA126" s="2916"/>
      <c r="AB126" s="2916"/>
      <c r="AC126" s="2916"/>
    </row>
    <row r="127" spans="1:29" s="430" customFormat="1" ht="15" thickTop="1">
      <c r="A127" s="550"/>
      <c r="B127" s="495">
        <f>B45</f>
        <v>111</v>
      </c>
      <c r="C127" s="511"/>
      <c r="D127" s="511"/>
      <c r="E127" s="511"/>
      <c r="F127" s="511"/>
      <c r="G127" s="511"/>
      <c r="H127" s="512"/>
      <c r="I127" s="512"/>
      <c r="J127" s="512"/>
      <c r="K127" s="512"/>
      <c r="L127" s="513"/>
      <c r="M127" s="514"/>
      <c r="N127" s="2946"/>
      <c r="O127" s="2946"/>
      <c r="P127" s="2954"/>
      <c r="Q127" s="2937"/>
      <c r="R127" s="2938"/>
      <c r="S127" s="2938"/>
      <c r="T127" s="2938"/>
      <c r="U127" s="2938"/>
      <c r="V127" s="2938"/>
      <c r="W127" s="2938"/>
      <c r="X127" s="2938"/>
      <c r="Y127" s="2938"/>
      <c r="Z127" s="2938"/>
      <c r="AA127" s="2938"/>
      <c r="AB127" s="2938"/>
      <c r="AC127" s="2938"/>
    </row>
    <row r="128" spans="1:29" s="430" customFormat="1" ht="15.75" thickBot="1">
      <c r="A128" s="510"/>
      <c r="B128" s="500"/>
      <c r="C128" s="517"/>
      <c r="D128" s="493"/>
      <c r="E128" s="493"/>
      <c r="F128" s="493"/>
      <c r="G128" s="517"/>
      <c r="H128" s="519"/>
      <c r="I128" s="519"/>
      <c r="J128" s="519"/>
      <c r="K128" s="519"/>
      <c r="L128" s="519"/>
      <c r="M128" s="520"/>
      <c r="N128" s="2946"/>
      <c r="O128" s="2946"/>
      <c r="P128" s="2954"/>
      <c r="Q128" s="2937"/>
      <c r="R128" s="2938"/>
      <c r="S128" s="2938"/>
      <c r="T128" s="2938"/>
      <c r="U128" s="2938"/>
      <c r="V128" s="2938"/>
      <c r="W128" s="2938"/>
      <c r="X128" s="2938"/>
      <c r="Y128" s="2938"/>
      <c r="Z128" s="2938"/>
      <c r="AA128" s="2938"/>
      <c r="AB128" s="2938"/>
      <c r="AC128" s="2938"/>
    </row>
    <row r="129" spans="1:29" ht="15" thickTop="1">
      <c r="A129" s="556"/>
      <c r="B129" s="495">
        <f>B46</f>
        <v>111</v>
      </c>
      <c r="C129" s="511"/>
      <c r="D129" s="511"/>
      <c r="E129" s="511"/>
      <c r="F129" s="511"/>
      <c r="G129" s="540"/>
      <c r="H129" s="540"/>
      <c r="I129" s="540"/>
      <c r="J129" s="540"/>
      <c r="K129" s="541"/>
      <c r="L129" s="542"/>
      <c r="M129" s="543"/>
      <c r="N129" s="2944"/>
      <c r="O129" s="2944"/>
      <c r="P129" s="2953"/>
      <c r="Q129" s="2930"/>
      <c r="R129" s="2916"/>
      <c r="S129" s="2916"/>
      <c r="T129" s="2916"/>
      <c r="U129" s="2916"/>
      <c r="V129" s="2916"/>
      <c r="W129" s="2916"/>
      <c r="X129" s="2916"/>
      <c r="Y129" s="2916"/>
      <c r="Z129" s="2916"/>
      <c r="AA129" s="2916"/>
      <c r="AB129" s="2916"/>
      <c r="AC129" s="2916"/>
    </row>
    <row r="130" spans="1:29" ht="15.75" thickBot="1">
      <c r="A130" s="491"/>
      <c r="B130" s="500"/>
      <c r="C130" s="517"/>
      <c r="D130" s="517"/>
      <c r="E130" s="517"/>
      <c r="F130" s="517"/>
      <c r="G130" s="493"/>
      <c r="H130" s="493"/>
      <c r="I130" s="493"/>
      <c r="J130" s="493"/>
      <c r="K130" s="493"/>
      <c r="L130" s="493"/>
      <c r="M130" s="494"/>
      <c r="N130" s="2945"/>
      <c r="O130" s="2945"/>
      <c r="P130" s="2953"/>
      <c r="Q130" s="2930"/>
      <c r="R130" s="2916"/>
      <c r="S130" s="2916"/>
      <c r="T130" s="2916"/>
      <c r="U130" s="2916"/>
      <c r="V130" s="2916"/>
      <c r="W130" s="2916"/>
      <c r="X130" s="2916"/>
      <c r="Y130" s="2916"/>
      <c r="Z130" s="2916"/>
      <c r="AA130" s="2916"/>
      <c r="AB130" s="2916"/>
      <c r="AC130" s="2916"/>
    </row>
    <row r="131" spans="1:29" ht="15" thickTop="1">
      <c r="A131" s="556"/>
      <c r="B131" s="503">
        <f>B47</f>
        <v>111</v>
      </c>
      <c r="C131" s="480"/>
      <c r="D131" s="480"/>
      <c r="E131" s="480"/>
      <c r="F131" s="480"/>
      <c r="G131" s="544"/>
      <c r="H131" s="544"/>
      <c r="I131" s="544"/>
      <c r="J131" s="544"/>
      <c r="K131" s="480"/>
      <c r="L131" s="481"/>
      <c r="M131" s="547"/>
      <c r="N131" s="2944"/>
      <c r="O131" s="2944"/>
      <c r="P131" s="2953"/>
      <c r="Q131" s="2930"/>
      <c r="R131" s="2916"/>
      <c r="S131" s="2916"/>
      <c r="T131" s="2916"/>
      <c r="U131" s="2916"/>
      <c r="V131" s="2916"/>
      <c r="W131" s="2916"/>
      <c r="X131" s="2916"/>
      <c r="Y131" s="2916"/>
      <c r="Z131" s="2916"/>
      <c r="AA131" s="2916"/>
      <c r="AB131" s="2916"/>
      <c r="AC131" s="2916"/>
    </row>
    <row r="132" spans="1:29" ht="15.75" thickBot="1">
      <c r="A132" s="2077"/>
      <c r="B132" s="526"/>
      <c r="C132" s="527"/>
      <c r="D132" s="527"/>
      <c r="E132" s="527"/>
      <c r="F132" s="527"/>
      <c r="G132" s="548"/>
      <c r="H132" s="548"/>
      <c r="I132" s="548"/>
      <c r="J132" s="548"/>
      <c r="K132" s="548"/>
      <c r="L132" s="548"/>
      <c r="M132" s="549"/>
      <c r="N132" s="2945"/>
      <c r="O132" s="2945"/>
      <c r="P132" s="2953"/>
      <c r="Q132" s="2930"/>
      <c r="R132" s="2916"/>
      <c r="S132" s="2916"/>
      <c r="T132" s="2916"/>
      <c r="U132" s="2916"/>
      <c r="V132" s="2916"/>
      <c r="W132" s="2916"/>
      <c r="X132" s="2916"/>
      <c r="Y132" s="2916"/>
      <c r="Z132" s="2916"/>
      <c r="AA132" s="2916"/>
      <c r="AB132" s="2916"/>
      <c r="AC132" s="29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106" t="s">
        <v>2461</v>
      </c>
      <c r="C1" s="1360" t="s">
        <v>2290</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t="e">
        <f ca="1">IF(C2="——",ROUND(C43*D3/10000,0),ROUND(C43*D3/10000,0)-D2)</f>
        <v>#DIV/0!</v>
      </c>
      <c r="C2" s="2032"/>
      <c r="D2" s="1034" t="e">
        <f ca="1">SUMIF(INDIRECT("'"&amp;F2&amp;"'"&amp;"!A:A"),"承租人权益价值",INDIRECT("'"&amp;F2&amp;"'"&amp;"!c:c"))</f>
        <v>#REF!</v>
      </c>
      <c r="E2" s="2033" t="s">
        <v>2088</v>
      </c>
      <c r="F2" s="203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2403</v>
      </c>
      <c r="D3" s="359">
        <f>IF(D1="",'数据-汇总表'!E3,SUMIF('数据-汇总表'!$C19:$C33,D1,'数据-汇总表'!$E19:$E33))</f>
        <v>63823.659999999953</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1040"/>
      <c r="M4" s="1041"/>
      <c r="N4" s="1041"/>
      <c r="O4" s="1041"/>
      <c r="P4" s="3755" t="s">
        <v>2410</v>
      </c>
      <c r="Q4" s="3756"/>
      <c r="R4" s="3761" t="s">
        <v>2406</v>
      </c>
      <c r="S4" s="3762"/>
      <c r="T4" s="3761" t="s">
        <v>2407</v>
      </c>
      <c r="U4" s="3762"/>
      <c r="V4" s="3767" t="s">
        <v>2408</v>
      </c>
      <c r="W4" s="3767"/>
      <c r="X4" s="1505"/>
      <c r="Y4" s="3761" t="s">
        <v>2410</v>
      </c>
      <c r="Z4" s="3762"/>
      <c r="AA4" s="3748" t="s">
        <v>2406</v>
      </c>
      <c r="AB4" s="3749" t="s">
        <v>2407</v>
      </c>
      <c r="AC4" s="3748" t="s">
        <v>2408</v>
      </c>
    </row>
    <row r="5" spans="1:29" ht="15">
      <c r="A5" s="364"/>
      <c r="B5" s="365"/>
      <c r="C5" s="3779" t="s">
        <v>2301</v>
      </c>
      <c r="D5" s="3771"/>
      <c r="E5" s="3780" t="s">
        <v>2302</v>
      </c>
      <c r="F5" s="3778"/>
      <c r="G5" s="3779" t="s">
        <v>2303</v>
      </c>
      <c r="H5" s="3771"/>
      <c r="I5" s="3779" t="s">
        <v>2304</v>
      </c>
      <c r="J5" s="3771"/>
      <c r="K5" s="567"/>
      <c r="L5" s="1040"/>
      <c r="M5" s="1041"/>
      <c r="N5" s="1041"/>
      <c r="O5" s="1041"/>
      <c r="P5" s="3757"/>
      <c r="Q5" s="3758"/>
      <c r="R5" s="3763"/>
      <c r="S5" s="3764"/>
      <c r="T5" s="3763"/>
      <c r="U5" s="3764"/>
      <c r="V5" s="3767"/>
      <c r="W5" s="3767"/>
      <c r="X5" s="1505"/>
      <c r="Y5" s="3763"/>
      <c r="Z5" s="3764"/>
      <c r="AA5" s="3749"/>
      <c r="AB5" s="3749"/>
      <c r="AC5" s="3749"/>
    </row>
    <row r="6" spans="1:29" ht="15.75" thickBot="1">
      <c r="A6" s="366"/>
      <c r="B6" s="367"/>
      <c r="C6" s="3768" t="s">
        <v>2305</v>
      </c>
      <c r="D6" s="3769"/>
      <c r="E6" s="3775" t="s">
        <v>2305</v>
      </c>
      <c r="F6" s="3776"/>
      <c r="G6" s="3768" t="s">
        <v>2305</v>
      </c>
      <c r="H6" s="3769"/>
      <c r="I6" s="3768" t="s">
        <v>2305</v>
      </c>
      <c r="J6" s="3769"/>
      <c r="K6" s="567" t="s">
        <v>2306</v>
      </c>
      <c r="L6" s="1040"/>
      <c r="M6" s="1041"/>
      <c r="N6" s="1041"/>
      <c r="O6" s="1041"/>
      <c r="P6" s="3759"/>
      <c r="Q6" s="3760"/>
      <c r="R6" s="3763"/>
      <c r="S6" s="3764"/>
      <c r="T6" s="3765"/>
      <c r="U6" s="3766"/>
      <c r="V6" s="3767"/>
      <c r="W6" s="3767"/>
      <c r="X6" s="1505"/>
      <c r="Y6" s="3765"/>
      <c r="Z6" s="3766"/>
      <c r="AA6" s="3750"/>
      <c r="AB6" s="3750"/>
      <c r="AC6" s="3750"/>
    </row>
    <row r="7" spans="1:29" s="113" customFormat="1" ht="15.75" thickBot="1">
      <c r="A7" s="368" t="s">
        <v>2307</v>
      </c>
      <c r="B7" s="369"/>
      <c r="C7" s="370">
        <f>'数据-取费表'!B2</f>
        <v>44652</v>
      </c>
      <c r="D7" s="371">
        <v>100</v>
      </c>
      <c r="E7" s="372"/>
      <c r="F7" s="373">
        <f>SUMIF(52:52,YEAR(E7)&amp;"-"&amp;MONTH(E7),53:53)</f>
        <v>0</v>
      </c>
      <c r="G7" s="372"/>
      <c r="H7" s="371">
        <f>SUMIF(52:52,YEAR(G7)&amp;"-"&amp;MONTH(G7),53:53)</f>
        <v>0</v>
      </c>
      <c r="I7" s="372"/>
      <c r="J7" s="371">
        <f>SUMIF(52:52,YEAR(I7)&amp;"-"&amp;MONTH(I7),53:53)</f>
        <v>0</v>
      </c>
      <c r="K7" s="568"/>
      <c r="L7" s="1042"/>
      <c r="M7" s="1043"/>
      <c r="N7" s="1043"/>
      <c r="O7" s="1043"/>
      <c r="P7" s="3772" t="s">
        <v>2308</v>
      </c>
      <c r="Q7" s="3774"/>
      <c r="R7" s="710" t="s">
        <v>17</v>
      </c>
      <c r="S7" s="711">
        <f t="shared" ref="S7:S15" si="0">F7</f>
        <v>0</v>
      </c>
      <c r="T7" s="710" t="s">
        <v>17</v>
      </c>
      <c r="U7" s="711">
        <f t="shared" ref="U7:U15" si="1">H7</f>
        <v>0</v>
      </c>
      <c r="V7" s="710" t="s">
        <v>17</v>
      </c>
      <c r="W7" s="711">
        <f t="shared" ref="W7:W15" si="2">J7</f>
        <v>0</v>
      </c>
      <c r="X7" s="712"/>
      <c r="Y7" s="3772" t="s">
        <v>2308</v>
      </c>
      <c r="Z7" s="3773"/>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772" t="s">
        <v>2311</v>
      </c>
      <c r="Q8" s="3773"/>
      <c r="R8" s="710" t="s">
        <v>17</v>
      </c>
      <c r="S8" s="711">
        <f t="shared" si="0"/>
        <v>0</v>
      </c>
      <c r="T8" s="710" t="s">
        <v>17</v>
      </c>
      <c r="U8" s="711">
        <f t="shared" si="1"/>
        <v>0</v>
      </c>
      <c r="V8" s="710" t="s">
        <v>17</v>
      </c>
      <c r="W8" s="711">
        <f t="shared" si="2"/>
        <v>0</v>
      </c>
      <c r="X8" s="712"/>
      <c r="Y8" s="3772" t="s">
        <v>2311</v>
      </c>
      <c r="Z8" s="3773"/>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736" t="s">
        <v>2314</v>
      </c>
      <c r="Q9" s="1493" t="str">
        <f t="shared" ref="Q9:Q15" si="6">B9</f>
        <v>用途</v>
      </c>
      <c r="R9" s="710" t="s">
        <v>17</v>
      </c>
      <c r="S9" s="711">
        <f t="shared" si="0"/>
        <v>100</v>
      </c>
      <c r="T9" s="710" t="s">
        <v>17</v>
      </c>
      <c r="U9" s="711">
        <f t="shared" si="1"/>
        <v>100</v>
      </c>
      <c r="V9" s="710" t="s">
        <v>17</v>
      </c>
      <c r="W9" s="711">
        <f t="shared" si="2"/>
        <v>100</v>
      </c>
      <c r="X9" s="712"/>
      <c r="Y9" s="3608"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736"/>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736"/>
      <c r="Q11" s="1493" t="str">
        <f t="shared" si="6"/>
        <v>容积率</v>
      </c>
      <c r="R11" s="710" t="s">
        <v>17</v>
      </c>
      <c r="S11" s="711" t="e">
        <f t="shared" si="0"/>
        <v>#N/A</v>
      </c>
      <c r="T11" s="710" t="s">
        <v>17</v>
      </c>
      <c r="U11" s="711" t="e">
        <f t="shared" si="1"/>
        <v>#N/A</v>
      </c>
      <c r="V11" s="710" t="s">
        <v>17</v>
      </c>
      <c r="W11" s="711" t="e">
        <f t="shared" si="2"/>
        <v>#N/A</v>
      </c>
      <c r="X11" s="712"/>
      <c r="Y11" s="3608"/>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132">
        <f>SUMIF(64:64,E12,65:65)-SUMIF(64:64,C12,65:65)+100</f>
        <v>100</v>
      </c>
      <c r="G12" s="2119"/>
      <c r="H12" s="132">
        <f>SUMIF(64:64,G12,65:65)-SUMIF(64:64,C12,65:65)+100</f>
        <v>100</v>
      </c>
      <c r="I12" s="428"/>
      <c r="J12" s="132">
        <f>SUMIF(64:64,I12,65:65)-SUMIF(64:64,C12,65:65)+100</f>
        <v>100</v>
      </c>
      <c r="K12" s="570"/>
      <c r="L12" s="1042"/>
      <c r="M12" s="1043"/>
      <c r="N12" s="1043"/>
      <c r="O12" s="1044"/>
      <c r="P12" s="3736"/>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713">
        <f>D12/J12</f>
        <v>1</v>
      </c>
    </row>
    <row r="13" spans="1:29" ht="15">
      <c r="A13" s="387"/>
      <c r="B13" s="2044">
        <v>111</v>
      </c>
      <c r="C13" s="393"/>
      <c r="D13" s="394">
        <v>100</v>
      </c>
      <c r="E13" s="393"/>
      <c r="F13" s="132">
        <f>SUMIF(66:66,E13,67:67)-SUMIF(66:66,C13,67:67)+100</f>
        <v>100</v>
      </c>
      <c r="G13" s="2119"/>
      <c r="H13" s="394">
        <f>SUMIF(66:66,G13,67:67)-SUMIF(66:66,C13,67:67)+100</f>
        <v>100</v>
      </c>
      <c r="I13" s="428"/>
      <c r="J13" s="394">
        <f>SUMIF(66:66,I13,67:67)-SUMIF(66:66,C13,67:67)+100</f>
        <v>100</v>
      </c>
      <c r="K13" s="570"/>
      <c r="L13" s="1050"/>
      <c r="M13" s="1041"/>
      <c r="N13" s="1041"/>
      <c r="O13" s="1049"/>
      <c r="P13" s="3736"/>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713">
        <f t="shared" si="5"/>
        <v>1</v>
      </c>
    </row>
    <row r="14" spans="1:29" ht="15.75" thickBot="1">
      <c r="A14" s="395"/>
      <c r="B14" s="2046">
        <v>111</v>
      </c>
      <c r="C14" s="396"/>
      <c r="D14" s="397">
        <v>100</v>
      </c>
      <c r="E14" s="396"/>
      <c r="F14" s="397">
        <f>SUMIF(68:68,E14,69:69)-SUMIF(68:68,C14,69:69)+100</f>
        <v>100</v>
      </c>
      <c r="G14" s="2119"/>
      <c r="H14" s="397">
        <f>SUMIF(68:68,G14,69:69)-SUMIF(68:68,C14,69:69)+100</f>
        <v>100</v>
      </c>
      <c r="I14" s="428"/>
      <c r="J14" s="397">
        <f>SUMIF(68:68,I14,69:69)-SUMIF(68:68,C14,69:69)+100</f>
        <v>100</v>
      </c>
      <c r="K14" s="570"/>
      <c r="L14" s="1050"/>
      <c r="M14" s="1041"/>
      <c r="N14" s="1041"/>
      <c r="O14" s="1049"/>
      <c r="P14" s="3736"/>
      <c r="Q14" s="1493">
        <f t="shared" si="6"/>
        <v>111</v>
      </c>
      <c r="R14" s="710" t="s">
        <v>17</v>
      </c>
      <c r="S14" s="711">
        <f t="shared" si="0"/>
        <v>100</v>
      </c>
      <c r="T14" s="710" t="s">
        <v>17</v>
      </c>
      <c r="U14" s="711">
        <f t="shared" si="1"/>
        <v>100</v>
      </c>
      <c r="V14" s="710" t="s">
        <v>17</v>
      </c>
      <c r="W14" s="711">
        <f t="shared" si="2"/>
        <v>100</v>
      </c>
      <c r="X14" s="712"/>
      <c r="Y14" s="3608"/>
      <c r="Z14" s="55">
        <f t="shared" si="7"/>
        <v>111</v>
      </c>
      <c r="AA14" s="713">
        <f t="shared" si="3"/>
        <v>1</v>
      </c>
      <c r="AB14" s="713">
        <f t="shared" si="4"/>
        <v>1</v>
      </c>
      <c r="AC14" s="713">
        <f t="shared" si="5"/>
        <v>1</v>
      </c>
    </row>
    <row r="15" spans="1:29" ht="57">
      <c r="A15" s="399" t="s">
        <v>2318</v>
      </c>
      <c r="B15" s="65" t="s">
        <v>2462</v>
      </c>
      <c r="C15" s="212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738" t="s">
        <v>2319</v>
      </c>
      <c r="Q15" s="1502" t="str">
        <f t="shared" si="6"/>
        <v>产业集聚程度</v>
      </c>
      <c r="R15" s="714" t="s">
        <v>17</v>
      </c>
      <c r="S15" s="715">
        <f t="shared" si="0"/>
        <v>100</v>
      </c>
      <c r="T15" s="714" t="s">
        <v>17</v>
      </c>
      <c r="U15" s="715">
        <f t="shared" si="1"/>
        <v>100</v>
      </c>
      <c r="V15" s="714" t="s">
        <v>17</v>
      </c>
      <c r="W15" s="715">
        <f t="shared" si="2"/>
        <v>100</v>
      </c>
      <c r="X15" s="1505"/>
      <c r="Y15" s="3738" t="s">
        <v>2319</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0"/>
      <c r="M16" s="1041"/>
      <c r="N16" s="1041"/>
      <c r="O16" s="1049"/>
      <c r="P16" s="3739"/>
      <c r="Q16" s="1502"/>
      <c r="R16" s="714"/>
      <c r="S16" s="715"/>
      <c r="T16" s="714"/>
      <c r="U16" s="715"/>
      <c r="V16" s="714"/>
      <c r="W16" s="715"/>
      <c r="X16" s="1505"/>
      <c r="Y16" s="3739"/>
      <c r="Z16" s="1506"/>
      <c r="AA16" s="1503">
        <v>1</v>
      </c>
      <c r="AB16" s="1503">
        <v>1</v>
      </c>
      <c r="AC16" s="1503">
        <v>1</v>
      </c>
    </row>
    <row r="17" spans="1:29" ht="85.5">
      <c r="A17" s="387"/>
      <c r="B17" s="410" t="s">
        <v>1884</v>
      </c>
      <c r="C17" s="205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739"/>
      <c r="Q17" s="1502" t="str">
        <f>B17</f>
        <v>交通便捷度</v>
      </c>
      <c r="R17" s="714" t="s">
        <v>17</v>
      </c>
      <c r="S17" s="715">
        <f>F17</f>
        <v>100</v>
      </c>
      <c r="T17" s="714" t="s">
        <v>17</v>
      </c>
      <c r="U17" s="715">
        <f>H17</f>
        <v>100</v>
      </c>
      <c r="V17" s="714" t="s">
        <v>17</v>
      </c>
      <c r="W17" s="715">
        <f>J17</f>
        <v>100</v>
      </c>
      <c r="X17" s="1505"/>
      <c r="Y17" s="3739"/>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1050"/>
      <c r="M18" s="1041"/>
      <c r="N18" s="1041"/>
      <c r="O18" s="1049"/>
      <c r="P18" s="3739"/>
      <c r="Q18" s="1502"/>
      <c r="R18" s="714"/>
      <c r="S18" s="715"/>
      <c r="T18" s="714"/>
      <c r="U18" s="715"/>
      <c r="V18" s="714"/>
      <c r="W18" s="715"/>
      <c r="X18" s="1505"/>
      <c r="Y18" s="3739"/>
      <c r="Z18" s="1506"/>
      <c r="AA18" s="1503">
        <v>1</v>
      </c>
      <c r="AB18" s="1503">
        <v>1</v>
      </c>
      <c r="AC18" s="1503">
        <v>1</v>
      </c>
    </row>
    <row r="19" spans="1:29" ht="42.75">
      <c r="A19" s="387"/>
      <c r="B19" s="410" t="s">
        <v>2447</v>
      </c>
      <c r="C19" s="205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739"/>
      <c r="Q19" s="1502" t="str">
        <f>B19</f>
        <v>公共配套设施</v>
      </c>
      <c r="R19" s="714" t="s">
        <v>17</v>
      </c>
      <c r="S19" s="715">
        <f>F19</f>
        <v>100</v>
      </c>
      <c r="T19" s="714" t="s">
        <v>17</v>
      </c>
      <c r="U19" s="715">
        <f>H19</f>
        <v>100</v>
      </c>
      <c r="V19" s="714" t="s">
        <v>17</v>
      </c>
      <c r="W19" s="715">
        <f>J19</f>
        <v>100</v>
      </c>
      <c r="X19" s="1505"/>
      <c r="Y19" s="3739"/>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1050"/>
      <c r="M20" s="1041"/>
      <c r="N20" s="1041"/>
      <c r="O20" s="1049"/>
      <c r="P20" s="3739"/>
      <c r="Q20" s="1502"/>
      <c r="R20" s="714"/>
      <c r="S20" s="715"/>
      <c r="T20" s="714"/>
      <c r="U20" s="715"/>
      <c r="V20" s="714"/>
      <c r="W20" s="715"/>
      <c r="X20" s="1505"/>
      <c r="Y20" s="3739"/>
      <c r="Z20" s="1506"/>
      <c r="AA20" s="1503">
        <v>1</v>
      </c>
      <c r="AB20" s="1503">
        <v>1</v>
      </c>
      <c r="AC20" s="1503">
        <v>1</v>
      </c>
    </row>
    <row r="21" spans="1:29" ht="28.5">
      <c r="A21" s="387"/>
      <c r="B21" s="1261" t="s">
        <v>2448</v>
      </c>
      <c r="C21" s="205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739"/>
      <c r="Q21" s="1502" t="str">
        <f>B21</f>
        <v>基础设施水平</v>
      </c>
      <c r="R21" s="714" t="s">
        <v>17</v>
      </c>
      <c r="S21" s="715">
        <f>F21</f>
        <v>100</v>
      </c>
      <c r="T21" s="714" t="s">
        <v>17</v>
      </c>
      <c r="U21" s="715">
        <f>H21</f>
        <v>100</v>
      </c>
      <c r="V21" s="714" t="s">
        <v>17</v>
      </c>
      <c r="W21" s="715">
        <f>J21</f>
        <v>100</v>
      </c>
      <c r="X21" s="1505"/>
      <c r="Y21" s="3739"/>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1050"/>
      <c r="M22" s="1041"/>
      <c r="N22" s="1041"/>
      <c r="O22" s="1049"/>
      <c r="P22" s="3739"/>
      <c r="Q22" s="1502"/>
      <c r="R22" s="714"/>
      <c r="S22" s="715"/>
      <c r="T22" s="714"/>
      <c r="U22" s="715"/>
      <c r="V22" s="714"/>
      <c r="W22" s="715"/>
      <c r="X22" s="1505"/>
      <c r="Y22" s="3739"/>
      <c r="Z22" s="1506"/>
      <c r="AA22" s="1503">
        <v>1</v>
      </c>
      <c r="AB22" s="1503">
        <v>1</v>
      </c>
      <c r="AC22" s="1503">
        <v>1</v>
      </c>
    </row>
    <row r="23" spans="1:29" ht="71.25">
      <c r="A23" s="387"/>
      <c r="B23" s="410" t="s">
        <v>2449</v>
      </c>
      <c r="C23" s="205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739"/>
      <c r="Q23" s="1502" t="str">
        <f>B23</f>
        <v>环境质量</v>
      </c>
      <c r="R23" s="714" t="s">
        <v>17</v>
      </c>
      <c r="S23" s="715">
        <f>F23</f>
        <v>100</v>
      </c>
      <c r="T23" s="714" t="s">
        <v>17</v>
      </c>
      <c r="U23" s="715">
        <f>H23</f>
        <v>100</v>
      </c>
      <c r="V23" s="714" t="s">
        <v>17</v>
      </c>
      <c r="W23" s="715">
        <f>J23</f>
        <v>100</v>
      </c>
      <c r="X23" s="1505"/>
      <c r="Y23" s="3739"/>
      <c r="Z23" s="1506" t="str">
        <f>Q23</f>
        <v>环境质量</v>
      </c>
      <c r="AA23" s="1503">
        <f t="shared" si="3"/>
        <v>1</v>
      </c>
      <c r="AB23" s="1503">
        <f t="shared" si="4"/>
        <v>1</v>
      </c>
      <c r="AC23" s="1503">
        <f t="shared" si="5"/>
        <v>1</v>
      </c>
    </row>
    <row r="24" spans="1:29" ht="15">
      <c r="A24" s="387"/>
      <c r="B24" s="1261"/>
      <c r="C24" s="406"/>
      <c r="D24" s="407"/>
      <c r="E24" s="2049"/>
      <c r="F24" s="408"/>
      <c r="G24" s="2048"/>
      <c r="H24" s="407"/>
      <c r="I24" s="2049"/>
      <c r="J24" s="407"/>
      <c r="K24" s="572"/>
      <c r="L24" s="1050"/>
      <c r="M24" s="1041"/>
      <c r="N24" s="1041"/>
      <c r="O24" s="1049"/>
      <c r="P24" s="3739"/>
      <c r="Q24" s="1502"/>
      <c r="R24" s="714"/>
      <c r="S24" s="715"/>
      <c r="T24" s="714"/>
      <c r="U24" s="715"/>
      <c r="V24" s="714"/>
      <c r="W24" s="715"/>
      <c r="X24" s="1505"/>
      <c r="Y24" s="3739"/>
      <c r="Z24" s="1506"/>
      <c r="AA24" s="1503">
        <v>1</v>
      </c>
      <c r="AB24" s="1503">
        <v>1</v>
      </c>
      <c r="AC24" s="1503">
        <v>1</v>
      </c>
    </row>
    <row r="25" spans="1:29" ht="15">
      <c r="A25" s="364"/>
      <c r="B25" s="126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739"/>
      <c r="Q25" s="1502">
        <f>B25</f>
        <v>111</v>
      </c>
      <c r="R25" s="714" t="s">
        <v>17</v>
      </c>
      <c r="S25" s="715">
        <f>F25</f>
        <v>100</v>
      </c>
      <c r="T25" s="714" t="s">
        <v>17</v>
      </c>
      <c r="U25" s="715">
        <f>H25</f>
        <v>100</v>
      </c>
      <c r="V25" s="714" t="s">
        <v>17</v>
      </c>
      <c r="W25" s="715">
        <f>J25</f>
        <v>100</v>
      </c>
      <c r="X25" s="1505"/>
      <c r="Y25" s="3739"/>
      <c r="Z25" s="1506">
        <f>Q25</f>
        <v>111</v>
      </c>
      <c r="AA25" s="1503">
        <f t="shared" si="3"/>
        <v>1</v>
      </c>
      <c r="AB25" s="1503">
        <f t="shared" si="4"/>
        <v>1</v>
      </c>
      <c r="AC25" s="1503">
        <f t="shared" si="5"/>
        <v>1</v>
      </c>
    </row>
    <row r="26" spans="1:29" ht="15">
      <c r="A26" s="387"/>
      <c r="B26" s="126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739"/>
      <c r="Q26" s="1502">
        <f t="shared" ref="Q26:Q40" si="11">B26</f>
        <v>111</v>
      </c>
      <c r="R26" s="714" t="s">
        <v>17</v>
      </c>
      <c r="S26" s="715">
        <f>F26</f>
        <v>100</v>
      </c>
      <c r="T26" s="714" t="s">
        <v>17</v>
      </c>
      <c r="U26" s="715">
        <f>H26</f>
        <v>100</v>
      </c>
      <c r="V26" s="714" t="s">
        <v>17</v>
      </c>
      <c r="W26" s="715">
        <f>J26</f>
        <v>100</v>
      </c>
      <c r="X26" s="1505"/>
      <c r="Y26" s="3739"/>
      <c r="Z26" s="1506">
        <f>Q26</f>
        <v>111</v>
      </c>
      <c r="AA26" s="1503">
        <f t="shared" si="3"/>
        <v>1</v>
      </c>
      <c r="AB26" s="1503">
        <f t="shared" si="4"/>
        <v>1</v>
      </c>
      <c r="AC26" s="1503">
        <f t="shared" si="5"/>
        <v>1</v>
      </c>
    </row>
    <row r="27" spans="1:29" s="113" customFormat="1" ht="15">
      <c r="A27" s="390"/>
      <c r="B27" s="126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739"/>
      <c r="Q27" s="1493">
        <f t="shared" si="11"/>
        <v>111</v>
      </c>
      <c r="R27" s="710" t="s">
        <v>17</v>
      </c>
      <c r="S27" s="711">
        <f>F27</f>
        <v>100</v>
      </c>
      <c r="T27" s="710" t="s">
        <v>17</v>
      </c>
      <c r="U27" s="711">
        <f>H27</f>
        <v>100</v>
      </c>
      <c r="V27" s="710" t="s">
        <v>17</v>
      </c>
      <c r="W27" s="711">
        <f>J27</f>
        <v>100</v>
      </c>
      <c r="X27" s="712"/>
      <c r="Y27" s="3739"/>
      <c r="Z27" s="55">
        <f>Q27</f>
        <v>111</v>
      </c>
      <c r="AA27" s="1503">
        <f>D27/F27</f>
        <v>1</v>
      </c>
      <c r="AB27" s="1503">
        <f>D27/H27</f>
        <v>1</v>
      </c>
      <c r="AC27" s="1503">
        <f>D27/J27</f>
        <v>1</v>
      </c>
    </row>
    <row r="28" spans="1:29" ht="15.75" thickBot="1">
      <c r="A28" s="395"/>
      <c r="B28" s="126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739"/>
      <c r="Q28" s="1502">
        <f t="shared" si="11"/>
        <v>111</v>
      </c>
      <c r="R28" s="714" t="s">
        <v>17</v>
      </c>
      <c r="S28" s="715">
        <f t="shared" ref="S28:S40" si="12">F28</f>
        <v>100</v>
      </c>
      <c r="T28" s="714" t="s">
        <v>17</v>
      </c>
      <c r="U28" s="715">
        <f t="shared" ref="U28:U40" si="13">H28</f>
        <v>100</v>
      </c>
      <c r="V28" s="714" t="s">
        <v>17</v>
      </c>
      <c r="W28" s="715">
        <f t="shared" ref="W28:W40" si="14">J28</f>
        <v>100</v>
      </c>
      <c r="X28" s="1505"/>
      <c r="Y28" s="3739"/>
      <c r="Z28" s="1506">
        <f t="shared" ref="Z28:Z40" si="15">Q28</f>
        <v>111</v>
      </c>
      <c r="AA28" s="1503">
        <f t="shared" si="3"/>
        <v>1</v>
      </c>
      <c r="AB28" s="1503">
        <f t="shared" si="4"/>
        <v>1</v>
      </c>
      <c r="AC28" s="1503">
        <f t="shared" si="5"/>
        <v>1</v>
      </c>
    </row>
    <row r="29" spans="1:29" ht="28.5">
      <c r="A29" s="425" t="s">
        <v>2322</v>
      </c>
      <c r="B29" s="67" t="s">
        <v>2452</v>
      </c>
      <c r="C29" s="2116"/>
      <c r="D29" s="426">
        <v>100</v>
      </c>
      <c r="E29" s="2116"/>
      <c r="F29" s="420">
        <f>SUMIF(88:88,E29,89:89)-SUMIF(88:88,C29,89:89)+100</f>
        <v>100</v>
      </c>
      <c r="G29" s="2116"/>
      <c r="H29" s="394">
        <f>SUMIF(88:88,G29,89:89)-SUMIF(88:88,C29,89:89)+100</f>
        <v>100</v>
      </c>
      <c r="I29" s="2116"/>
      <c r="J29" s="426">
        <f>SUMIF(88:88,I29,89:89)-SUMIF(88:88,C29,89:89)+100</f>
        <v>100</v>
      </c>
      <c r="K29" s="569"/>
      <c r="L29" s="1050"/>
      <c r="M29" s="1041"/>
      <c r="N29" s="1041"/>
      <c r="O29" s="1049"/>
      <c r="P29" s="3796" t="s">
        <v>2324</v>
      </c>
      <c r="Q29" s="1502" t="str">
        <f t="shared" si="11"/>
        <v>建筑类型</v>
      </c>
      <c r="R29" s="714" t="s">
        <v>17</v>
      </c>
      <c r="S29" s="715">
        <f t="shared" si="12"/>
        <v>100</v>
      </c>
      <c r="T29" s="714" t="s">
        <v>17</v>
      </c>
      <c r="U29" s="715">
        <f t="shared" si="13"/>
        <v>100</v>
      </c>
      <c r="V29" s="714" t="s">
        <v>17</v>
      </c>
      <c r="W29" s="715">
        <f t="shared" si="14"/>
        <v>100</v>
      </c>
      <c r="X29" s="1505"/>
      <c r="Y29" s="3743" t="s">
        <v>2324</v>
      </c>
      <c r="Z29" s="1506" t="str">
        <f t="shared" si="15"/>
        <v>建筑类型</v>
      </c>
      <c r="AA29" s="1503">
        <f t="shared" si="3"/>
        <v>1</v>
      </c>
      <c r="AB29" s="1503">
        <f t="shared" si="4"/>
        <v>1</v>
      </c>
      <c r="AC29" s="1503">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743"/>
      <c r="Q30" s="716" t="str">
        <f t="shared" si="11"/>
        <v>项目建筑规模</v>
      </c>
      <c r="R30" s="717" t="s">
        <v>17</v>
      </c>
      <c r="S30" s="718" t="e">
        <f t="shared" si="12"/>
        <v>#N/A</v>
      </c>
      <c r="T30" s="717" t="s">
        <v>17</v>
      </c>
      <c r="U30" s="718" t="e">
        <f t="shared" si="13"/>
        <v>#N/A</v>
      </c>
      <c r="V30" s="717" t="s">
        <v>17</v>
      </c>
      <c r="W30" s="718" t="e">
        <f t="shared" si="14"/>
        <v>#N/A</v>
      </c>
      <c r="X30" s="719"/>
      <c r="Y30" s="3743"/>
      <c r="Z30" s="720" t="str">
        <f t="shared" si="15"/>
        <v>项目建筑规模</v>
      </c>
      <c r="AA30" s="1503" t="e">
        <f t="shared" si="3"/>
        <v>#N/A</v>
      </c>
      <c r="AB30" s="1503" t="e">
        <f t="shared" si="4"/>
        <v>#N/A</v>
      </c>
      <c r="AC30" s="1503"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743"/>
      <c r="Q31" s="1502" t="str">
        <f t="shared" si="11"/>
        <v>建筑结构</v>
      </c>
      <c r="R31" s="714" t="s">
        <v>17</v>
      </c>
      <c r="S31" s="715">
        <f t="shared" si="12"/>
        <v>100</v>
      </c>
      <c r="T31" s="714" t="s">
        <v>17</v>
      </c>
      <c r="U31" s="715">
        <f t="shared" si="13"/>
        <v>100</v>
      </c>
      <c r="V31" s="714" t="s">
        <v>17</v>
      </c>
      <c r="W31" s="715">
        <f t="shared" si="14"/>
        <v>100</v>
      </c>
      <c r="X31" s="1505"/>
      <c r="Y31" s="3743"/>
      <c r="Z31" s="1506" t="str">
        <f t="shared" si="15"/>
        <v>建筑结构</v>
      </c>
      <c r="AA31" s="1503">
        <f t="shared" si="3"/>
        <v>1</v>
      </c>
      <c r="AB31" s="1503">
        <f t="shared" si="4"/>
        <v>1</v>
      </c>
      <c r="AC31" s="1503">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743"/>
      <c r="Q32" s="1502" t="str">
        <f t="shared" si="11"/>
        <v>公共部分装修</v>
      </c>
      <c r="R32" s="714" t="s">
        <v>17</v>
      </c>
      <c r="S32" s="715">
        <f t="shared" si="12"/>
        <v>100</v>
      </c>
      <c r="T32" s="714" t="s">
        <v>17</v>
      </c>
      <c r="U32" s="715">
        <f t="shared" si="13"/>
        <v>100</v>
      </c>
      <c r="V32" s="714" t="s">
        <v>17</v>
      </c>
      <c r="W32" s="715">
        <f t="shared" si="14"/>
        <v>100</v>
      </c>
      <c r="X32" s="1505"/>
      <c r="Y32" s="3743"/>
      <c r="Z32" s="1506" t="str">
        <f t="shared" si="15"/>
        <v>公共部分装修</v>
      </c>
      <c r="AA32" s="1503">
        <f t="shared" si="3"/>
        <v>1</v>
      </c>
      <c r="AB32" s="1503">
        <f t="shared" si="4"/>
        <v>1</v>
      </c>
      <c r="AC32" s="1503">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743"/>
      <c r="Q33" s="1502" t="str">
        <f t="shared" si="11"/>
        <v>成新度</v>
      </c>
      <c r="R33" s="714" t="s">
        <v>17</v>
      </c>
      <c r="S33" s="715" t="e">
        <f t="shared" si="12"/>
        <v>#N/A</v>
      </c>
      <c r="T33" s="714" t="s">
        <v>17</v>
      </c>
      <c r="U33" s="715" t="e">
        <f t="shared" si="13"/>
        <v>#N/A</v>
      </c>
      <c r="V33" s="714" t="s">
        <v>17</v>
      </c>
      <c r="W33" s="715" t="e">
        <f t="shared" si="14"/>
        <v>#N/A</v>
      </c>
      <c r="X33" s="1505"/>
      <c r="Y33" s="3743"/>
      <c r="Z33" s="1506" t="str">
        <f t="shared" si="15"/>
        <v>成新度</v>
      </c>
      <c r="AA33" s="1503" t="e">
        <f t="shared" si="3"/>
        <v>#N/A</v>
      </c>
      <c r="AB33" s="1503" t="e">
        <f t="shared" si="4"/>
        <v>#N/A</v>
      </c>
      <c r="AC33" s="1503"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743"/>
      <c r="Q34" s="1493" t="str">
        <f t="shared" si="11"/>
        <v>物业管理</v>
      </c>
      <c r="R34" s="710" t="s">
        <v>17</v>
      </c>
      <c r="S34" s="711">
        <f t="shared" si="12"/>
        <v>100</v>
      </c>
      <c r="T34" s="710" t="s">
        <v>17</v>
      </c>
      <c r="U34" s="711">
        <f t="shared" si="13"/>
        <v>100</v>
      </c>
      <c r="V34" s="710" t="s">
        <v>17</v>
      </c>
      <c r="W34" s="711">
        <f t="shared" si="14"/>
        <v>100</v>
      </c>
      <c r="X34" s="712"/>
      <c r="Y34" s="3743"/>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743" t="s">
        <v>2324</v>
      </c>
      <c r="Q35" s="1502" t="str">
        <f t="shared" si="11"/>
        <v>市政基础设施</v>
      </c>
      <c r="R35" s="714" t="s">
        <v>17</v>
      </c>
      <c r="S35" s="715">
        <f t="shared" si="12"/>
        <v>100</v>
      </c>
      <c r="T35" s="714" t="s">
        <v>17</v>
      </c>
      <c r="U35" s="715">
        <f t="shared" si="13"/>
        <v>100</v>
      </c>
      <c r="V35" s="714" t="s">
        <v>17</v>
      </c>
      <c r="W35" s="715">
        <f t="shared" si="14"/>
        <v>100</v>
      </c>
      <c r="X35" s="1505"/>
      <c r="Y35" s="3743" t="s">
        <v>2324</v>
      </c>
      <c r="Z35" s="1506" t="str">
        <f t="shared" si="15"/>
        <v>市政基础设施</v>
      </c>
      <c r="AA35" s="1503">
        <f t="shared" si="3"/>
        <v>1</v>
      </c>
      <c r="AB35" s="1503">
        <f t="shared" si="4"/>
        <v>1</v>
      </c>
      <c r="AC35" s="1503">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743"/>
      <c r="Q36" s="1502" t="str">
        <f t="shared" si="11"/>
        <v>内部装修</v>
      </c>
      <c r="R36" s="714" t="s">
        <v>17</v>
      </c>
      <c r="S36" s="715">
        <f t="shared" si="12"/>
        <v>100</v>
      </c>
      <c r="T36" s="714" t="s">
        <v>17</v>
      </c>
      <c r="U36" s="715">
        <f t="shared" si="13"/>
        <v>100</v>
      </c>
      <c r="V36" s="714" t="s">
        <v>17</v>
      </c>
      <c r="W36" s="715">
        <f t="shared" si="14"/>
        <v>100</v>
      </c>
      <c r="X36" s="1505"/>
      <c r="Y36" s="3743"/>
      <c r="Z36" s="1506" t="str">
        <f t="shared" si="15"/>
        <v>内部装修</v>
      </c>
      <c r="AA36" s="1503">
        <f t="shared" si="3"/>
        <v>1</v>
      </c>
      <c r="AB36" s="1503">
        <f t="shared" si="4"/>
        <v>1</v>
      </c>
      <c r="AC36" s="1503">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743"/>
      <c r="Q37" s="1502" t="str">
        <f t="shared" si="11"/>
        <v>内部装修状况</v>
      </c>
      <c r="R37" s="714" t="s">
        <v>17</v>
      </c>
      <c r="S37" s="715">
        <f t="shared" si="12"/>
        <v>100</v>
      </c>
      <c r="T37" s="714" t="s">
        <v>17</v>
      </c>
      <c r="U37" s="715">
        <f t="shared" si="13"/>
        <v>100</v>
      </c>
      <c r="V37" s="714" t="s">
        <v>17</v>
      </c>
      <c r="W37" s="715">
        <f t="shared" si="14"/>
        <v>100</v>
      </c>
      <c r="X37" s="1505"/>
      <c r="Y37" s="3743"/>
      <c r="Z37" s="1506" t="str">
        <f t="shared" si="15"/>
        <v>内部装修状况</v>
      </c>
      <c r="AA37" s="1503">
        <f t="shared" si="3"/>
        <v>1</v>
      </c>
      <c r="AB37" s="1503">
        <f t="shared" si="4"/>
        <v>1</v>
      </c>
      <c r="AC37" s="1503">
        <f t="shared" si="5"/>
        <v>1</v>
      </c>
    </row>
    <row r="38" spans="1:29" s="430" customFormat="1" ht="15">
      <c r="A38" s="427"/>
      <c r="B38" s="126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743"/>
      <c r="Q38" s="716">
        <f t="shared" si="11"/>
        <v>111</v>
      </c>
      <c r="R38" s="717" t="s">
        <v>17</v>
      </c>
      <c r="S38" s="718">
        <f t="shared" si="12"/>
        <v>100</v>
      </c>
      <c r="T38" s="717" t="s">
        <v>17</v>
      </c>
      <c r="U38" s="718">
        <f t="shared" si="13"/>
        <v>100</v>
      </c>
      <c r="V38" s="717" t="s">
        <v>17</v>
      </c>
      <c r="W38" s="718">
        <f t="shared" si="14"/>
        <v>100</v>
      </c>
      <c r="X38" s="719"/>
      <c r="Y38" s="3743"/>
      <c r="Z38" s="720">
        <f t="shared" si="15"/>
        <v>111</v>
      </c>
      <c r="AA38" s="1503">
        <f t="shared" si="3"/>
        <v>1</v>
      </c>
      <c r="AB38" s="1503">
        <f t="shared" si="4"/>
        <v>1</v>
      </c>
      <c r="AC38" s="1503">
        <f t="shared" si="5"/>
        <v>1</v>
      </c>
    </row>
    <row r="39" spans="1:29" ht="15">
      <c r="A39" s="431"/>
      <c r="B39" s="126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743"/>
      <c r="Q39" s="1502">
        <f t="shared" si="11"/>
        <v>111</v>
      </c>
      <c r="R39" s="714" t="s">
        <v>17</v>
      </c>
      <c r="S39" s="715">
        <f t="shared" si="12"/>
        <v>100</v>
      </c>
      <c r="T39" s="714" t="s">
        <v>17</v>
      </c>
      <c r="U39" s="715">
        <f t="shared" si="13"/>
        <v>100</v>
      </c>
      <c r="V39" s="714" t="s">
        <v>17</v>
      </c>
      <c r="W39" s="715">
        <f t="shared" si="14"/>
        <v>100</v>
      </c>
      <c r="X39" s="1505"/>
      <c r="Y39" s="3743"/>
      <c r="Z39" s="1506">
        <f t="shared" si="15"/>
        <v>111</v>
      </c>
      <c r="AA39" s="1503">
        <f t="shared" si="3"/>
        <v>1</v>
      </c>
      <c r="AB39" s="1503">
        <f t="shared" si="4"/>
        <v>1</v>
      </c>
      <c r="AC39" s="1503">
        <f t="shared" si="5"/>
        <v>1</v>
      </c>
    </row>
    <row r="40" spans="1:29" ht="15.75" thickBot="1">
      <c r="A40" s="437"/>
      <c r="B40" s="204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744"/>
      <c r="Q40" s="1502">
        <f t="shared" si="11"/>
        <v>111</v>
      </c>
      <c r="R40" s="714" t="s">
        <v>17</v>
      </c>
      <c r="S40" s="715">
        <f t="shared" si="12"/>
        <v>100</v>
      </c>
      <c r="T40" s="714" t="s">
        <v>17</v>
      </c>
      <c r="U40" s="715">
        <f t="shared" si="13"/>
        <v>100</v>
      </c>
      <c r="V40" s="714" t="s">
        <v>17</v>
      </c>
      <c r="W40" s="715">
        <f t="shared" si="14"/>
        <v>100</v>
      </c>
      <c r="X40" s="1505"/>
      <c r="Y40" s="3744"/>
      <c r="Z40" s="1506">
        <f t="shared" si="15"/>
        <v>111</v>
      </c>
      <c r="AA40" s="1503">
        <f t="shared" si="3"/>
        <v>1</v>
      </c>
      <c r="AB40" s="1503">
        <f t="shared" si="4"/>
        <v>1</v>
      </c>
      <c r="AC40" s="1503">
        <f t="shared" si="5"/>
        <v>1</v>
      </c>
    </row>
    <row r="41" spans="1:29" ht="15">
      <c r="A41" s="438" t="s">
        <v>2336</v>
      </c>
      <c r="B41" s="439"/>
      <c r="C41" s="1284" t="s">
        <v>1</v>
      </c>
      <c r="D41" s="1285"/>
      <c r="E41" s="1286"/>
      <c r="F41" s="1287"/>
      <c r="G41" s="1288"/>
      <c r="H41" s="1289"/>
      <c r="I41" s="1286"/>
      <c r="J41" s="1289"/>
      <c r="K41" s="723"/>
      <c r="L41" s="1053"/>
      <c r="M41" s="1054"/>
      <c r="N41" s="1041"/>
      <c r="O41" s="1054"/>
      <c r="P41" s="3736" t="str">
        <f>A41</f>
        <v>成交单价（元/平方米）</v>
      </c>
      <c r="Q41" s="3736"/>
      <c r="R41" s="3737">
        <f>E41</f>
        <v>0</v>
      </c>
      <c r="S41" s="3737"/>
      <c r="T41" s="3737">
        <f>G41</f>
        <v>0</v>
      </c>
      <c r="U41" s="3737"/>
      <c r="V41" s="3737">
        <f>I41</f>
        <v>0</v>
      </c>
      <c r="W41" s="3737"/>
      <c r="X41" s="699"/>
      <c r="Y41" s="721"/>
      <c r="Z41" s="699"/>
      <c r="AA41" s="699"/>
      <c r="AB41" s="699"/>
      <c r="AC41" s="699"/>
    </row>
    <row r="42" spans="1:29" ht="15.75" thickBot="1">
      <c r="A42" s="445" t="s">
        <v>2428</v>
      </c>
      <c r="B42" s="446"/>
      <c r="C42" s="1290" t="e">
        <f>R43</f>
        <v>#DIV/0!</v>
      </c>
      <c r="D42" s="2501" t="s">
        <v>2819</v>
      </c>
      <c r="E42" s="1291" t="e">
        <f>R42</f>
        <v>#DIV/0!</v>
      </c>
      <c r="F42" s="2502"/>
      <c r="G42" s="1290" t="e">
        <f>T42</f>
        <v>#DIV/0!</v>
      </c>
      <c r="H42" s="2502"/>
      <c r="I42" s="1291" t="e">
        <f>V42</f>
        <v>#DIV/0!</v>
      </c>
      <c r="J42" s="2502"/>
      <c r="K42" s="2504">
        <f>F42+H42+J42</f>
        <v>0</v>
      </c>
      <c r="L42" s="1053"/>
      <c r="M42" s="1054"/>
      <c r="N42" s="1041"/>
      <c r="O42" s="1054"/>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9"/>
      <c r="Y42" s="699"/>
      <c r="Z42" s="699"/>
      <c r="AA42" s="699"/>
      <c r="AB42" s="699"/>
      <c r="AC42" s="699"/>
    </row>
    <row r="43" spans="1:29" ht="15.75" thickBot="1">
      <c r="A43" s="449" t="s">
        <v>2429</v>
      </c>
      <c r="B43" s="450"/>
      <c r="C43" s="1293" t="e">
        <f>R43</f>
        <v>#DIV/0!</v>
      </c>
      <c r="D43" s="1293"/>
      <c r="E43" s="1293"/>
      <c r="F43" s="1293"/>
      <c r="G43" s="1293"/>
      <c r="H43" s="1293"/>
      <c r="I43" s="1293"/>
      <c r="J43" s="1293"/>
      <c r="K43" s="724"/>
      <c r="L43" s="1053"/>
      <c r="M43" s="1054"/>
      <c r="N43" s="1054"/>
      <c r="O43" s="1054"/>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9"/>
      <c r="Y43" s="699"/>
      <c r="Z43" s="699"/>
      <c r="AA43" s="699"/>
      <c r="AB43" s="699"/>
      <c r="AC43" s="699"/>
    </row>
    <row r="44" spans="1:29">
      <c r="A44" s="2916"/>
      <c r="B44" s="2916"/>
      <c r="C44" s="2916"/>
      <c r="D44" s="2916"/>
      <c r="E44" s="2916"/>
      <c r="F44" s="2916"/>
      <c r="G44" s="2920"/>
      <c r="H44" s="2916"/>
      <c r="I44" s="2916"/>
      <c r="J44" s="2916"/>
      <c r="K44" s="2921"/>
      <c r="L44" s="1016"/>
      <c r="M44" s="1054"/>
      <c r="N44" s="1054"/>
      <c r="O44" s="1054"/>
    </row>
    <row r="45" spans="1:29">
      <c r="A45" s="2916"/>
      <c r="B45" s="2916"/>
      <c r="C45" s="2916"/>
      <c r="D45" s="2916"/>
      <c r="E45" s="2916"/>
      <c r="F45" s="2916"/>
      <c r="G45" s="2916"/>
      <c r="H45" s="2916"/>
      <c r="I45" s="2916"/>
      <c r="J45" s="2916"/>
      <c r="K45" s="2921"/>
      <c r="L45" s="1016"/>
      <c r="M45" s="1054"/>
      <c r="N45" s="1054"/>
      <c r="O45" s="1054"/>
    </row>
    <row r="46" spans="1:29" ht="13.5" customHeight="1">
      <c r="A46" s="2916"/>
      <c r="B46" s="2916"/>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1016"/>
      <c r="M46" s="1054"/>
      <c r="N46" s="1054"/>
      <c r="O46" s="1054"/>
    </row>
    <row r="47" spans="1:29" ht="13.5" customHeight="1">
      <c r="A47" s="2916"/>
      <c r="B47" s="2916"/>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1016"/>
      <c r="M47" s="1054"/>
      <c r="N47" s="1054"/>
      <c r="O47" s="1054"/>
    </row>
    <row r="48" spans="1:29" s="459" customFormat="1" ht="13.5" customHeight="1">
      <c r="A48" s="2919"/>
      <c r="B48" s="2919"/>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1057"/>
      <c r="M48" s="1055"/>
      <c r="N48" s="1055"/>
      <c r="O48" s="1055"/>
    </row>
    <row r="49" spans="1:17" s="459" customFormat="1">
      <c r="A49" s="2919"/>
      <c r="B49" s="2922"/>
      <c r="C49" s="2923"/>
      <c r="D49" s="2919"/>
      <c r="E49" s="2919"/>
      <c r="F49" s="2919"/>
      <c r="G49" s="2919"/>
      <c r="H49" s="2919"/>
      <c r="I49" s="2919"/>
      <c r="J49" s="2919"/>
      <c r="K49" s="2924"/>
      <c r="L49" s="1057"/>
      <c r="M49" s="1055"/>
      <c r="N49" s="1055"/>
      <c r="O49" s="1055"/>
    </row>
    <row r="50" spans="1:17">
      <c r="A50" s="2916"/>
      <c r="B50" s="2922"/>
      <c r="C50" s="2923"/>
      <c r="D50" s="2916"/>
      <c r="E50" s="2916"/>
      <c r="F50" s="2916"/>
      <c r="G50" s="2916"/>
      <c r="H50" s="2916"/>
      <c r="I50" s="2916"/>
      <c r="J50" s="2916"/>
      <c r="K50" s="2921"/>
      <c r="L50" s="1016"/>
      <c r="M50" s="1054"/>
      <c r="N50" s="1054"/>
      <c r="O50" s="1054"/>
    </row>
    <row r="51" spans="1:17" ht="21.75" thickBot="1">
      <c r="A51" s="703" t="s">
        <v>2433</v>
      </c>
      <c r="B51" s="699"/>
      <c r="C51" s="704"/>
      <c r="D51" s="704"/>
      <c r="E51" s="704"/>
      <c r="F51" s="705"/>
      <c r="G51" s="705"/>
      <c r="H51" s="704"/>
      <c r="I51" s="704"/>
      <c r="J51" s="704"/>
      <c r="K51" s="1068"/>
      <c r="L51" s="1069"/>
      <c r="M51" s="1067"/>
      <c r="N51" s="1067"/>
      <c r="O51" s="1067"/>
      <c r="P51" s="460"/>
      <c r="Q51" s="461"/>
    </row>
    <row r="52" spans="1:17" s="465" customFormat="1" ht="15">
      <c r="A52" s="462" t="s">
        <v>2307</v>
      </c>
      <c r="B52" s="463"/>
      <c r="C52" s="1314" t="str">
        <f>YEAR(C7)&amp;"-"&amp;MONTH(C7)</f>
        <v>2022-4</v>
      </c>
      <c r="D52" s="1315">
        <f>EDATE(C52,-1)</f>
        <v>44621</v>
      </c>
      <c r="E52" s="1315">
        <f t="shared" ref="E52:O52" si="16">EDATE(D52,-1)</f>
        <v>44593</v>
      </c>
      <c r="F52" s="1315">
        <f t="shared" si="16"/>
        <v>44562</v>
      </c>
      <c r="G52" s="1315">
        <f t="shared" si="16"/>
        <v>44531</v>
      </c>
      <c r="H52" s="1315">
        <f t="shared" si="16"/>
        <v>44501</v>
      </c>
      <c r="I52" s="1315">
        <f t="shared" si="16"/>
        <v>44470</v>
      </c>
      <c r="J52" s="1315">
        <f t="shared" si="16"/>
        <v>44440</v>
      </c>
      <c r="K52" s="1315">
        <f t="shared" si="16"/>
        <v>44409</v>
      </c>
      <c r="L52" s="1315">
        <f t="shared" si="16"/>
        <v>44378</v>
      </c>
      <c r="M52" s="1315">
        <f t="shared" si="16"/>
        <v>44348</v>
      </c>
      <c r="N52" s="1315">
        <f t="shared" si="16"/>
        <v>44317</v>
      </c>
      <c r="O52" s="1315">
        <f t="shared" si="16"/>
        <v>44287</v>
      </c>
      <c r="P52" s="464"/>
    </row>
    <row r="53" spans="1:17" s="113" customFormat="1" ht="15">
      <c r="A53" s="466"/>
      <c r="B53" s="467"/>
      <c r="C53" s="1313">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1"/>
      <c r="O54" s="2962"/>
      <c r="P54" s="461"/>
      <c r="Q54" s="461"/>
    </row>
    <row r="55" spans="1:17" s="113" customFormat="1" ht="15">
      <c r="A55" s="478" t="s">
        <v>2309</v>
      </c>
      <c r="B55" s="467"/>
      <c r="C55" s="479" t="s">
        <v>2411</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2347</v>
      </c>
      <c r="B57" s="485" t="s">
        <v>2313</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59"/>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077"/>
      <c r="B87" s="526"/>
      <c r="C87" s="527"/>
      <c r="D87" s="527"/>
      <c r="E87" s="527"/>
      <c r="F87" s="527"/>
      <c r="G87" s="548"/>
      <c r="H87" s="548"/>
      <c r="I87" s="548"/>
      <c r="J87" s="548"/>
      <c r="K87" s="548"/>
      <c r="L87" s="548"/>
      <c r="M87" s="549"/>
      <c r="N87" s="1061"/>
      <c r="O87" s="1061"/>
      <c r="P87" s="45"/>
      <c r="Q87" s="461"/>
    </row>
    <row r="88" spans="1:17">
      <c r="A88" s="484" t="s">
        <v>2322</v>
      </c>
      <c r="B88" s="485" t="s">
        <v>2371</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2373</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2375</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2376</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2377</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2379</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077"/>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2290</v>
      </c>
      <c r="D1" s="1361"/>
      <c r="E1" s="1362"/>
      <c r="F1" s="2030"/>
      <c r="G1" s="1363" t="s">
        <v>2402</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8" customFormat="1" ht="28.5" customHeight="1" thickTop="1">
      <c r="A2" s="1357" t="s">
        <v>2087</v>
      </c>
      <c r="B2" s="1294" t="e">
        <f ca="1">IF(C2="——",IF(B37="元/平方米",ROUND(C39*D3/10000,0),ROUND(F3*C39/10000,0)),IF(B37="元/平方米",ROUND(C39*D3/10000,0),ROUND(F3*C39/10000,0))-D2)</f>
        <v>#DIV/0!</v>
      </c>
      <c r="C2" s="2032"/>
      <c r="D2" s="1034" t="e">
        <f ca="1">SUMIF(INDIRECT("'"&amp;F2&amp;"'"&amp;"!A:A"),"承租人权益价值",INDIRECT("'"&amp;F2&amp;"'"&amp;"!c:c"))</f>
        <v>#REF!</v>
      </c>
      <c r="E2" s="2033" t="s">
        <v>2088</v>
      </c>
      <c r="F2" s="2034"/>
      <c r="G2" s="1035"/>
      <c r="H2" s="1035"/>
      <c r="I2" s="1035"/>
      <c r="J2" s="1035"/>
      <c r="K2" s="1037"/>
      <c r="L2" s="2925"/>
      <c r="M2" s="2926"/>
      <c r="N2" s="2926"/>
      <c r="O2" s="2926"/>
      <c r="P2" s="1295"/>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2403</v>
      </c>
      <c r="D3" s="359">
        <f>SUMIF('数据-汇总表'!$C19:$C33,D1,'数据-汇总表'!$E19:$E33)</f>
        <v>0</v>
      </c>
      <c r="E3" s="360" t="s">
        <v>2467</v>
      </c>
      <c r="F3" s="359">
        <f>SUMIF('数据-取费表'!A5:A15,D1,'数据-取费表'!AH5:AH15)</f>
        <v>0</v>
      </c>
      <c r="G3" s="1035"/>
      <c r="H3" s="1035"/>
      <c r="I3" s="1035"/>
      <c r="J3" s="1035"/>
      <c r="K3" s="1037"/>
      <c r="L3" s="2925"/>
      <c r="M3" s="2926"/>
      <c r="N3" s="2926"/>
      <c r="O3" s="2926"/>
      <c r="P3" s="1295"/>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61" t="s">
        <v>2406</v>
      </c>
      <c r="S4" s="3762"/>
      <c r="T4" s="3761" t="s">
        <v>2407</v>
      </c>
      <c r="U4" s="3762"/>
      <c r="V4" s="3767" t="s">
        <v>2408</v>
      </c>
      <c r="W4" s="3767"/>
      <c r="X4" s="1505"/>
      <c r="Y4" s="3761" t="s">
        <v>2410</v>
      </c>
      <c r="Z4" s="3762"/>
      <c r="AA4" s="3748" t="s">
        <v>2406</v>
      </c>
      <c r="AB4" s="3749" t="s">
        <v>2407</v>
      </c>
      <c r="AC4" s="3748" t="s">
        <v>2408</v>
      </c>
    </row>
    <row r="5" spans="1:29" ht="15">
      <c r="A5" s="364"/>
      <c r="B5" s="365"/>
      <c r="C5" s="3779" t="s">
        <v>2301</v>
      </c>
      <c r="D5" s="3771"/>
      <c r="E5" s="3780" t="s">
        <v>2302</v>
      </c>
      <c r="F5" s="3778"/>
      <c r="G5" s="3779" t="s">
        <v>2303</v>
      </c>
      <c r="H5" s="3771"/>
      <c r="I5" s="3779" t="s">
        <v>2304</v>
      </c>
      <c r="J5" s="3771"/>
      <c r="K5" s="567"/>
      <c r="L5" s="2906"/>
      <c r="M5" s="2907"/>
      <c r="N5" s="2907"/>
      <c r="O5" s="2907"/>
      <c r="P5" s="3757"/>
      <c r="Q5" s="3758"/>
      <c r="R5" s="3763"/>
      <c r="S5" s="3764"/>
      <c r="T5" s="3763"/>
      <c r="U5" s="3764"/>
      <c r="V5" s="3767"/>
      <c r="W5" s="3767"/>
      <c r="X5" s="1505"/>
      <c r="Y5" s="3763"/>
      <c r="Z5" s="3764"/>
      <c r="AA5" s="3749"/>
      <c r="AB5" s="3749"/>
      <c r="AC5" s="3749"/>
    </row>
    <row r="6" spans="1:29" ht="15.75" thickBot="1">
      <c r="A6" s="366"/>
      <c r="B6" s="367"/>
      <c r="C6" s="3768" t="s">
        <v>2305</v>
      </c>
      <c r="D6" s="3769"/>
      <c r="E6" s="3775" t="s">
        <v>2305</v>
      </c>
      <c r="F6" s="3776"/>
      <c r="G6" s="3768" t="s">
        <v>2305</v>
      </c>
      <c r="H6" s="3769"/>
      <c r="I6" s="3768" t="s">
        <v>2305</v>
      </c>
      <c r="J6" s="3769"/>
      <c r="K6" s="567" t="s">
        <v>2306</v>
      </c>
      <c r="L6" s="2906"/>
      <c r="M6" s="2907"/>
      <c r="N6" s="2907"/>
      <c r="O6" s="2907"/>
      <c r="P6" s="3759"/>
      <c r="Q6" s="3760"/>
      <c r="R6" s="3763"/>
      <c r="S6" s="3764"/>
      <c r="T6" s="3765"/>
      <c r="U6" s="3766"/>
      <c r="V6" s="3767"/>
      <c r="W6" s="3767"/>
      <c r="X6" s="1505"/>
      <c r="Y6" s="3765"/>
      <c r="Z6" s="3766"/>
      <c r="AA6" s="3750"/>
      <c r="AB6" s="3750"/>
      <c r="AC6" s="3750"/>
    </row>
    <row r="7" spans="1:29" s="113" customFormat="1" ht="15.75" thickBot="1">
      <c r="A7" s="368" t="s">
        <v>2307</v>
      </c>
      <c r="B7" s="369"/>
      <c r="C7" s="370">
        <f>'数据-取费表'!B2</f>
        <v>44652</v>
      </c>
      <c r="D7" s="371">
        <v>100</v>
      </c>
      <c r="E7" s="372"/>
      <c r="F7" s="373">
        <f>SUMIF(48:48,YEAR(E7)&amp;"-"&amp;MONTH(E7),49:49)</f>
        <v>0</v>
      </c>
      <c r="G7" s="372"/>
      <c r="H7" s="371">
        <f>SUMIF(48:48,YEAR(G7)&amp;"-"&amp;MONTH(G7),49:49)</f>
        <v>0</v>
      </c>
      <c r="I7" s="372"/>
      <c r="J7" s="371">
        <f>SUMIF(48:48,YEAR(I7)&amp;"-"&amp;MONTH(I7),49:49)</f>
        <v>0</v>
      </c>
      <c r="K7" s="568"/>
      <c r="L7" s="2908"/>
      <c r="M7" s="2909"/>
      <c r="N7" s="2909"/>
      <c r="O7" s="2909"/>
      <c r="P7" s="3772" t="s">
        <v>2308</v>
      </c>
      <c r="Q7" s="3774"/>
      <c r="R7" s="710" t="s">
        <v>17</v>
      </c>
      <c r="S7" s="711">
        <f t="shared" ref="S7:S14" si="0">F7</f>
        <v>0</v>
      </c>
      <c r="T7" s="710" t="s">
        <v>17</v>
      </c>
      <c r="U7" s="711">
        <f t="shared" ref="U7:U14" si="1">H7</f>
        <v>0</v>
      </c>
      <c r="V7" s="710" t="s">
        <v>17</v>
      </c>
      <c r="W7" s="711">
        <f t="shared" ref="W7:W14" si="2">J7</f>
        <v>0</v>
      </c>
      <c r="X7" s="712"/>
      <c r="Y7" s="3772" t="s">
        <v>2308</v>
      </c>
      <c r="Z7" s="3773"/>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08"/>
      <c r="M8" s="2909"/>
      <c r="N8" s="2909"/>
      <c r="O8" s="2909"/>
      <c r="P8" s="3772" t="s">
        <v>2311</v>
      </c>
      <c r="Q8" s="3773"/>
      <c r="R8" s="710" t="s">
        <v>17</v>
      </c>
      <c r="S8" s="711">
        <f t="shared" si="0"/>
        <v>0</v>
      </c>
      <c r="T8" s="710" t="s">
        <v>17</v>
      </c>
      <c r="U8" s="711">
        <f t="shared" si="1"/>
        <v>0</v>
      </c>
      <c r="V8" s="710" t="s">
        <v>17</v>
      </c>
      <c r="W8" s="711">
        <f t="shared" si="2"/>
        <v>0</v>
      </c>
      <c r="X8" s="712"/>
      <c r="Y8" s="3772" t="s">
        <v>2311</v>
      </c>
      <c r="Z8" s="3773"/>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08"/>
      <c r="M9" s="2909"/>
      <c r="N9" s="2909"/>
      <c r="O9" s="2909"/>
      <c r="P9" s="3736" t="s">
        <v>2314</v>
      </c>
      <c r="Q9" s="1493" t="str">
        <f t="shared" ref="Q9:Q14" si="6">B9</f>
        <v>用途</v>
      </c>
      <c r="R9" s="710" t="s">
        <v>17</v>
      </c>
      <c r="S9" s="711">
        <f t="shared" si="0"/>
        <v>100</v>
      </c>
      <c r="T9" s="710" t="s">
        <v>17</v>
      </c>
      <c r="U9" s="711">
        <f t="shared" si="1"/>
        <v>100</v>
      </c>
      <c r="V9" s="710" t="s">
        <v>17</v>
      </c>
      <c r="W9" s="711">
        <f t="shared" si="2"/>
        <v>100</v>
      </c>
      <c r="X9" s="712"/>
      <c r="Y9" s="3608"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0"/>
      <c r="M10" s="2911"/>
      <c r="N10" s="2911"/>
      <c r="O10" s="2911"/>
      <c r="P10" s="3736"/>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2"/>
      <c r="M11" s="2907"/>
      <c r="N11" s="2907"/>
      <c r="O11" s="2907"/>
      <c r="P11" s="3736"/>
      <c r="Q11" s="1493">
        <f t="shared" si="6"/>
        <v>111</v>
      </c>
      <c r="R11" s="710" t="s">
        <v>17</v>
      </c>
      <c r="S11" s="711">
        <f t="shared" si="0"/>
        <v>100</v>
      </c>
      <c r="T11" s="710" t="s">
        <v>17</v>
      </c>
      <c r="U11" s="711">
        <f t="shared" si="1"/>
        <v>100</v>
      </c>
      <c r="V11" s="710" t="s">
        <v>17</v>
      </c>
      <c r="W11" s="711">
        <f t="shared" si="2"/>
        <v>100</v>
      </c>
      <c r="X11" s="712"/>
      <c r="Y11" s="360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8"/>
      <c r="M12" s="2909"/>
      <c r="N12" s="2909"/>
      <c r="O12" s="2909"/>
      <c r="P12" s="3736"/>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3"/>
      <c r="M13" s="2907"/>
      <c r="N13" s="2907"/>
      <c r="O13" s="2907"/>
      <c r="P13" s="3736"/>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713">
        <f t="shared" si="5"/>
        <v>1</v>
      </c>
    </row>
    <row r="14" spans="1:29" ht="199.5">
      <c r="A14" s="361" t="s">
        <v>2318</v>
      </c>
      <c r="B14" s="585" t="s">
        <v>2468</v>
      </c>
      <c r="C14" s="2120"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400">
        <v>100</v>
      </c>
      <c r="E14" s="401"/>
      <c r="F14" s="402">
        <f>SUMIF(63:63,E15,64:64)-SUMIF(63:63,C15,64:64)+100</f>
        <v>100</v>
      </c>
      <c r="G14" s="403"/>
      <c r="H14" s="400">
        <f>SUMIF(63:63,G15,64:64)-SUMIF(63:63,C15,64:64)+100</f>
        <v>100</v>
      </c>
      <c r="I14" s="401"/>
      <c r="J14" s="400">
        <f>SUMIF(63:63,I15,64:64)-SUMIF(63:63,C15,64:64)+100</f>
        <v>100</v>
      </c>
      <c r="K14" s="571"/>
      <c r="L14" s="2913"/>
      <c r="M14" s="2907"/>
      <c r="N14" s="2907"/>
      <c r="O14" s="2907"/>
      <c r="P14" s="3738" t="s">
        <v>2319</v>
      </c>
      <c r="Q14" s="1502" t="str">
        <f t="shared" si="6"/>
        <v>交通便捷度</v>
      </c>
      <c r="R14" s="714" t="s">
        <v>17</v>
      </c>
      <c r="S14" s="715">
        <f t="shared" si="0"/>
        <v>100</v>
      </c>
      <c r="T14" s="714" t="s">
        <v>17</v>
      </c>
      <c r="U14" s="715">
        <f t="shared" si="1"/>
        <v>100</v>
      </c>
      <c r="V14" s="714" t="s">
        <v>17</v>
      </c>
      <c r="W14" s="715">
        <f t="shared" si="2"/>
        <v>100</v>
      </c>
      <c r="X14" s="1505"/>
      <c r="Y14" s="3738" t="s">
        <v>2319</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3"/>
      <c r="M15" s="2907"/>
      <c r="N15" s="2907"/>
      <c r="O15" s="2907"/>
      <c r="P15" s="3739"/>
      <c r="Q15" s="1502"/>
      <c r="R15" s="714"/>
      <c r="S15" s="715"/>
      <c r="T15" s="714"/>
      <c r="U15" s="715"/>
      <c r="V15" s="714"/>
      <c r="W15" s="715"/>
      <c r="X15" s="1505"/>
      <c r="Y15" s="3739"/>
      <c r="Z15" s="1506"/>
      <c r="AA15" s="1503">
        <v>1</v>
      </c>
      <c r="AB15" s="1503">
        <v>1</v>
      </c>
      <c r="AC15" s="1503">
        <v>1</v>
      </c>
    </row>
    <row r="16" spans="1:29" ht="356.25">
      <c r="A16" s="364"/>
      <c r="B16" s="587" t="s">
        <v>2447</v>
      </c>
      <c r="C16" s="2051"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4">
        <v>100</v>
      </c>
      <c r="E16" s="416"/>
      <c r="F16" s="417">
        <f>SUMIF(65:65,E17,66:66)-SUMIF(65:65,C17,66:66)+100</f>
        <v>100</v>
      </c>
      <c r="G16" s="418"/>
      <c r="H16" s="414">
        <f>SUMIF(65:65,G17,66:66)-SUMIF(65:65,C17,66:66)+100</f>
        <v>100</v>
      </c>
      <c r="I16" s="416"/>
      <c r="J16" s="414">
        <f>SUMIF(65:65,I17,66:66)-SUMIF(65:65,C17,66:66)+100</f>
        <v>100</v>
      </c>
      <c r="K16" s="571"/>
      <c r="L16" s="2913"/>
      <c r="M16" s="2907"/>
      <c r="N16" s="2907"/>
      <c r="O16" s="2907"/>
      <c r="P16" s="3739"/>
      <c r="Q16" s="1502" t="str">
        <f>B16</f>
        <v>公共配套设施</v>
      </c>
      <c r="R16" s="714" t="s">
        <v>17</v>
      </c>
      <c r="S16" s="715">
        <f>F16</f>
        <v>100</v>
      </c>
      <c r="T16" s="714" t="s">
        <v>17</v>
      </c>
      <c r="U16" s="715">
        <f>H16</f>
        <v>100</v>
      </c>
      <c r="V16" s="714" t="s">
        <v>17</v>
      </c>
      <c r="W16" s="715">
        <f>J16</f>
        <v>100</v>
      </c>
      <c r="X16" s="1505"/>
      <c r="Y16" s="3739"/>
      <c r="Z16" s="1506" t="str">
        <f>Q16</f>
        <v>公共配套设施</v>
      </c>
      <c r="AA16" s="1503">
        <f t="shared" si="3"/>
        <v>1</v>
      </c>
      <c r="AB16" s="1503">
        <f t="shared" si="4"/>
        <v>1</v>
      </c>
      <c r="AC16" s="1503">
        <f t="shared" si="5"/>
        <v>1</v>
      </c>
    </row>
    <row r="17" spans="1:29" ht="15">
      <c r="A17" s="364"/>
      <c r="B17" s="588"/>
      <c r="C17" s="2052"/>
      <c r="D17" s="407"/>
      <c r="E17" s="406"/>
      <c r="F17" s="408"/>
      <c r="G17" s="406"/>
      <c r="H17" s="407"/>
      <c r="I17" s="406"/>
      <c r="J17" s="407"/>
      <c r="K17" s="572"/>
      <c r="L17" s="2913"/>
      <c r="M17" s="2907"/>
      <c r="N17" s="2907"/>
      <c r="O17" s="2907"/>
      <c r="P17" s="3739"/>
      <c r="Q17" s="1502"/>
      <c r="R17" s="714"/>
      <c r="S17" s="715"/>
      <c r="T17" s="714"/>
      <c r="U17" s="715"/>
      <c r="V17" s="714"/>
      <c r="W17" s="715"/>
      <c r="X17" s="1505"/>
      <c r="Y17" s="3739"/>
      <c r="Z17" s="1506"/>
      <c r="AA17" s="1503">
        <v>1</v>
      </c>
      <c r="AB17" s="1503">
        <v>1</v>
      </c>
      <c r="AC17" s="1503">
        <v>1</v>
      </c>
    </row>
    <row r="18" spans="1:29" ht="28.5">
      <c r="A18" s="364"/>
      <c r="B18" s="589" t="s">
        <v>2448</v>
      </c>
      <c r="C18" s="2051"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3"/>
      <c r="M18" s="2907"/>
      <c r="N18" s="2907"/>
      <c r="O18" s="2907"/>
      <c r="P18" s="3739"/>
      <c r="Q18" s="1502" t="str">
        <f>B18</f>
        <v>基础设施水平</v>
      </c>
      <c r="R18" s="714" t="s">
        <v>17</v>
      </c>
      <c r="S18" s="715">
        <f>F18</f>
        <v>100</v>
      </c>
      <c r="T18" s="714" t="s">
        <v>17</v>
      </c>
      <c r="U18" s="715">
        <f>H18</f>
        <v>100</v>
      </c>
      <c r="V18" s="714" t="s">
        <v>17</v>
      </c>
      <c r="W18" s="715">
        <f>J18</f>
        <v>100</v>
      </c>
      <c r="X18" s="1505"/>
      <c r="Y18" s="3739"/>
      <c r="Z18" s="1506" t="str">
        <f>Q18</f>
        <v>基础设施水平</v>
      </c>
      <c r="AA18" s="1503">
        <f t="shared" ref="AA18" si="8">D18/F18</f>
        <v>1</v>
      </c>
      <c r="AB18" s="1503">
        <f t="shared" ref="AB18" si="9">D18/H18</f>
        <v>1</v>
      </c>
      <c r="AC18" s="1503">
        <f t="shared" ref="AC18" si="10">D18/J18</f>
        <v>1</v>
      </c>
    </row>
    <row r="19" spans="1:29" ht="15">
      <c r="A19" s="364"/>
      <c r="B19" s="589"/>
      <c r="C19" s="2052"/>
      <c r="D19" s="409"/>
      <c r="E19" s="2052"/>
      <c r="F19" s="412"/>
      <c r="G19" s="2052"/>
      <c r="H19" s="407"/>
      <c r="I19" s="406"/>
      <c r="J19" s="407"/>
      <c r="K19" s="1260"/>
      <c r="L19" s="2913"/>
      <c r="M19" s="2907"/>
      <c r="N19" s="2907"/>
      <c r="O19" s="2907"/>
      <c r="P19" s="3739"/>
      <c r="Q19" s="1502"/>
      <c r="R19" s="714"/>
      <c r="S19" s="715"/>
      <c r="T19" s="714"/>
      <c r="U19" s="715"/>
      <c r="V19" s="714"/>
      <c r="W19" s="715"/>
      <c r="X19" s="1505"/>
      <c r="Y19" s="3739"/>
      <c r="Z19" s="1506"/>
      <c r="AA19" s="1503">
        <v>1</v>
      </c>
      <c r="AB19" s="1503">
        <v>1</v>
      </c>
      <c r="AC19" s="1503">
        <v>1</v>
      </c>
    </row>
    <row r="20" spans="1:29" ht="128.25">
      <c r="A20" s="364"/>
      <c r="B20" s="587" t="s">
        <v>2469</v>
      </c>
      <c r="C20" s="2051" t="str">
        <f>IF(B1="工业",估价对象房地状况!G7,估价对象房地状况!C9)</f>
        <v>自然环境有西湖园、社区文化公园等自然景观；人文环境无；距离北京首都国际机场1.5公里，机场噪音大，综合评价环境状况较差。</v>
      </c>
      <c r="D20" s="414">
        <v>100</v>
      </c>
      <c r="E20" s="416"/>
      <c r="F20" s="417">
        <f>SUMIF(69:69,E21,70:70)-SUMIF(69:69,C21,70:70)+100</f>
        <v>100</v>
      </c>
      <c r="G20" s="418"/>
      <c r="H20" s="409">
        <f>SUMIF(69:69,G21,70:70)-SUMIF(69:69,C21,70:70)+100</f>
        <v>100</v>
      </c>
      <c r="I20" s="411"/>
      <c r="J20" s="409">
        <f>SUMIF(69:69,I21,70:70)-SUMIF(69:69,C21,70:70)+100</f>
        <v>100</v>
      </c>
      <c r="K20" s="571"/>
      <c r="L20" s="2913"/>
      <c r="M20" s="2907"/>
      <c r="N20" s="2907"/>
      <c r="O20" s="2907"/>
      <c r="P20" s="3739"/>
      <c r="Q20" s="1502" t="str">
        <f>B20</f>
        <v>自然及人文环境</v>
      </c>
      <c r="R20" s="714" t="s">
        <v>17</v>
      </c>
      <c r="S20" s="715">
        <f>F20</f>
        <v>100</v>
      </c>
      <c r="T20" s="714" t="s">
        <v>17</v>
      </c>
      <c r="U20" s="715">
        <f>H20</f>
        <v>100</v>
      </c>
      <c r="V20" s="714" t="s">
        <v>17</v>
      </c>
      <c r="W20" s="715">
        <f>J20</f>
        <v>100</v>
      </c>
      <c r="X20" s="1505"/>
      <c r="Y20" s="3739"/>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3"/>
      <c r="M21" s="2907"/>
      <c r="N21" s="2907"/>
      <c r="O21" s="2907"/>
      <c r="P21" s="3739"/>
      <c r="Q21" s="1502"/>
      <c r="R21" s="714"/>
      <c r="S21" s="715"/>
      <c r="T21" s="714"/>
      <c r="U21" s="715"/>
      <c r="V21" s="714"/>
      <c r="W21" s="715"/>
      <c r="X21" s="1505"/>
      <c r="Y21" s="3739"/>
      <c r="Z21" s="1506"/>
      <c r="AA21" s="1503">
        <v>1</v>
      </c>
      <c r="AB21" s="1503">
        <v>1</v>
      </c>
      <c r="AC21" s="1503">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3"/>
      <c r="M22" s="2907"/>
      <c r="N22" s="2907"/>
      <c r="O22" s="2907"/>
      <c r="P22" s="3739"/>
      <c r="Q22" s="1502" t="str">
        <f>B22</f>
        <v>楼层</v>
      </c>
      <c r="R22" s="714" t="s">
        <v>17</v>
      </c>
      <c r="S22" s="715">
        <f>F22</f>
        <v>100</v>
      </c>
      <c r="T22" s="714" t="s">
        <v>17</v>
      </c>
      <c r="U22" s="715">
        <f>H22</f>
        <v>100</v>
      </c>
      <c r="V22" s="714" t="s">
        <v>17</v>
      </c>
      <c r="W22" s="715">
        <f>J22</f>
        <v>100</v>
      </c>
      <c r="X22" s="1505"/>
      <c r="Y22" s="3739"/>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3"/>
      <c r="M23" s="2907"/>
      <c r="N23" s="2907"/>
      <c r="O23" s="2907"/>
      <c r="P23" s="3739"/>
      <c r="Q23" s="1502">
        <f>B23</f>
        <v>111</v>
      </c>
      <c r="R23" s="714" t="s">
        <v>17</v>
      </c>
      <c r="S23" s="715">
        <f>F23</f>
        <v>100</v>
      </c>
      <c r="T23" s="714" t="s">
        <v>17</v>
      </c>
      <c r="U23" s="715">
        <f>H23</f>
        <v>100</v>
      </c>
      <c r="V23" s="714" t="s">
        <v>17</v>
      </c>
      <c r="W23" s="715">
        <f>J23</f>
        <v>100</v>
      </c>
      <c r="X23" s="1505"/>
      <c r="Y23" s="3739"/>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3"/>
      <c r="M24" s="2907"/>
      <c r="N24" s="2907"/>
      <c r="O24" s="2907"/>
      <c r="P24" s="3739"/>
      <c r="Q24" s="1502">
        <f t="shared" ref="Q24:Q36" si="11">B24</f>
        <v>111</v>
      </c>
      <c r="R24" s="714" t="s">
        <v>17</v>
      </c>
      <c r="S24" s="715">
        <f>F24</f>
        <v>100</v>
      </c>
      <c r="T24" s="714" t="s">
        <v>17</v>
      </c>
      <c r="U24" s="715">
        <f>H24</f>
        <v>100</v>
      </c>
      <c r="V24" s="714" t="s">
        <v>17</v>
      </c>
      <c r="W24" s="715">
        <f>J24</f>
        <v>100</v>
      </c>
      <c r="X24" s="1505"/>
      <c r="Y24" s="3739"/>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8"/>
      <c r="M25" s="2909"/>
      <c r="N25" s="2909"/>
      <c r="O25" s="2909"/>
      <c r="P25" s="3739"/>
      <c r="Q25" s="1493">
        <f t="shared" si="11"/>
        <v>111</v>
      </c>
      <c r="R25" s="710" t="s">
        <v>17</v>
      </c>
      <c r="S25" s="711">
        <f>F25</f>
        <v>100</v>
      </c>
      <c r="T25" s="710" t="s">
        <v>17</v>
      </c>
      <c r="U25" s="711">
        <f>H25</f>
        <v>100</v>
      </c>
      <c r="V25" s="710" t="s">
        <v>17</v>
      </c>
      <c r="W25" s="711">
        <f>J25</f>
        <v>100</v>
      </c>
      <c r="X25" s="712"/>
      <c r="Y25" s="3739"/>
      <c r="Z25" s="55">
        <f>Q25</f>
        <v>111</v>
      </c>
      <c r="AA25" s="1503">
        <f>D25/F25</f>
        <v>1</v>
      </c>
      <c r="AB25" s="1503">
        <f>D25/H25</f>
        <v>1</v>
      </c>
      <c r="AC25" s="1503">
        <f>D25/J25</f>
        <v>1</v>
      </c>
    </row>
    <row r="26" spans="1:29" ht="28.5">
      <c r="A26" s="608" t="s">
        <v>2322</v>
      </c>
      <c r="B26" s="66" t="s">
        <v>2471</v>
      </c>
      <c r="C26" s="2121">
        <f>B1</f>
        <v>0</v>
      </c>
      <c r="D26" s="407">
        <v>100</v>
      </c>
      <c r="E26" s="406"/>
      <c r="F26" s="408">
        <f>SUMIF(79:79,E26,80:80)-SUMIF(79:79,C26,80:80)+100</f>
        <v>100</v>
      </c>
      <c r="G26" s="406"/>
      <c r="H26" s="407">
        <f>SUMIF(79:79,G26,80:80)-SUMIF(79:79,C26,80:80)+100</f>
        <v>100</v>
      </c>
      <c r="I26" s="406"/>
      <c r="J26" s="407">
        <f>SUMIF(79:79,I26,80:80)-SUMIF(79:79,C26,80:80)+100</f>
        <v>100</v>
      </c>
      <c r="K26" s="569"/>
      <c r="L26" s="2913"/>
      <c r="M26" s="2907"/>
      <c r="N26" s="2907"/>
      <c r="O26" s="2907"/>
      <c r="P26" s="3796" t="s">
        <v>2324</v>
      </c>
      <c r="Q26" s="1502" t="str">
        <f t="shared" si="11"/>
        <v>配套类型</v>
      </c>
      <c r="R26" s="714" t="s">
        <v>17</v>
      </c>
      <c r="S26" s="715">
        <f t="shared" ref="S26:S36" si="12">F26</f>
        <v>100</v>
      </c>
      <c r="T26" s="714" t="s">
        <v>17</v>
      </c>
      <c r="U26" s="715">
        <f t="shared" ref="U26:U36" si="13">H26</f>
        <v>100</v>
      </c>
      <c r="V26" s="714" t="s">
        <v>17</v>
      </c>
      <c r="W26" s="715">
        <f t="shared" ref="W26:W36" si="14">J26</f>
        <v>100</v>
      </c>
      <c r="X26" s="1505"/>
      <c r="Y26" s="3743" t="s">
        <v>2324</v>
      </c>
      <c r="Z26" s="1506" t="str">
        <f t="shared" ref="Z26:Z36" si="15">Q26</f>
        <v>配套类型</v>
      </c>
      <c r="AA26" s="1503">
        <f t="shared" si="3"/>
        <v>1</v>
      </c>
      <c r="AB26" s="1503">
        <f t="shared" si="4"/>
        <v>1</v>
      </c>
      <c r="AC26" s="1503">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2"/>
      <c r="M27" s="2914"/>
      <c r="N27" s="2914"/>
      <c r="O27" s="2914"/>
      <c r="P27" s="3743"/>
      <c r="Q27" s="716" t="str">
        <f t="shared" si="11"/>
        <v>项目停车位配比</v>
      </c>
      <c r="R27" s="717" t="s">
        <v>17</v>
      </c>
      <c r="S27" s="718">
        <f t="shared" si="12"/>
        <v>100</v>
      </c>
      <c r="T27" s="717" t="s">
        <v>17</v>
      </c>
      <c r="U27" s="718">
        <f t="shared" si="13"/>
        <v>100</v>
      </c>
      <c r="V27" s="717" t="s">
        <v>17</v>
      </c>
      <c r="W27" s="718">
        <f t="shared" si="14"/>
        <v>100</v>
      </c>
      <c r="X27" s="719"/>
      <c r="Y27" s="3743"/>
      <c r="Z27" s="720" t="str">
        <f t="shared" si="15"/>
        <v>项目停车位配比</v>
      </c>
      <c r="AA27" s="1503">
        <f t="shared" si="3"/>
        <v>1</v>
      </c>
      <c r="AB27" s="1503">
        <f t="shared" si="4"/>
        <v>1</v>
      </c>
      <c r="AC27" s="1503">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3"/>
      <c r="M28" s="2907"/>
      <c r="N28" s="2907"/>
      <c r="O28" s="2907"/>
      <c r="P28" s="3743"/>
      <c r="Q28" s="1502" t="str">
        <f t="shared" si="11"/>
        <v>公共部分装修</v>
      </c>
      <c r="R28" s="714" t="s">
        <v>17</v>
      </c>
      <c r="S28" s="715">
        <f t="shared" si="12"/>
        <v>100</v>
      </c>
      <c r="T28" s="714" t="s">
        <v>17</v>
      </c>
      <c r="U28" s="715">
        <f t="shared" si="13"/>
        <v>100</v>
      </c>
      <c r="V28" s="714" t="s">
        <v>17</v>
      </c>
      <c r="W28" s="715">
        <f t="shared" si="14"/>
        <v>100</v>
      </c>
      <c r="X28" s="1505"/>
      <c r="Y28" s="3743"/>
      <c r="Z28" s="1506" t="str">
        <f t="shared" si="15"/>
        <v>公共部分装修</v>
      </c>
      <c r="AA28" s="1503">
        <f t="shared" si="3"/>
        <v>1</v>
      </c>
      <c r="AB28" s="1503">
        <f t="shared" si="4"/>
        <v>1</v>
      </c>
      <c r="AC28" s="1503">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3"/>
      <c r="M29" s="2907"/>
      <c r="N29" s="2907"/>
      <c r="O29" s="2907"/>
      <c r="P29" s="3743"/>
      <c r="Q29" s="1502" t="str">
        <f t="shared" si="11"/>
        <v>成新率</v>
      </c>
      <c r="R29" s="714" t="s">
        <v>17</v>
      </c>
      <c r="S29" s="715" t="e">
        <f t="shared" si="12"/>
        <v>#N/A</v>
      </c>
      <c r="T29" s="714" t="s">
        <v>17</v>
      </c>
      <c r="U29" s="715" t="e">
        <f t="shared" si="13"/>
        <v>#N/A</v>
      </c>
      <c r="V29" s="714" t="s">
        <v>17</v>
      </c>
      <c r="W29" s="715" t="e">
        <f t="shared" si="14"/>
        <v>#N/A</v>
      </c>
      <c r="X29" s="1505"/>
      <c r="Y29" s="3743"/>
      <c r="Z29" s="1506" t="str">
        <f t="shared" si="15"/>
        <v>成新率</v>
      </c>
      <c r="AA29" s="1503" t="e">
        <f t="shared" si="3"/>
        <v>#N/A</v>
      </c>
      <c r="AB29" s="1503" t="e">
        <f t="shared" si="4"/>
        <v>#N/A</v>
      </c>
      <c r="AC29" s="1503"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3"/>
      <c r="M30" s="2907"/>
      <c r="N30" s="2907"/>
      <c r="O30" s="2907"/>
      <c r="P30" s="3743"/>
      <c r="Q30" s="1502" t="str">
        <f t="shared" si="11"/>
        <v>物业等级</v>
      </c>
      <c r="R30" s="714" t="s">
        <v>17</v>
      </c>
      <c r="S30" s="715">
        <f t="shared" si="12"/>
        <v>100</v>
      </c>
      <c r="T30" s="714" t="s">
        <v>17</v>
      </c>
      <c r="U30" s="715">
        <f t="shared" si="13"/>
        <v>100</v>
      </c>
      <c r="V30" s="714" t="s">
        <v>17</v>
      </c>
      <c r="W30" s="715">
        <f t="shared" si="14"/>
        <v>100</v>
      </c>
      <c r="X30" s="1505"/>
      <c r="Y30" s="3743"/>
      <c r="Z30" s="1506" t="str">
        <f t="shared" si="15"/>
        <v>物业等级</v>
      </c>
      <c r="AA30" s="1503">
        <f t="shared" si="3"/>
        <v>1</v>
      </c>
      <c r="AB30" s="1503">
        <f t="shared" si="4"/>
        <v>1</v>
      </c>
      <c r="AC30" s="1503">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8"/>
      <c r="M31" s="2909"/>
      <c r="N31" s="2909"/>
      <c r="O31" s="2909"/>
      <c r="P31" s="3743"/>
      <c r="Q31" s="1493" t="str">
        <f t="shared" si="11"/>
        <v>停车位面积</v>
      </c>
      <c r="R31" s="710" t="s">
        <v>17</v>
      </c>
      <c r="S31" s="711" t="e">
        <f t="shared" si="12"/>
        <v>#N/A</v>
      </c>
      <c r="T31" s="710" t="s">
        <v>17</v>
      </c>
      <c r="U31" s="711" t="e">
        <f t="shared" si="13"/>
        <v>#N/A</v>
      </c>
      <c r="V31" s="710" t="s">
        <v>17</v>
      </c>
      <c r="W31" s="711" t="e">
        <f t="shared" si="14"/>
        <v>#N/A</v>
      </c>
      <c r="X31" s="712"/>
      <c r="Y31" s="3743"/>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3"/>
      <c r="M32" s="2907"/>
      <c r="N32" s="2907"/>
      <c r="O32" s="2907"/>
      <c r="P32" s="3743" t="s">
        <v>2324</v>
      </c>
      <c r="Q32" s="1502" t="str">
        <f t="shared" si="11"/>
        <v>车位类型</v>
      </c>
      <c r="R32" s="714" t="s">
        <v>17</v>
      </c>
      <c r="S32" s="715">
        <f t="shared" si="12"/>
        <v>100</v>
      </c>
      <c r="T32" s="714" t="s">
        <v>17</v>
      </c>
      <c r="U32" s="715">
        <f t="shared" si="13"/>
        <v>100</v>
      </c>
      <c r="V32" s="714" t="s">
        <v>17</v>
      </c>
      <c r="W32" s="715">
        <f t="shared" si="14"/>
        <v>100</v>
      </c>
      <c r="X32" s="1505"/>
      <c r="Y32" s="3743" t="s">
        <v>2324</v>
      </c>
      <c r="Z32" s="1506" t="str">
        <f t="shared" si="15"/>
        <v>车位类型</v>
      </c>
      <c r="AA32" s="1503">
        <f t="shared" si="3"/>
        <v>1</v>
      </c>
      <c r="AB32" s="1503">
        <f t="shared" si="4"/>
        <v>1</v>
      </c>
      <c r="AC32" s="1503">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3"/>
      <c r="M33" s="2907"/>
      <c r="N33" s="2907"/>
      <c r="O33" s="2907"/>
      <c r="P33" s="3743"/>
      <c r="Q33" s="1502" t="str">
        <f t="shared" si="11"/>
        <v>是否直接入户</v>
      </c>
      <c r="R33" s="714" t="s">
        <v>17</v>
      </c>
      <c r="S33" s="715">
        <f t="shared" si="12"/>
        <v>100</v>
      </c>
      <c r="T33" s="714" t="s">
        <v>17</v>
      </c>
      <c r="U33" s="715">
        <f t="shared" si="13"/>
        <v>100</v>
      </c>
      <c r="V33" s="714" t="s">
        <v>17</v>
      </c>
      <c r="W33" s="715">
        <f t="shared" si="14"/>
        <v>100</v>
      </c>
      <c r="X33" s="1505"/>
      <c r="Y33" s="3743"/>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3"/>
      <c r="M34" s="2907"/>
      <c r="N34" s="2907"/>
      <c r="O34" s="2907"/>
      <c r="P34" s="3743"/>
      <c r="Q34" s="1502">
        <f t="shared" si="11"/>
        <v>111</v>
      </c>
      <c r="R34" s="714" t="s">
        <v>17</v>
      </c>
      <c r="S34" s="715">
        <f t="shared" si="12"/>
        <v>100</v>
      </c>
      <c r="T34" s="714" t="s">
        <v>17</v>
      </c>
      <c r="U34" s="715">
        <f t="shared" si="13"/>
        <v>100</v>
      </c>
      <c r="V34" s="714" t="s">
        <v>17</v>
      </c>
      <c r="W34" s="715">
        <f t="shared" si="14"/>
        <v>100</v>
      </c>
      <c r="X34" s="1505"/>
      <c r="Y34" s="3743"/>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2"/>
      <c r="M35" s="2914"/>
      <c r="N35" s="2914"/>
      <c r="O35" s="2914"/>
      <c r="P35" s="3743"/>
      <c r="Q35" s="716">
        <f t="shared" si="11"/>
        <v>111</v>
      </c>
      <c r="R35" s="717" t="s">
        <v>17</v>
      </c>
      <c r="S35" s="718">
        <f t="shared" si="12"/>
        <v>100</v>
      </c>
      <c r="T35" s="717" t="s">
        <v>17</v>
      </c>
      <c r="U35" s="718">
        <f t="shared" si="13"/>
        <v>100</v>
      </c>
      <c r="V35" s="717" t="s">
        <v>17</v>
      </c>
      <c r="W35" s="718">
        <f t="shared" si="14"/>
        <v>100</v>
      </c>
      <c r="X35" s="719"/>
      <c r="Y35" s="3743"/>
      <c r="Z35" s="720">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3"/>
      <c r="M36" s="2907"/>
      <c r="N36" s="2907"/>
      <c r="O36" s="2907"/>
      <c r="P36" s="3743"/>
      <c r="Q36" s="1502">
        <f t="shared" si="11"/>
        <v>111</v>
      </c>
      <c r="R36" s="714" t="s">
        <v>17</v>
      </c>
      <c r="S36" s="715">
        <f t="shared" si="12"/>
        <v>100</v>
      </c>
      <c r="T36" s="714" t="s">
        <v>17</v>
      </c>
      <c r="U36" s="715">
        <f t="shared" si="13"/>
        <v>100</v>
      </c>
      <c r="V36" s="714" t="s">
        <v>17</v>
      </c>
      <c r="W36" s="715">
        <f t="shared" si="14"/>
        <v>100</v>
      </c>
      <c r="X36" s="1505"/>
      <c r="Y36" s="3743"/>
      <c r="Z36" s="1506">
        <f t="shared" si="15"/>
        <v>111</v>
      </c>
      <c r="AA36" s="1503">
        <f t="shared" si="3"/>
        <v>1</v>
      </c>
      <c r="AB36" s="1503">
        <f t="shared" si="4"/>
        <v>1</v>
      </c>
      <c r="AC36" s="1503">
        <f t="shared" si="5"/>
        <v>1</v>
      </c>
    </row>
    <row r="37" spans="1:29" ht="15">
      <c r="A37" s="438" t="s">
        <v>2479</v>
      </c>
      <c r="B37" s="2122" t="s">
        <v>2480</v>
      </c>
      <c r="C37" s="1284" t="s">
        <v>1</v>
      </c>
      <c r="D37" s="1285"/>
      <c r="E37" s="1286"/>
      <c r="F37" s="1287"/>
      <c r="G37" s="1288"/>
      <c r="H37" s="1289"/>
      <c r="I37" s="1286"/>
      <c r="J37" s="1289"/>
      <c r="K37" s="576"/>
      <c r="L37" s="2915"/>
      <c r="M37" s="2916"/>
      <c r="N37" s="2907"/>
      <c r="O37" s="2916"/>
      <c r="P37" s="3736" t="str">
        <f>A37</f>
        <v>成交单价</v>
      </c>
      <c r="Q37" s="3736"/>
      <c r="R37" s="3737">
        <f>E37</f>
        <v>0</v>
      </c>
      <c r="S37" s="3737"/>
      <c r="T37" s="3737">
        <f>G37</f>
        <v>0</v>
      </c>
      <c r="U37" s="3737"/>
      <c r="V37" s="3737">
        <f>I37</f>
        <v>0</v>
      </c>
      <c r="W37" s="3737"/>
      <c r="X37" s="699"/>
      <c r="Y37" s="721"/>
      <c r="Z37" s="699"/>
      <c r="AA37" s="699"/>
      <c r="AB37" s="699"/>
      <c r="AC37" s="699"/>
    </row>
    <row r="38" spans="1:29" ht="15.75" thickBot="1">
      <c r="A38" s="445" t="s">
        <v>2481</v>
      </c>
      <c r="B38" s="446" t="str">
        <f>B37</f>
        <v>元/车位</v>
      </c>
      <c r="C38" s="1290" t="e">
        <f>R39</f>
        <v>#DIV/0!</v>
      </c>
      <c r="D38" s="2501" t="s">
        <v>2819</v>
      </c>
      <c r="E38" s="1291" t="e">
        <f>R38</f>
        <v>#DIV/0!</v>
      </c>
      <c r="F38" s="2502"/>
      <c r="G38" s="1290" t="e">
        <f>T38</f>
        <v>#DIV/0!</v>
      </c>
      <c r="H38" s="2502"/>
      <c r="I38" s="1291" t="e">
        <f>V38</f>
        <v>#DIV/0!</v>
      </c>
      <c r="J38" s="2502"/>
      <c r="K38" s="2504">
        <f>F38+H38+J38</f>
        <v>0</v>
      </c>
      <c r="L38" s="2915"/>
      <c r="M38" s="2916"/>
      <c r="N38" s="2916"/>
      <c r="O38" s="2916"/>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9"/>
      <c r="Y38" s="699"/>
      <c r="Z38" s="699"/>
      <c r="AA38" s="699"/>
      <c r="AB38" s="699"/>
      <c r="AC38" s="699"/>
    </row>
    <row r="39" spans="1:29" ht="15.75" thickBot="1">
      <c r="A39" s="449" t="s">
        <v>2482</v>
      </c>
      <c r="B39" s="450"/>
      <c r="C39" s="1293" t="e">
        <f>R39</f>
        <v>#DIV/0!</v>
      </c>
      <c r="D39" s="1293"/>
      <c r="E39" s="1293"/>
      <c r="F39" s="1293"/>
      <c r="G39" s="1293"/>
      <c r="H39" s="1293"/>
      <c r="I39" s="1293"/>
      <c r="J39" s="1293"/>
      <c r="K39" s="577"/>
      <c r="L39" s="2915"/>
      <c r="M39" s="2916"/>
      <c r="N39" s="2916"/>
      <c r="O39" s="2916"/>
      <c r="P39" s="3733" t="str">
        <f>A39</f>
        <v>估价对象XX用房的比较价值（楼面单价，元/平方米）</v>
      </c>
      <c r="Q39" s="3734"/>
      <c r="R39" s="3797" t="e">
        <f>IF(F1="售价",ROUND(IF(D38="简单平均",AVERAGE(R38:W38),R38*F38+T38*H38+V38*J38),0),ROUND(IF(D38="简单平均",AVERAGE(R38:V38),R38*F38+T38*H38+V38*J38),1))</f>
        <v>#DIV/0!</v>
      </c>
      <c r="S39" s="3797"/>
      <c r="T39" s="3797"/>
      <c r="U39" s="3797"/>
      <c r="V39" s="3797"/>
      <c r="W39" s="3797"/>
      <c r="X39" s="699"/>
      <c r="Y39" s="699"/>
      <c r="Z39" s="699"/>
      <c r="AA39" s="699"/>
      <c r="AB39" s="699"/>
      <c r="AC39" s="699"/>
    </row>
    <row r="40" spans="1:29">
      <c r="A40" s="2916"/>
      <c r="B40" s="2916"/>
      <c r="C40" s="2916"/>
      <c r="D40" s="2916"/>
      <c r="E40" s="2916"/>
      <c r="F40" s="2916"/>
      <c r="G40" s="2920"/>
      <c r="H40" s="2916"/>
      <c r="I40" s="2916"/>
      <c r="J40" s="2916"/>
      <c r="K40" s="2921"/>
      <c r="L40" s="2917"/>
      <c r="M40" s="2916"/>
      <c r="N40" s="2916"/>
      <c r="O40" s="2916"/>
      <c r="P40" s="2947"/>
      <c r="Q40" s="2916"/>
      <c r="R40" s="2916"/>
      <c r="S40" s="2916"/>
      <c r="T40" s="2916"/>
      <c r="U40" s="2916"/>
      <c r="V40" s="2916"/>
      <c r="W40" s="2916"/>
      <c r="X40" s="2916"/>
      <c r="Y40" s="2916"/>
      <c r="Z40" s="2916"/>
      <c r="AA40" s="2916"/>
      <c r="AB40" s="2916"/>
      <c r="AC40" s="2916"/>
    </row>
    <row r="41" spans="1:29">
      <c r="A41" s="2916"/>
      <c r="B41" s="2916"/>
      <c r="C41" s="2916"/>
      <c r="D41" s="2916"/>
      <c r="E41" s="2916"/>
      <c r="F41" s="2916"/>
      <c r="G41" s="2916"/>
      <c r="H41" s="2916"/>
      <c r="I41" s="2916"/>
      <c r="J41" s="2916"/>
      <c r="K41" s="2921"/>
      <c r="L41" s="2917"/>
      <c r="M41" s="2916"/>
      <c r="N41" s="2916"/>
      <c r="O41" s="2916"/>
      <c r="P41" s="2947"/>
      <c r="Q41" s="2916"/>
      <c r="R41" s="2916"/>
      <c r="S41" s="2916"/>
      <c r="T41" s="2916"/>
      <c r="U41" s="2916"/>
      <c r="V41" s="2916"/>
      <c r="W41" s="2916"/>
      <c r="X41" s="2916"/>
      <c r="Y41" s="2916"/>
      <c r="Z41" s="2916"/>
      <c r="AA41" s="2916"/>
      <c r="AB41" s="2916"/>
      <c r="AC41" s="2916"/>
    </row>
    <row r="42" spans="1:29" ht="13.5" customHeight="1">
      <c r="A42" s="2916"/>
      <c r="B42" s="2916"/>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1"/>
      <c r="L42" s="2917"/>
      <c r="M42" s="2916"/>
      <c r="N42" s="2916"/>
      <c r="O42" s="2916"/>
      <c r="P42" s="2947"/>
      <c r="Q42" s="2916"/>
      <c r="R42" s="2916"/>
      <c r="S42" s="2916"/>
      <c r="T42" s="2916"/>
      <c r="U42" s="2916"/>
      <c r="V42" s="2916"/>
      <c r="W42" s="2916"/>
      <c r="X42" s="2916"/>
      <c r="Y42" s="2916"/>
      <c r="Z42" s="2916"/>
      <c r="AA42" s="2916"/>
      <c r="AB42" s="2916"/>
      <c r="AC42" s="2916"/>
    </row>
    <row r="43" spans="1:29" ht="13.5" customHeight="1">
      <c r="A43" s="2916"/>
      <c r="B43" s="2916"/>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1"/>
      <c r="L43" s="2917"/>
      <c r="M43" s="2916"/>
      <c r="N43" s="2916"/>
      <c r="O43" s="2916"/>
      <c r="P43" s="2947"/>
      <c r="Q43" s="2916"/>
      <c r="R43" s="2916"/>
      <c r="S43" s="2916"/>
      <c r="T43" s="2916"/>
      <c r="U43" s="2916"/>
      <c r="V43" s="2916"/>
      <c r="W43" s="2916"/>
      <c r="X43" s="2916"/>
      <c r="Y43" s="2916"/>
      <c r="Z43" s="2916"/>
      <c r="AA43" s="2916"/>
      <c r="AB43" s="2916"/>
      <c r="AC43" s="2916"/>
    </row>
    <row r="44" spans="1:29" s="459" customFormat="1" ht="13.5" customHeight="1">
      <c r="A44" s="2919"/>
      <c r="B44" s="2919"/>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4"/>
      <c r="L44" s="2918"/>
      <c r="M44" s="2919"/>
      <c r="N44" s="2919"/>
      <c r="O44" s="2919"/>
      <c r="P44" s="2948"/>
      <c r="Q44" s="2919"/>
      <c r="R44" s="2919"/>
      <c r="S44" s="2919"/>
      <c r="T44" s="2919"/>
      <c r="U44" s="2919"/>
      <c r="V44" s="2919"/>
      <c r="W44" s="2919"/>
      <c r="X44" s="2919"/>
      <c r="Y44" s="2919"/>
      <c r="Z44" s="2919"/>
      <c r="AA44" s="2919"/>
      <c r="AB44" s="2919"/>
      <c r="AC44" s="2919"/>
    </row>
    <row r="45" spans="1:29" s="459" customFormat="1">
      <c r="A45" s="2919"/>
      <c r="B45" s="2922"/>
      <c r="C45" s="2923"/>
      <c r="D45" s="2919"/>
      <c r="E45" s="2919"/>
      <c r="F45" s="2919"/>
      <c r="G45" s="2919"/>
      <c r="H45" s="2919"/>
      <c r="I45" s="2919"/>
      <c r="J45" s="2919"/>
      <c r="K45" s="2924"/>
      <c r="L45" s="2918"/>
      <c r="M45" s="2919"/>
      <c r="N45" s="2919"/>
      <c r="O45" s="2919"/>
      <c r="P45" s="2948"/>
      <c r="Q45" s="2919"/>
      <c r="R45" s="2919"/>
      <c r="S45" s="2919"/>
      <c r="T45" s="2919"/>
      <c r="U45" s="2919"/>
      <c r="V45" s="2919"/>
      <c r="W45" s="2919"/>
      <c r="X45" s="2919"/>
      <c r="Y45" s="2919"/>
      <c r="Z45" s="2919"/>
      <c r="AA45" s="2919"/>
      <c r="AB45" s="2919"/>
      <c r="AC45" s="2919"/>
    </row>
    <row r="46" spans="1:29">
      <c r="A46" s="2916"/>
      <c r="B46" s="2922"/>
      <c r="C46" s="2923"/>
      <c r="D46" s="2916"/>
      <c r="E46" s="2916"/>
      <c r="F46" s="2916"/>
      <c r="G46" s="2916"/>
      <c r="H46" s="2916"/>
      <c r="I46" s="2916"/>
      <c r="J46" s="2916"/>
      <c r="K46" s="2921"/>
      <c r="L46" s="2917"/>
      <c r="M46" s="2916"/>
      <c r="N46" s="2916"/>
      <c r="O46" s="2916"/>
      <c r="P46" s="2947"/>
      <c r="Q46" s="2916"/>
      <c r="R46" s="2916"/>
      <c r="S46" s="2916"/>
      <c r="T46" s="2916"/>
      <c r="U46" s="2916"/>
      <c r="V46" s="2916"/>
      <c r="W46" s="2916"/>
      <c r="X46" s="2916"/>
      <c r="Y46" s="2916"/>
      <c r="Z46" s="2916"/>
      <c r="AA46" s="2916"/>
      <c r="AB46" s="2916"/>
      <c r="AC46" s="2916"/>
    </row>
    <row r="47" spans="1:29" ht="21.75" thickBot="1">
      <c r="A47" s="1296" t="s">
        <v>2486</v>
      </c>
      <c r="B47" s="1054"/>
      <c r="C47" s="1067"/>
      <c r="D47" s="1067"/>
      <c r="E47" s="1067"/>
      <c r="F47" s="1297"/>
      <c r="G47" s="1297"/>
      <c r="H47" s="1067"/>
      <c r="I47" s="1067"/>
      <c r="J47" s="1067"/>
      <c r="K47" s="1068"/>
      <c r="L47" s="1069"/>
      <c r="M47" s="1067"/>
      <c r="N47" s="2960"/>
      <c r="O47" s="2960"/>
      <c r="P47" s="2949"/>
      <c r="Q47" s="2930"/>
      <c r="R47" s="2916"/>
      <c r="S47" s="2916"/>
      <c r="T47" s="2916"/>
      <c r="U47" s="2916"/>
      <c r="V47" s="2916"/>
      <c r="W47" s="2916"/>
      <c r="X47" s="2916"/>
      <c r="Y47" s="2916"/>
      <c r="Z47" s="2916"/>
      <c r="AA47" s="2916"/>
      <c r="AB47" s="2916"/>
      <c r="AC47" s="2916"/>
    </row>
    <row r="48" spans="1:29" s="465" customFormat="1" ht="15">
      <c r="A48" s="462" t="s">
        <v>2487</v>
      </c>
      <c r="B48" s="463"/>
      <c r="C48" s="1314" t="str">
        <f>YEAR(C7)&amp;"-"&amp;MONTH(C7)</f>
        <v>2022-4</v>
      </c>
      <c r="D48" s="1315">
        <f>EDATE(C48,-1)</f>
        <v>44621</v>
      </c>
      <c r="E48" s="1315">
        <f t="shared" ref="E48:O48" si="16">EDATE(D48,-1)</f>
        <v>44593</v>
      </c>
      <c r="F48" s="1315">
        <f t="shared" si="16"/>
        <v>44562</v>
      </c>
      <c r="G48" s="1315">
        <f t="shared" si="16"/>
        <v>44531</v>
      </c>
      <c r="H48" s="1315">
        <f t="shared" si="16"/>
        <v>44501</v>
      </c>
      <c r="I48" s="1315">
        <f t="shared" si="16"/>
        <v>44470</v>
      </c>
      <c r="J48" s="1315">
        <f t="shared" si="16"/>
        <v>44440</v>
      </c>
      <c r="K48" s="1315">
        <f t="shared" si="16"/>
        <v>44409</v>
      </c>
      <c r="L48" s="1315">
        <f t="shared" si="16"/>
        <v>44378</v>
      </c>
      <c r="M48" s="1315">
        <f t="shared" si="16"/>
        <v>44348</v>
      </c>
      <c r="N48" s="1315">
        <f t="shared" si="16"/>
        <v>44317</v>
      </c>
      <c r="O48" s="1315">
        <f t="shared" si="16"/>
        <v>44287</v>
      </c>
      <c r="P48" s="2950"/>
      <c r="Q48" s="2932"/>
      <c r="R48" s="2932"/>
      <c r="S48" s="2932"/>
      <c r="T48" s="2932"/>
      <c r="U48" s="2932"/>
      <c r="V48" s="2932"/>
      <c r="W48" s="2932"/>
      <c r="X48" s="2932"/>
      <c r="Y48" s="2932"/>
      <c r="Z48" s="2932"/>
      <c r="AA48" s="2932"/>
      <c r="AB48" s="2932"/>
      <c r="AC48" s="2932"/>
    </row>
    <row r="49" spans="1:29" s="113" customFormat="1" ht="15">
      <c r="A49" s="466"/>
      <c r="B49" s="467"/>
      <c r="C49" s="1307">
        <v>100</v>
      </c>
      <c r="D49" s="469"/>
      <c r="E49" s="469"/>
      <c r="F49" s="469"/>
      <c r="G49" s="469"/>
      <c r="H49" s="469"/>
      <c r="I49" s="469"/>
      <c r="J49" s="469"/>
      <c r="K49" s="469"/>
      <c r="L49" s="469"/>
      <c r="M49" s="470"/>
      <c r="N49" s="469"/>
      <c r="O49" s="470"/>
      <c r="P49" s="2951"/>
      <c r="Q49" s="2850"/>
      <c r="R49" s="2850"/>
      <c r="S49" s="2850"/>
      <c r="T49" s="2850"/>
      <c r="U49" s="2850"/>
      <c r="V49" s="2850"/>
      <c r="W49" s="2850"/>
      <c r="X49" s="2850"/>
      <c r="Y49" s="2850"/>
      <c r="Z49" s="2850"/>
      <c r="AA49" s="2850"/>
      <c r="AB49" s="2850"/>
      <c r="AC49" s="2850"/>
    </row>
    <row r="50" spans="1:29" s="113" customFormat="1" ht="15.75" thickBot="1">
      <c r="A50" s="472" t="s">
        <v>2344</v>
      </c>
      <c r="B50" s="473"/>
      <c r="C50" s="474"/>
      <c r="D50" s="475"/>
      <c r="E50" s="475"/>
      <c r="F50" s="475"/>
      <c r="G50" s="475"/>
      <c r="H50" s="475"/>
      <c r="I50" s="475"/>
      <c r="J50" s="475"/>
      <c r="K50" s="475"/>
      <c r="L50" s="475"/>
      <c r="M50" s="476"/>
      <c r="N50" s="475"/>
      <c r="O50" s="476"/>
      <c r="P50" s="2951"/>
      <c r="Q50" s="2930"/>
      <c r="R50" s="2850"/>
      <c r="S50" s="2850"/>
      <c r="T50" s="2850"/>
      <c r="U50" s="2850"/>
      <c r="V50" s="2850"/>
      <c r="W50" s="2850"/>
      <c r="X50" s="2850"/>
      <c r="Y50" s="2850"/>
      <c r="Z50" s="2850"/>
      <c r="AA50" s="2850"/>
      <c r="AB50" s="2850"/>
      <c r="AC50" s="2850"/>
    </row>
    <row r="51" spans="1:29" s="113" customFormat="1" ht="15">
      <c r="A51" s="478" t="s">
        <v>2309</v>
      </c>
      <c r="B51" s="467"/>
      <c r="C51" s="479" t="s">
        <v>2411</v>
      </c>
      <c r="D51" s="480"/>
      <c r="E51" s="480"/>
      <c r="F51" s="480"/>
      <c r="G51" s="480"/>
      <c r="H51" s="480"/>
      <c r="I51" s="480"/>
      <c r="J51" s="480"/>
      <c r="K51" s="480"/>
      <c r="L51" s="481"/>
      <c r="M51" s="482"/>
      <c r="N51" s="2943"/>
      <c r="O51" s="2943"/>
      <c r="P51" s="2952"/>
      <c r="Q51" s="2930"/>
      <c r="R51" s="2850"/>
      <c r="S51" s="2850"/>
      <c r="T51" s="2850"/>
      <c r="U51" s="2850"/>
      <c r="V51" s="2850"/>
      <c r="W51" s="2850"/>
      <c r="X51" s="2850"/>
      <c r="Y51" s="2850"/>
      <c r="Z51" s="2850"/>
      <c r="AA51" s="2850"/>
      <c r="AB51" s="2850"/>
      <c r="AC51" s="2850"/>
    </row>
    <row r="52" spans="1:29" s="113" customFormat="1" ht="15.75" thickBot="1">
      <c r="A52" s="478"/>
      <c r="B52" s="467"/>
      <c r="C52" s="595">
        <v>100</v>
      </c>
      <c r="D52" s="469"/>
      <c r="E52" s="469"/>
      <c r="F52" s="469"/>
      <c r="G52" s="469"/>
      <c r="H52" s="469"/>
      <c r="I52" s="469"/>
      <c r="J52" s="469"/>
      <c r="K52" s="469"/>
      <c r="L52" s="469"/>
      <c r="M52" s="471"/>
      <c r="N52" s="2943"/>
      <c r="O52" s="2943"/>
      <c r="P52" s="2951"/>
      <c r="Q52" s="2930"/>
      <c r="R52" s="2850"/>
      <c r="S52" s="2850"/>
      <c r="T52" s="2850"/>
      <c r="U52" s="2850"/>
      <c r="V52" s="2850"/>
      <c r="W52" s="2850"/>
      <c r="X52" s="2850"/>
      <c r="Y52" s="2850"/>
      <c r="Z52" s="2850"/>
      <c r="AA52" s="2850"/>
      <c r="AB52" s="2850"/>
      <c r="AC52" s="2850"/>
    </row>
    <row r="53" spans="1:29">
      <c r="A53" s="484" t="s">
        <v>2347</v>
      </c>
      <c r="B53" s="485" t="s">
        <v>2313</v>
      </c>
      <c r="C53" s="486">
        <f>C9</f>
        <v>0</v>
      </c>
      <c r="D53" s="487"/>
      <c r="E53" s="487"/>
      <c r="F53" s="487"/>
      <c r="G53" s="487"/>
      <c r="H53" s="487"/>
      <c r="I53" s="487"/>
      <c r="J53" s="487"/>
      <c r="K53" s="488"/>
      <c r="L53" s="489"/>
      <c r="M53" s="490"/>
      <c r="N53" s="2944"/>
      <c r="O53" s="2944"/>
      <c r="P53" s="2953"/>
      <c r="Q53" s="2930"/>
      <c r="R53" s="2916"/>
      <c r="S53" s="2916"/>
      <c r="T53" s="2916"/>
      <c r="U53" s="2916"/>
      <c r="V53" s="2916"/>
      <c r="W53" s="2916"/>
      <c r="X53" s="2916"/>
      <c r="Y53" s="2916"/>
      <c r="Z53" s="2916"/>
      <c r="AA53" s="2916"/>
      <c r="AB53" s="2916"/>
      <c r="AC53" s="2916"/>
    </row>
    <row r="54" spans="1:29" ht="15.75" thickBot="1">
      <c r="A54" s="491"/>
      <c r="B54" s="492"/>
      <c r="C54" s="493">
        <v>100</v>
      </c>
      <c r="D54" s="493"/>
      <c r="E54" s="493"/>
      <c r="F54" s="493"/>
      <c r="G54" s="493"/>
      <c r="H54" s="493"/>
      <c r="I54" s="493"/>
      <c r="J54" s="493"/>
      <c r="K54" s="493"/>
      <c r="L54" s="493"/>
      <c r="M54" s="494"/>
      <c r="N54" s="2945"/>
      <c r="O54" s="2945"/>
      <c r="P54" s="2953"/>
      <c r="Q54" s="2930"/>
      <c r="R54" s="2916"/>
      <c r="S54" s="2916"/>
      <c r="T54" s="2916"/>
      <c r="U54" s="2916"/>
      <c r="V54" s="2916"/>
      <c r="W54" s="2916"/>
      <c r="X54" s="2916"/>
      <c r="Y54" s="2916"/>
      <c r="Z54" s="2916"/>
      <c r="AA54" s="2916"/>
      <c r="AB54" s="2916"/>
      <c r="AC54" s="2916"/>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44"/>
      <c r="O55" s="2944"/>
      <c r="P55" s="2953"/>
      <c r="Q55" s="2930"/>
      <c r="R55" s="2916"/>
      <c r="S55" s="2916"/>
      <c r="T55" s="2916"/>
      <c r="U55" s="2916"/>
      <c r="V55" s="2916"/>
      <c r="W55" s="2916"/>
      <c r="X55" s="2916"/>
      <c r="Y55" s="2916"/>
      <c r="Z55" s="2916"/>
      <c r="AA55" s="2916"/>
      <c r="AB55" s="2916"/>
      <c r="AC55" s="291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5"/>
      <c r="O56" s="2945"/>
      <c r="P56" s="2953"/>
      <c r="Q56" s="2930"/>
      <c r="R56" s="2916"/>
      <c r="S56" s="2916"/>
      <c r="T56" s="2916"/>
      <c r="U56" s="2916"/>
      <c r="V56" s="2916"/>
      <c r="W56" s="2916"/>
      <c r="X56" s="2916"/>
      <c r="Y56" s="2916"/>
      <c r="Z56" s="2916"/>
      <c r="AA56" s="2916"/>
      <c r="AB56" s="2916"/>
      <c r="AC56" s="2916"/>
    </row>
    <row r="57" spans="1:29" ht="15.75" thickTop="1">
      <c r="A57" s="491"/>
      <c r="B57" s="616">
        <f>B11</f>
        <v>111</v>
      </c>
      <c r="C57" s="506"/>
      <c r="D57" s="506"/>
      <c r="E57" s="506"/>
      <c r="F57" s="506"/>
      <c r="G57" s="506"/>
      <c r="H57" s="506"/>
      <c r="I57" s="506"/>
      <c r="J57" s="506"/>
      <c r="K57" s="507"/>
      <c r="L57" s="508"/>
      <c r="M57" s="509"/>
      <c r="N57" s="2944"/>
      <c r="O57" s="2944"/>
      <c r="P57" s="2953"/>
      <c r="Q57" s="2930"/>
      <c r="R57" s="2916"/>
      <c r="S57" s="2916"/>
      <c r="T57" s="2916"/>
      <c r="U57" s="2916"/>
      <c r="V57" s="2916"/>
      <c r="W57" s="2916"/>
      <c r="X57" s="2916"/>
      <c r="Y57" s="2916"/>
      <c r="Z57" s="2916"/>
      <c r="AA57" s="2916"/>
      <c r="AB57" s="2916"/>
      <c r="AC57" s="2916"/>
    </row>
    <row r="58" spans="1:29" ht="15.75" thickBot="1">
      <c r="A58" s="491"/>
      <c r="B58" s="492"/>
      <c r="C58" s="517"/>
      <c r="D58" s="493"/>
      <c r="E58" s="493"/>
      <c r="F58" s="493"/>
      <c r="G58" s="493"/>
      <c r="H58" s="493"/>
      <c r="I58" s="493"/>
      <c r="J58" s="493"/>
      <c r="K58" s="493"/>
      <c r="L58" s="493"/>
      <c r="M58" s="494"/>
      <c r="N58" s="2945"/>
      <c r="O58" s="2945"/>
      <c r="P58" s="2953"/>
      <c r="Q58" s="2930"/>
      <c r="R58" s="2916"/>
      <c r="S58" s="2916"/>
      <c r="T58" s="2916"/>
      <c r="U58" s="2916"/>
      <c r="V58" s="2916"/>
      <c r="W58" s="2916"/>
      <c r="X58" s="2916"/>
      <c r="Y58" s="2916"/>
      <c r="Z58" s="2916"/>
      <c r="AA58" s="2916"/>
      <c r="AB58" s="2916"/>
      <c r="AC58" s="2916"/>
    </row>
    <row r="59" spans="1:29" s="430" customFormat="1" ht="15.75" thickTop="1">
      <c r="A59" s="510"/>
      <c r="B59" s="495">
        <f>B12</f>
        <v>111</v>
      </c>
      <c r="C59" s="506"/>
      <c r="D59" s="506"/>
      <c r="E59" s="506"/>
      <c r="F59" s="506"/>
      <c r="G59" s="511"/>
      <c r="H59" s="512"/>
      <c r="I59" s="512"/>
      <c r="J59" s="512"/>
      <c r="K59" s="512"/>
      <c r="L59" s="513"/>
      <c r="M59" s="514"/>
      <c r="N59" s="2946"/>
      <c r="O59" s="2946"/>
      <c r="P59" s="2954"/>
      <c r="Q59" s="2937"/>
      <c r="R59" s="2938"/>
      <c r="S59" s="2938"/>
      <c r="T59" s="2938"/>
      <c r="U59" s="2938"/>
      <c r="V59" s="2938"/>
      <c r="W59" s="2938"/>
      <c r="X59" s="2938"/>
      <c r="Y59" s="2938"/>
      <c r="Z59" s="2938"/>
      <c r="AA59" s="2938"/>
      <c r="AB59" s="2938"/>
      <c r="AC59" s="2938"/>
    </row>
    <row r="60" spans="1:29" s="430" customFormat="1" ht="15.75" thickBot="1">
      <c r="A60" s="510"/>
      <c r="B60" s="500"/>
      <c r="C60" s="517"/>
      <c r="D60" s="493"/>
      <c r="E60" s="493"/>
      <c r="F60" s="493"/>
      <c r="G60" s="493"/>
      <c r="H60" s="493"/>
      <c r="I60" s="493"/>
      <c r="J60" s="493"/>
      <c r="K60" s="493"/>
      <c r="L60" s="493"/>
      <c r="M60" s="494"/>
      <c r="N60" s="2945"/>
      <c r="O60" s="2945"/>
      <c r="P60" s="2954"/>
      <c r="Q60" s="2937"/>
      <c r="R60" s="2938"/>
      <c r="S60" s="2938"/>
      <c r="T60" s="2938"/>
      <c r="U60" s="2938"/>
      <c r="V60" s="2938"/>
      <c r="W60" s="2938"/>
      <c r="X60" s="2938"/>
      <c r="Y60" s="2938"/>
      <c r="Z60" s="2938"/>
      <c r="AA60" s="2938"/>
      <c r="AB60" s="2938"/>
      <c r="AC60" s="2938"/>
    </row>
    <row r="61" spans="1:29" s="430" customFormat="1" ht="15.75" thickTop="1">
      <c r="A61" s="510"/>
      <c r="B61" s="495">
        <f>B13</f>
        <v>111</v>
      </c>
      <c r="C61" s="511"/>
      <c r="D61" s="511"/>
      <c r="E61" s="511"/>
      <c r="F61" s="511"/>
      <c r="G61" s="511"/>
      <c r="H61" s="512"/>
      <c r="I61" s="512"/>
      <c r="J61" s="512"/>
      <c r="K61" s="512"/>
      <c r="L61" s="513"/>
      <c r="M61" s="514"/>
      <c r="N61" s="2946"/>
      <c r="O61" s="2946"/>
      <c r="P61" s="2955"/>
      <c r="Q61" s="2940"/>
      <c r="R61" s="2938"/>
      <c r="S61" s="2938"/>
      <c r="T61" s="2938"/>
      <c r="U61" s="2938"/>
      <c r="V61" s="2938"/>
      <c r="W61" s="2938"/>
      <c r="X61" s="2938"/>
      <c r="Y61" s="2938"/>
      <c r="Z61" s="2938"/>
      <c r="AA61" s="2938"/>
      <c r="AB61" s="2938"/>
      <c r="AC61" s="2938"/>
    </row>
    <row r="62" spans="1:29" s="430" customFormat="1" ht="15.75" thickBot="1">
      <c r="A62" s="510"/>
      <c r="B62" s="500"/>
      <c r="C62" s="517"/>
      <c r="D62" s="517"/>
      <c r="E62" s="517"/>
      <c r="F62" s="517"/>
      <c r="G62" s="517"/>
      <c r="H62" s="519"/>
      <c r="I62" s="519"/>
      <c r="J62" s="519"/>
      <c r="K62" s="519"/>
      <c r="L62" s="519"/>
      <c r="M62" s="520"/>
      <c r="N62" s="2946"/>
      <c r="O62" s="2946"/>
      <c r="P62" s="2954"/>
      <c r="Q62" s="2937"/>
      <c r="R62" s="2938"/>
      <c r="S62" s="2938"/>
      <c r="T62" s="2938"/>
      <c r="U62" s="2938"/>
      <c r="V62" s="2938"/>
      <c r="W62" s="2938"/>
      <c r="X62" s="2938"/>
      <c r="Y62" s="2938"/>
      <c r="Z62" s="2938"/>
      <c r="AA62" s="2938"/>
      <c r="AB62" s="2938"/>
      <c r="AC62" s="2938"/>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4"/>
      <c r="O63" s="2944"/>
      <c r="P63" s="2957"/>
      <c r="Q63" s="2930"/>
      <c r="R63" s="2916"/>
      <c r="S63" s="2916"/>
      <c r="T63" s="2916"/>
      <c r="U63" s="2916"/>
      <c r="V63" s="2916"/>
      <c r="W63" s="2916"/>
      <c r="X63" s="2916"/>
      <c r="Y63" s="2916"/>
      <c r="Z63" s="2916"/>
      <c r="AA63" s="2916"/>
      <c r="AB63" s="2916"/>
      <c r="AC63" s="291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5"/>
      <c r="O64" s="2945"/>
      <c r="P64" s="2953"/>
      <c r="Q64" s="2930"/>
      <c r="R64" s="2916"/>
      <c r="S64" s="2916"/>
      <c r="T64" s="2916"/>
      <c r="U64" s="2916"/>
      <c r="V64" s="2916"/>
      <c r="W64" s="2916"/>
      <c r="X64" s="2916"/>
      <c r="Y64" s="2916"/>
      <c r="Z64" s="2916"/>
      <c r="AA64" s="2916"/>
      <c r="AB64" s="2916"/>
      <c r="AC64" s="2916"/>
    </row>
    <row r="65" spans="1:29" ht="15.75" thickTop="1">
      <c r="A65" s="491"/>
      <c r="B65" s="495" t="s">
        <v>2362</v>
      </c>
      <c r="C65" s="535" t="s">
        <v>2356</v>
      </c>
      <c r="D65" s="535" t="s">
        <v>2357</v>
      </c>
      <c r="E65" s="535" t="s">
        <v>2358</v>
      </c>
      <c r="F65" s="535" t="s">
        <v>2359</v>
      </c>
      <c r="G65" s="535" t="s">
        <v>2360</v>
      </c>
      <c r="H65" s="496"/>
      <c r="I65" s="496"/>
      <c r="J65" s="496"/>
      <c r="K65" s="497"/>
      <c r="L65" s="498"/>
      <c r="M65" s="499"/>
      <c r="N65" s="2944"/>
      <c r="O65" s="2944"/>
      <c r="P65" s="2953"/>
      <c r="Q65" s="2930"/>
      <c r="R65" s="2916"/>
      <c r="S65" s="2916"/>
      <c r="T65" s="2916"/>
      <c r="U65" s="2916"/>
      <c r="V65" s="2916"/>
      <c r="W65" s="2916"/>
      <c r="X65" s="2916"/>
      <c r="Y65" s="2916"/>
      <c r="Z65" s="2916"/>
      <c r="AA65" s="2916"/>
      <c r="AB65" s="2916"/>
      <c r="AC65" s="291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5"/>
      <c r="O66" s="2945"/>
      <c r="P66" s="2953"/>
      <c r="Q66" s="2930"/>
      <c r="R66" s="2916"/>
      <c r="S66" s="2916"/>
      <c r="T66" s="2916"/>
      <c r="U66" s="2916"/>
      <c r="V66" s="2916"/>
      <c r="W66" s="2916"/>
      <c r="X66" s="2916"/>
      <c r="Y66" s="2916"/>
      <c r="Z66" s="2916"/>
      <c r="AA66" s="2916"/>
      <c r="AB66" s="2916"/>
      <c r="AC66" s="2916"/>
    </row>
    <row r="67" spans="1:29" ht="15.75" thickTop="1">
      <c r="A67" s="491"/>
      <c r="B67" s="503" t="s">
        <v>2448</v>
      </c>
      <c r="C67" s="616" t="s">
        <v>2434</v>
      </c>
      <c r="D67" s="616" t="s">
        <v>2435</v>
      </c>
      <c r="E67" s="616" t="s">
        <v>2436</v>
      </c>
      <c r="F67" s="616" t="s">
        <v>2437</v>
      </c>
      <c r="G67" s="616" t="s">
        <v>2438</v>
      </c>
      <c r="H67" s="496"/>
      <c r="I67" s="496"/>
      <c r="J67" s="496"/>
      <c r="K67" s="496"/>
      <c r="L67" s="496"/>
      <c r="M67" s="1259"/>
      <c r="N67" s="2945"/>
      <c r="O67" s="2945"/>
      <c r="P67" s="2953"/>
      <c r="Q67" s="2930"/>
      <c r="R67" s="2916"/>
      <c r="S67" s="2916"/>
      <c r="T67" s="2916"/>
      <c r="U67" s="2916"/>
      <c r="V67" s="2916"/>
      <c r="W67" s="2916"/>
      <c r="X67" s="2916"/>
      <c r="Y67" s="2916"/>
      <c r="Z67" s="2916"/>
      <c r="AA67" s="2916"/>
      <c r="AB67" s="2916"/>
      <c r="AC67" s="291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5"/>
      <c r="O68" s="2945"/>
      <c r="P68" s="2953"/>
      <c r="Q68" s="2930"/>
      <c r="R68" s="2916"/>
      <c r="S68" s="2916"/>
      <c r="T68" s="2916"/>
      <c r="U68" s="2916"/>
      <c r="V68" s="2916"/>
      <c r="W68" s="2916"/>
      <c r="X68" s="2916"/>
      <c r="Y68" s="2916"/>
      <c r="Z68" s="2916"/>
      <c r="AA68" s="2916"/>
      <c r="AB68" s="2916"/>
      <c r="AC68" s="2916"/>
    </row>
    <row r="69" spans="1:29" ht="15.75" thickTop="1">
      <c r="A69" s="491"/>
      <c r="B69" s="495" t="s">
        <v>2368</v>
      </c>
      <c r="C69" s="535" t="s">
        <v>2356</v>
      </c>
      <c r="D69" s="535" t="s">
        <v>2357</v>
      </c>
      <c r="E69" s="535" t="s">
        <v>2358</v>
      </c>
      <c r="F69" s="535" t="s">
        <v>2359</v>
      </c>
      <c r="G69" s="535" t="s">
        <v>2360</v>
      </c>
      <c r="H69" s="496"/>
      <c r="I69" s="496"/>
      <c r="J69" s="496"/>
      <c r="K69" s="497"/>
      <c r="L69" s="498"/>
      <c r="M69" s="499"/>
      <c r="N69" s="2944"/>
      <c r="O69" s="2944"/>
      <c r="P69" s="2953"/>
      <c r="Q69" s="2930"/>
      <c r="R69" s="2916"/>
      <c r="S69" s="2916"/>
      <c r="T69" s="2916"/>
      <c r="U69" s="2916"/>
      <c r="V69" s="2916"/>
      <c r="W69" s="2916"/>
      <c r="X69" s="2916"/>
      <c r="Y69" s="2916"/>
      <c r="Z69" s="2916"/>
      <c r="AA69" s="2916"/>
      <c r="AB69" s="2916"/>
      <c r="AC69" s="291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5"/>
      <c r="O70" s="2945"/>
      <c r="P70" s="2953"/>
      <c r="Q70" s="2930"/>
      <c r="R70" s="2916"/>
      <c r="S70" s="2916"/>
      <c r="T70" s="2916"/>
      <c r="U70" s="2916"/>
      <c r="V70" s="2916"/>
      <c r="W70" s="2916"/>
      <c r="X70" s="2916"/>
      <c r="Y70" s="2916"/>
      <c r="Z70" s="2916"/>
      <c r="AA70" s="2916"/>
      <c r="AB70" s="2916"/>
      <c r="AC70" s="2916"/>
    </row>
    <row r="71" spans="1:29" ht="15.75" thickTop="1">
      <c r="A71" s="491"/>
      <c r="B71" s="495" t="s">
        <v>2488</v>
      </c>
      <c r="C71" s="511"/>
      <c r="D71" s="511"/>
      <c r="E71" s="511"/>
      <c r="F71" s="511"/>
      <c r="G71" s="511"/>
      <c r="H71" s="540"/>
      <c r="I71" s="540"/>
      <c r="J71" s="540"/>
      <c r="K71" s="541"/>
      <c r="L71" s="542"/>
      <c r="M71" s="543"/>
      <c r="N71" s="2944"/>
      <c r="O71" s="2944"/>
      <c r="P71" s="2953"/>
      <c r="Q71" s="2930"/>
      <c r="R71" s="2916"/>
      <c r="S71" s="2916"/>
      <c r="T71" s="2916"/>
      <c r="U71" s="2916"/>
      <c r="V71" s="2916"/>
      <c r="W71" s="2916"/>
      <c r="X71" s="2916"/>
      <c r="Y71" s="2916"/>
      <c r="Z71" s="2916"/>
      <c r="AA71" s="2916"/>
      <c r="AB71" s="2916"/>
      <c r="AC71" s="291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5"/>
      <c r="O72" s="2945"/>
      <c r="P72" s="2953"/>
      <c r="Q72" s="2930"/>
      <c r="R72" s="2916"/>
      <c r="S72" s="2916"/>
      <c r="T72" s="2916"/>
      <c r="U72" s="2916"/>
      <c r="V72" s="2916"/>
      <c r="W72" s="2916"/>
      <c r="X72" s="2916"/>
      <c r="Y72" s="2916"/>
      <c r="Z72" s="2916"/>
      <c r="AA72" s="2916"/>
      <c r="AB72" s="2916"/>
      <c r="AC72" s="2916"/>
    </row>
    <row r="73" spans="1:29" s="113" customFormat="1" ht="15.75" thickTop="1">
      <c r="A73" s="536"/>
      <c r="B73" s="495">
        <f>B23</f>
        <v>111</v>
      </c>
      <c r="C73" s="506"/>
      <c r="D73" s="506"/>
      <c r="E73" s="506"/>
      <c r="F73" s="506"/>
      <c r="G73" s="511"/>
      <c r="H73" s="511"/>
      <c r="I73" s="511"/>
      <c r="J73" s="511"/>
      <c r="K73" s="511"/>
      <c r="L73" s="537"/>
      <c r="M73" s="538"/>
      <c r="N73" s="2943"/>
      <c r="O73" s="2943"/>
      <c r="P73" s="2953"/>
      <c r="Q73" s="2930"/>
      <c r="R73" s="2850"/>
      <c r="S73" s="2850"/>
      <c r="T73" s="2850"/>
      <c r="U73" s="2850"/>
      <c r="V73" s="2850"/>
      <c r="W73" s="2850"/>
      <c r="X73" s="2850"/>
      <c r="Y73" s="2850"/>
      <c r="Z73" s="2850"/>
      <c r="AA73" s="2850"/>
      <c r="AB73" s="2850"/>
      <c r="AC73" s="2850"/>
    </row>
    <row r="74" spans="1:29" s="113" customFormat="1" ht="15.75" thickBot="1">
      <c r="A74" s="536"/>
      <c r="B74" s="500"/>
      <c r="C74" s="517"/>
      <c r="D74" s="493"/>
      <c r="E74" s="493"/>
      <c r="F74" s="493"/>
      <c r="G74" s="493"/>
      <c r="H74" s="493"/>
      <c r="I74" s="493"/>
      <c r="J74" s="493"/>
      <c r="K74" s="493"/>
      <c r="L74" s="493"/>
      <c r="M74" s="494"/>
      <c r="N74" s="2945"/>
      <c r="O74" s="2945"/>
      <c r="P74" s="2953"/>
      <c r="Q74" s="2930"/>
      <c r="R74" s="2850"/>
      <c r="S74" s="2850"/>
      <c r="T74" s="2850"/>
      <c r="U74" s="2850"/>
      <c r="V74" s="2850"/>
      <c r="W74" s="2850"/>
      <c r="X74" s="2850"/>
      <c r="Y74" s="2850"/>
      <c r="Z74" s="2850"/>
      <c r="AA74" s="2850"/>
      <c r="AB74" s="2850"/>
      <c r="AC74" s="2850"/>
    </row>
    <row r="75" spans="1:29" s="113" customFormat="1" ht="15.75" thickTop="1">
      <c r="A75" s="536"/>
      <c r="B75" s="495">
        <f>B24</f>
        <v>111</v>
      </c>
      <c r="C75" s="506"/>
      <c r="D75" s="506"/>
      <c r="E75" s="506"/>
      <c r="F75" s="506"/>
      <c r="G75" s="511"/>
      <c r="H75" s="511"/>
      <c r="I75" s="511"/>
      <c r="J75" s="511"/>
      <c r="K75" s="511"/>
      <c r="L75" s="511"/>
      <c r="M75" s="538"/>
      <c r="N75" s="2943"/>
      <c r="O75" s="2943"/>
      <c r="P75" s="2953"/>
      <c r="Q75" s="2930"/>
      <c r="R75" s="2850"/>
      <c r="S75" s="2850"/>
      <c r="T75" s="2850"/>
      <c r="U75" s="2850"/>
      <c r="V75" s="2850"/>
      <c r="W75" s="2850"/>
      <c r="X75" s="2850"/>
      <c r="Y75" s="2850"/>
      <c r="Z75" s="2850"/>
      <c r="AA75" s="2850"/>
      <c r="AB75" s="2850"/>
      <c r="AC75" s="2850"/>
    </row>
    <row r="76" spans="1:29" s="113" customFormat="1" ht="15.75" thickBot="1">
      <c r="A76" s="536"/>
      <c r="B76" s="500"/>
      <c r="C76" s="517"/>
      <c r="D76" s="493"/>
      <c r="E76" s="493"/>
      <c r="F76" s="493"/>
      <c r="G76" s="493"/>
      <c r="H76" s="493"/>
      <c r="I76" s="493"/>
      <c r="J76" s="493"/>
      <c r="K76" s="493"/>
      <c r="L76" s="493"/>
      <c r="M76" s="494"/>
      <c r="N76" s="2945"/>
      <c r="O76" s="2945"/>
      <c r="P76" s="2953"/>
      <c r="Q76" s="2930"/>
      <c r="R76" s="2850"/>
      <c r="S76" s="2850"/>
      <c r="T76" s="2850"/>
      <c r="U76" s="2850"/>
      <c r="V76" s="2850"/>
      <c r="W76" s="2850"/>
      <c r="X76" s="2850"/>
      <c r="Y76" s="2850"/>
      <c r="Z76" s="2850"/>
      <c r="AA76" s="2850"/>
      <c r="AB76" s="2850"/>
      <c r="AC76" s="2850"/>
    </row>
    <row r="77" spans="1:29" s="430" customFormat="1" ht="15.75" thickTop="1">
      <c r="A77" s="510"/>
      <c r="B77" s="495">
        <f>B25</f>
        <v>111</v>
      </c>
      <c r="C77" s="511"/>
      <c r="D77" s="511"/>
      <c r="E77" s="511"/>
      <c r="F77" s="511"/>
      <c r="G77" s="511"/>
      <c r="H77" s="512"/>
      <c r="I77" s="512"/>
      <c r="J77" s="512"/>
      <c r="K77" s="512"/>
      <c r="L77" s="513"/>
      <c r="M77" s="514"/>
      <c r="N77" s="2946"/>
      <c r="O77" s="2946"/>
      <c r="P77" s="2954"/>
      <c r="Q77" s="2937"/>
      <c r="R77" s="2938"/>
      <c r="S77" s="2938"/>
      <c r="T77" s="2938"/>
      <c r="U77" s="2938"/>
      <c r="V77" s="2938"/>
      <c r="W77" s="2938"/>
      <c r="X77" s="2938"/>
      <c r="Y77" s="2938"/>
      <c r="Z77" s="2938"/>
      <c r="AA77" s="2938"/>
      <c r="AB77" s="2938"/>
      <c r="AC77" s="2938"/>
    </row>
    <row r="78" spans="1:29" s="430" customFormat="1" ht="15.75" thickBot="1">
      <c r="A78" s="510"/>
      <c r="B78" s="500"/>
      <c r="C78" s="517"/>
      <c r="D78" s="517"/>
      <c r="E78" s="517"/>
      <c r="F78" s="517"/>
      <c r="G78" s="493"/>
      <c r="H78" s="493"/>
      <c r="I78" s="493"/>
      <c r="J78" s="493"/>
      <c r="K78" s="493"/>
      <c r="L78" s="493"/>
      <c r="M78" s="494"/>
      <c r="N78" s="2946"/>
      <c r="O78" s="2946"/>
      <c r="P78" s="2954"/>
      <c r="Q78" s="2937"/>
      <c r="R78" s="2938"/>
      <c r="S78" s="2938"/>
      <c r="T78" s="2938"/>
      <c r="U78" s="2938"/>
      <c r="V78" s="2938"/>
      <c r="W78" s="2938"/>
      <c r="X78" s="2938"/>
      <c r="Y78" s="2938"/>
      <c r="Z78" s="2938"/>
      <c r="AA78" s="2938"/>
      <c r="AB78" s="2938"/>
      <c r="AC78" s="2938"/>
    </row>
    <row r="79" spans="1:29" ht="27.75" thickTop="1">
      <c r="A79" s="484" t="s">
        <v>2322</v>
      </c>
      <c r="B79" s="485" t="s">
        <v>2489</v>
      </c>
      <c r="C79" s="486">
        <f>C26</f>
        <v>0</v>
      </c>
      <c r="D79" s="487"/>
      <c r="E79" s="487"/>
      <c r="F79" s="487"/>
      <c r="G79" s="487"/>
      <c r="H79" s="487"/>
      <c r="I79" s="487"/>
      <c r="J79" s="487"/>
      <c r="K79" s="488"/>
      <c r="L79" s="489"/>
      <c r="M79" s="490"/>
      <c r="N79" s="2944"/>
      <c r="O79" s="2944"/>
      <c r="P79" s="2953"/>
      <c r="Q79" s="2930"/>
      <c r="R79" s="2916"/>
      <c r="S79" s="2916"/>
      <c r="T79" s="2916"/>
      <c r="U79" s="2916"/>
      <c r="V79" s="2916"/>
      <c r="W79" s="2916"/>
      <c r="X79" s="2916"/>
      <c r="Y79" s="2916"/>
      <c r="Z79" s="2916"/>
      <c r="AA79" s="2916"/>
      <c r="AB79" s="2916"/>
      <c r="AC79" s="291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5"/>
      <c r="O80" s="2945"/>
      <c r="P80" s="2953"/>
      <c r="Q80" s="2930"/>
      <c r="R80" s="2916"/>
      <c r="S80" s="2916"/>
      <c r="T80" s="2916"/>
      <c r="U80" s="2916"/>
      <c r="V80" s="2916"/>
      <c r="W80" s="2916"/>
      <c r="X80" s="2916"/>
      <c r="Y80" s="2916"/>
      <c r="Z80" s="2916"/>
      <c r="AA80" s="2916"/>
      <c r="AB80" s="2916"/>
      <c r="AC80" s="2916"/>
    </row>
    <row r="81" spans="1:29" ht="15.75" thickTop="1">
      <c r="A81" s="491"/>
      <c r="B81" s="495" t="s">
        <v>2490</v>
      </c>
      <c r="C81" s="617"/>
      <c r="D81" s="617"/>
      <c r="E81" s="617"/>
      <c r="F81" s="617"/>
      <c r="G81" s="617"/>
      <c r="H81" s="617"/>
      <c r="I81" s="617"/>
      <c r="J81" s="617"/>
      <c r="K81" s="618"/>
      <c r="L81" s="619"/>
      <c r="M81" s="620"/>
      <c r="N81" s="2943"/>
      <c r="O81" s="2943"/>
      <c r="P81" s="2953"/>
      <c r="Q81" s="2930"/>
      <c r="R81" s="2916"/>
      <c r="S81" s="2916"/>
      <c r="T81" s="2916"/>
      <c r="U81" s="2916"/>
      <c r="V81" s="2916"/>
      <c r="W81" s="2916"/>
      <c r="X81" s="2916"/>
      <c r="Y81" s="2916"/>
      <c r="Z81" s="2916"/>
      <c r="AA81" s="2916"/>
      <c r="AB81" s="2916"/>
      <c r="AC81" s="2916"/>
    </row>
    <row r="82" spans="1:29" s="430" customFormat="1" ht="15.75" thickBot="1">
      <c r="A82" s="510"/>
      <c r="B82" s="500"/>
      <c r="C82" s="517"/>
      <c r="D82" s="493"/>
      <c r="E82" s="493"/>
      <c r="F82" s="493"/>
      <c r="G82" s="493"/>
      <c r="H82" s="493"/>
      <c r="I82" s="493"/>
      <c r="J82" s="493"/>
      <c r="K82" s="493"/>
      <c r="L82" s="493"/>
      <c r="M82" s="494"/>
      <c r="N82" s="2945"/>
      <c r="O82" s="2945"/>
      <c r="P82" s="2954"/>
      <c r="Q82" s="2937"/>
      <c r="R82" s="2938"/>
      <c r="S82" s="2938"/>
      <c r="T82" s="2938"/>
      <c r="U82" s="2938"/>
      <c r="V82" s="2938"/>
      <c r="W82" s="2938"/>
      <c r="X82" s="2938"/>
      <c r="Y82" s="2938"/>
      <c r="Z82" s="2938"/>
      <c r="AA82" s="2938"/>
      <c r="AB82" s="2938"/>
      <c r="AC82" s="2938"/>
    </row>
    <row r="83" spans="1:29" ht="15" thickTop="1">
      <c r="A83" s="556"/>
      <c r="B83" s="495" t="s">
        <v>2375</v>
      </c>
      <c r="C83" s="511"/>
      <c r="D83" s="511"/>
      <c r="E83" s="540"/>
      <c r="F83" s="540"/>
      <c r="G83" s="540"/>
      <c r="H83" s="540"/>
      <c r="I83" s="540"/>
      <c r="J83" s="540"/>
      <c r="K83" s="541"/>
      <c r="L83" s="542"/>
      <c r="M83" s="543"/>
      <c r="N83" s="2944"/>
      <c r="O83" s="2944"/>
      <c r="P83" s="2953"/>
      <c r="Q83" s="2930"/>
      <c r="R83" s="2916"/>
      <c r="S83" s="2916"/>
      <c r="T83" s="2916"/>
      <c r="U83" s="2916"/>
      <c r="V83" s="2916"/>
      <c r="W83" s="2916"/>
      <c r="X83" s="2916"/>
      <c r="Y83" s="2916"/>
      <c r="Z83" s="2916"/>
      <c r="AA83" s="2916"/>
      <c r="AB83" s="2916"/>
      <c r="AC83" s="291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5"/>
      <c r="O84" s="2945"/>
      <c r="P84" s="2953"/>
      <c r="Q84" s="2930"/>
      <c r="R84" s="2916"/>
      <c r="S84" s="2916"/>
      <c r="T84" s="2916"/>
      <c r="U84" s="2916"/>
      <c r="V84" s="2916"/>
      <c r="W84" s="2916"/>
      <c r="X84" s="2916"/>
      <c r="Y84" s="2916"/>
      <c r="Z84" s="2916"/>
      <c r="AA84" s="2916"/>
      <c r="AB84" s="2916"/>
      <c r="AC84" s="2916"/>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4"/>
      <c r="O85" s="2944"/>
      <c r="P85" s="2953"/>
      <c r="Q85" s="2930"/>
      <c r="R85" s="2916"/>
      <c r="S85" s="2916"/>
      <c r="T85" s="2916"/>
      <c r="U85" s="2916"/>
      <c r="V85" s="2916"/>
      <c r="W85" s="2916"/>
      <c r="X85" s="2916"/>
      <c r="Y85" s="2916"/>
      <c r="Z85" s="2916"/>
      <c r="AA85" s="2916"/>
      <c r="AB85" s="2916"/>
      <c r="AC85" s="2916"/>
    </row>
    <row r="86" spans="1:29">
      <c r="A86" s="556"/>
      <c r="B86" s="503"/>
      <c r="C86" s="560">
        <v>0.5</v>
      </c>
      <c r="D86" s="560">
        <v>0.6</v>
      </c>
      <c r="E86" s="560">
        <v>0.7</v>
      </c>
      <c r="F86" s="560">
        <v>0.8</v>
      </c>
      <c r="G86" s="560">
        <v>0.9</v>
      </c>
      <c r="H86" s="560">
        <v>1.0001</v>
      </c>
      <c r="I86" s="579"/>
      <c r="J86" s="579"/>
      <c r="K86" s="580"/>
      <c r="L86" s="581"/>
      <c r="M86" s="582"/>
      <c r="N86" s="2944"/>
      <c r="O86" s="2944"/>
      <c r="P86" s="2953"/>
      <c r="Q86" s="2930"/>
      <c r="R86" s="2916"/>
      <c r="S86" s="2916"/>
      <c r="T86" s="2916"/>
      <c r="U86" s="2916"/>
      <c r="V86" s="2916"/>
      <c r="W86" s="2916"/>
      <c r="X86" s="2916"/>
      <c r="Y86" s="2916"/>
      <c r="Z86" s="2916"/>
      <c r="AA86" s="2916"/>
      <c r="AB86" s="2916"/>
      <c r="AC86" s="291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5"/>
      <c r="O87" s="2945"/>
      <c r="P87" s="2953"/>
      <c r="Q87" s="2930"/>
      <c r="R87" s="2916"/>
      <c r="S87" s="2916"/>
      <c r="T87" s="2916"/>
      <c r="U87" s="2916"/>
      <c r="V87" s="2916"/>
      <c r="W87" s="2916"/>
      <c r="X87" s="2916"/>
      <c r="Y87" s="2916"/>
      <c r="Z87" s="2916"/>
      <c r="AA87" s="2916"/>
      <c r="AB87" s="2916"/>
      <c r="AC87" s="2916"/>
    </row>
    <row r="88" spans="1:29" ht="15" thickTop="1">
      <c r="A88" s="556"/>
      <c r="B88" s="503" t="s">
        <v>2492</v>
      </c>
      <c r="C88" s="487"/>
      <c r="D88" s="487"/>
      <c r="E88" s="487"/>
      <c r="F88" s="487"/>
      <c r="G88" s="487"/>
      <c r="H88" s="487"/>
      <c r="I88" s="487"/>
      <c r="J88" s="487"/>
      <c r="K88" s="488"/>
      <c r="L88" s="489"/>
      <c r="M88" s="490"/>
      <c r="N88" s="2944"/>
      <c r="O88" s="2944"/>
      <c r="P88" s="2953"/>
      <c r="Q88" s="2930"/>
      <c r="R88" s="2916"/>
      <c r="S88" s="2916"/>
      <c r="T88" s="2916"/>
      <c r="U88" s="2916"/>
      <c r="V88" s="2916"/>
      <c r="W88" s="2916"/>
      <c r="X88" s="2916"/>
      <c r="Y88" s="2916"/>
      <c r="Z88" s="2916"/>
      <c r="AA88" s="2916"/>
      <c r="AB88" s="2916"/>
      <c r="AC88" s="291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5"/>
      <c r="O89" s="2945"/>
      <c r="P89" s="2953"/>
      <c r="Q89" s="2930"/>
      <c r="R89" s="2916"/>
      <c r="S89" s="2916"/>
      <c r="T89" s="2916"/>
      <c r="U89" s="2916"/>
      <c r="V89" s="2916"/>
      <c r="W89" s="2916"/>
      <c r="X89" s="2916"/>
      <c r="Y89" s="2916"/>
      <c r="Z89" s="2916"/>
      <c r="AA89" s="2916"/>
      <c r="AB89" s="2916"/>
      <c r="AC89" s="2916"/>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6"/>
      <c r="O90" s="2946"/>
      <c r="P90" s="2954"/>
      <c r="Q90" s="2937"/>
      <c r="R90" s="2938"/>
      <c r="S90" s="2938"/>
      <c r="T90" s="2938"/>
      <c r="U90" s="2938"/>
      <c r="V90" s="2938"/>
      <c r="W90" s="2938"/>
      <c r="X90" s="2938"/>
      <c r="Y90" s="2938"/>
      <c r="Z90" s="2938"/>
      <c r="AA90" s="2938"/>
      <c r="AB90" s="2938"/>
      <c r="AC90" s="2938"/>
    </row>
    <row r="91" spans="1:29" s="430" customFormat="1">
      <c r="A91" s="550"/>
      <c r="B91" s="503"/>
      <c r="C91" s="552"/>
      <c r="D91" s="552"/>
      <c r="E91" s="552"/>
      <c r="F91" s="552"/>
      <c r="G91" s="552"/>
      <c r="H91" s="552"/>
      <c r="I91" s="552"/>
      <c r="J91" s="553"/>
      <c r="K91" s="553"/>
      <c r="L91" s="554"/>
      <c r="M91" s="555"/>
      <c r="N91" s="2946"/>
      <c r="O91" s="2946"/>
      <c r="P91" s="2954"/>
      <c r="Q91" s="2937"/>
      <c r="R91" s="2938"/>
      <c r="S91" s="2938"/>
      <c r="T91" s="2938"/>
      <c r="U91" s="2938"/>
      <c r="V91" s="2938"/>
      <c r="W91" s="2938"/>
      <c r="X91" s="2938"/>
      <c r="Y91" s="2938"/>
      <c r="Z91" s="2938"/>
      <c r="AA91" s="2938"/>
      <c r="AB91" s="2938"/>
      <c r="AC91" s="2938"/>
    </row>
    <row r="92" spans="1:29" s="430" customFormat="1" ht="15.75" thickBot="1">
      <c r="A92" s="510"/>
      <c r="B92" s="500"/>
      <c r="C92" s="517"/>
      <c r="D92" s="493"/>
      <c r="E92" s="493"/>
      <c r="F92" s="493"/>
      <c r="G92" s="493"/>
      <c r="H92" s="493"/>
      <c r="I92" s="493"/>
      <c r="J92" s="493"/>
      <c r="K92" s="493"/>
      <c r="L92" s="493"/>
      <c r="M92" s="494"/>
      <c r="N92" s="2946"/>
      <c r="O92" s="2946"/>
      <c r="P92" s="2954"/>
      <c r="Q92" s="2937"/>
      <c r="R92" s="2938"/>
      <c r="S92" s="2938"/>
      <c r="T92" s="2938"/>
      <c r="U92" s="2938"/>
      <c r="V92" s="2938"/>
      <c r="W92" s="2938"/>
      <c r="X92" s="2938"/>
      <c r="Y92" s="2938"/>
      <c r="Z92" s="2938"/>
      <c r="AA92" s="2938"/>
      <c r="AB92" s="2938"/>
      <c r="AC92" s="2938"/>
    </row>
    <row r="93" spans="1:29" ht="15" thickTop="1">
      <c r="A93" s="556"/>
      <c r="B93" s="495" t="s">
        <v>2494</v>
      </c>
      <c r="C93" s="511"/>
      <c r="D93" s="511"/>
      <c r="E93" s="540"/>
      <c r="F93" s="540"/>
      <c r="G93" s="540"/>
      <c r="H93" s="540"/>
      <c r="I93" s="540"/>
      <c r="J93" s="540"/>
      <c r="K93" s="541"/>
      <c r="L93" s="542"/>
      <c r="M93" s="543"/>
      <c r="N93" s="2944"/>
      <c r="O93" s="2944"/>
      <c r="P93" s="2953"/>
      <c r="Q93" s="2930"/>
      <c r="R93" s="2916"/>
      <c r="S93" s="2916"/>
      <c r="T93" s="2916"/>
      <c r="U93" s="2916"/>
      <c r="V93" s="2916"/>
      <c r="W93" s="2916"/>
      <c r="X93" s="2916"/>
      <c r="Y93" s="2916"/>
      <c r="Z93" s="2916"/>
      <c r="AA93" s="2916"/>
      <c r="AB93" s="2916"/>
      <c r="AC93" s="291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5"/>
      <c r="O94" s="2945"/>
      <c r="P94" s="2953"/>
      <c r="Q94" s="2930"/>
      <c r="R94" s="2916"/>
      <c r="S94" s="2916"/>
      <c r="T94" s="2916"/>
      <c r="U94" s="2916"/>
      <c r="V94" s="2916"/>
      <c r="W94" s="2916"/>
      <c r="X94" s="2916"/>
      <c r="Y94" s="2916"/>
      <c r="Z94" s="2916"/>
      <c r="AA94" s="2916"/>
      <c r="AB94" s="2916"/>
      <c r="AC94" s="2916"/>
    </row>
    <row r="95" spans="1:29" ht="15" thickTop="1">
      <c r="A95" s="556"/>
      <c r="B95" s="495" t="s">
        <v>2495</v>
      </c>
      <c r="C95" s="487"/>
      <c r="D95" s="487"/>
      <c r="E95" s="487"/>
      <c r="F95" s="487"/>
      <c r="G95" s="487"/>
      <c r="H95" s="487"/>
      <c r="I95" s="487"/>
      <c r="J95" s="487"/>
      <c r="K95" s="488"/>
      <c r="L95" s="489"/>
      <c r="M95" s="490"/>
      <c r="N95" s="2944"/>
      <c r="O95" s="2944"/>
      <c r="P95" s="2953"/>
      <c r="Q95" s="2930"/>
      <c r="R95" s="2916"/>
      <c r="S95" s="2916"/>
      <c r="T95" s="2916"/>
      <c r="U95" s="2916"/>
      <c r="V95" s="2916"/>
      <c r="W95" s="2916"/>
      <c r="X95" s="2916"/>
      <c r="Y95" s="2916"/>
      <c r="Z95" s="2916"/>
      <c r="AA95" s="2916"/>
      <c r="AB95" s="2916"/>
      <c r="AC95" s="291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5"/>
      <c r="O96" s="2945"/>
      <c r="P96" s="2953"/>
      <c r="Q96" s="2930"/>
      <c r="R96" s="2916"/>
      <c r="S96" s="2916"/>
      <c r="T96" s="2916"/>
      <c r="U96" s="2916"/>
      <c r="V96" s="2916"/>
      <c r="W96" s="2916"/>
      <c r="X96" s="2916"/>
      <c r="Y96" s="2916"/>
      <c r="Z96" s="2916"/>
      <c r="AA96" s="2916"/>
      <c r="AB96" s="2916"/>
      <c r="AC96" s="2916"/>
    </row>
    <row r="97" spans="1:29" ht="15" thickTop="1">
      <c r="A97" s="556"/>
      <c r="B97" s="592">
        <f>B34</f>
        <v>111</v>
      </c>
      <c r="C97" s="506"/>
      <c r="D97" s="506"/>
      <c r="E97" s="506"/>
      <c r="F97" s="506"/>
      <c r="G97" s="511"/>
      <c r="H97" s="512"/>
      <c r="I97" s="512"/>
      <c r="J97" s="512"/>
      <c r="K97" s="512"/>
      <c r="L97" s="513"/>
      <c r="M97" s="514"/>
      <c r="N97" s="2945"/>
      <c r="O97" s="2945"/>
      <c r="P97" s="2958"/>
      <c r="Q97" s="2959"/>
      <c r="R97" s="2916"/>
      <c r="S97" s="2916"/>
      <c r="T97" s="2916"/>
      <c r="U97" s="2916"/>
      <c r="V97" s="2916"/>
      <c r="W97" s="2916"/>
      <c r="X97" s="2916"/>
      <c r="Y97" s="2916"/>
      <c r="Z97" s="2916"/>
      <c r="AA97" s="2916"/>
      <c r="AB97" s="2916"/>
      <c r="AC97" s="2916"/>
    </row>
    <row r="98" spans="1:29" ht="15.75" thickBot="1">
      <c r="A98" s="491"/>
      <c r="B98" s="500"/>
      <c r="C98" s="517"/>
      <c r="D98" s="493"/>
      <c r="E98" s="493"/>
      <c r="F98" s="493"/>
      <c r="G98" s="517"/>
      <c r="H98" s="519"/>
      <c r="I98" s="519"/>
      <c r="J98" s="519"/>
      <c r="K98" s="519"/>
      <c r="L98" s="519"/>
      <c r="M98" s="520"/>
      <c r="N98" s="2945"/>
      <c r="O98" s="2945"/>
      <c r="P98" s="2953"/>
      <c r="Q98" s="2930"/>
      <c r="R98" s="2916"/>
      <c r="S98" s="2916"/>
      <c r="T98" s="2916"/>
      <c r="U98" s="2916"/>
      <c r="V98" s="2916"/>
      <c r="W98" s="2916"/>
      <c r="X98" s="2916"/>
      <c r="Y98" s="2916"/>
      <c r="Z98" s="2916"/>
      <c r="AA98" s="2916"/>
      <c r="AB98" s="2916"/>
      <c r="AC98" s="2916"/>
    </row>
    <row r="99" spans="1:29" s="430" customFormat="1" ht="15" thickTop="1">
      <c r="A99" s="550"/>
      <c r="B99" s="495">
        <f>B35</f>
        <v>111</v>
      </c>
      <c r="C99" s="506"/>
      <c r="D99" s="506"/>
      <c r="E99" s="506"/>
      <c r="F99" s="506"/>
      <c r="G99" s="511"/>
      <c r="H99" s="512"/>
      <c r="I99" s="512"/>
      <c r="J99" s="512"/>
      <c r="K99" s="512"/>
      <c r="L99" s="513"/>
      <c r="M99" s="514"/>
      <c r="N99" s="2946"/>
      <c r="O99" s="2946"/>
      <c r="P99" s="2954"/>
      <c r="Q99" s="2937"/>
      <c r="R99" s="2938"/>
      <c r="S99" s="2938"/>
      <c r="T99" s="2938"/>
      <c r="U99" s="2938"/>
      <c r="V99" s="2938"/>
      <c r="W99" s="2938"/>
      <c r="X99" s="2938"/>
      <c r="Y99" s="2938"/>
      <c r="Z99" s="2938"/>
      <c r="AA99" s="2938"/>
      <c r="AB99" s="2938"/>
      <c r="AC99" s="2938"/>
    </row>
    <row r="100" spans="1:29" s="430" customFormat="1" ht="15.75" thickBot="1">
      <c r="A100" s="510"/>
      <c r="B100" s="492"/>
      <c r="C100" s="517"/>
      <c r="D100" s="493"/>
      <c r="E100" s="493"/>
      <c r="F100" s="493"/>
      <c r="G100" s="517"/>
      <c r="H100" s="519"/>
      <c r="I100" s="519"/>
      <c r="J100" s="519"/>
      <c r="K100" s="519"/>
      <c r="L100" s="519"/>
      <c r="M100" s="520"/>
      <c r="N100" s="2946"/>
      <c r="O100" s="2946"/>
      <c r="P100" s="2954"/>
      <c r="Q100" s="2937"/>
      <c r="R100" s="2938"/>
      <c r="S100" s="2938"/>
      <c r="T100" s="2938"/>
      <c r="U100" s="2938"/>
      <c r="V100" s="2938"/>
      <c r="W100" s="2938"/>
      <c r="X100" s="2938"/>
      <c r="Y100" s="2938"/>
      <c r="Z100" s="2938"/>
      <c r="AA100" s="2938"/>
      <c r="AB100" s="2938"/>
      <c r="AC100" s="2938"/>
    </row>
    <row r="101" spans="1:29" ht="15" thickTop="1">
      <c r="A101" s="556"/>
      <c r="B101" s="495">
        <f>B36</f>
        <v>111</v>
      </c>
      <c r="C101" s="511"/>
      <c r="D101" s="511"/>
      <c r="E101" s="511"/>
      <c r="F101" s="511"/>
      <c r="G101" s="511"/>
      <c r="H101" s="512"/>
      <c r="I101" s="512"/>
      <c r="J101" s="512"/>
      <c r="K101" s="512"/>
      <c r="L101" s="513"/>
      <c r="M101" s="514"/>
      <c r="N101" s="2944"/>
      <c r="O101" s="2944"/>
      <c r="P101" s="2953"/>
      <c r="Q101" s="2930"/>
      <c r="R101" s="2916"/>
      <c r="S101" s="2916"/>
      <c r="T101" s="2916"/>
      <c r="U101" s="2916"/>
      <c r="V101" s="2916"/>
      <c r="W101" s="2916"/>
      <c r="X101" s="2916"/>
      <c r="Y101" s="2916"/>
      <c r="Z101" s="2916"/>
      <c r="AA101" s="2916"/>
      <c r="AB101" s="2916"/>
      <c r="AC101" s="2916"/>
    </row>
    <row r="102" spans="1:29" ht="15.75" thickBot="1">
      <c r="A102" s="491"/>
      <c r="B102" s="500"/>
      <c r="C102" s="517"/>
      <c r="D102" s="517"/>
      <c r="E102" s="517"/>
      <c r="F102" s="517"/>
      <c r="G102" s="517"/>
      <c r="H102" s="519"/>
      <c r="I102" s="519"/>
      <c r="J102" s="519"/>
      <c r="K102" s="519"/>
      <c r="L102" s="519"/>
      <c r="M102" s="520"/>
      <c r="N102" s="2945"/>
      <c r="O102" s="2945"/>
      <c r="P102" s="2953"/>
      <c r="Q102" s="2930"/>
      <c r="R102" s="2916"/>
      <c r="S102" s="2916"/>
      <c r="T102" s="2916"/>
      <c r="U102" s="2916"/>
      <c r="V102" s="2916"/>
      <c r="W102" s="2916"/>
      <c r="X102" s="2916"/>
      <c r="Y102" s="2916"/>
      <c r="Z102" s="2916"/>
      <c r="AA102" s="2916"/>
      <c r="AB102" s="2916"/>
      <c r="AC102" s="2916"/>
    </row>
    <row r="103" spans="1:29" ht="15" thickTop="1">
      <c r="N103" s="2916"/>
      <c r="O103" s="2916"/>
      <c r="P103" s="2947"/>
      <c r="Q103" s="2916"/>
      <c r="R103" s="2916"/>
      <c r="S103" s="2916"/>
      <c r="T103" s="2916"/>
      <c r="U103" s="2916"/>
      <c r="V103" s="2916"/>
      <c r="W103" s="2916"/>
      <c r="X103" s="2916"/>
      <c r="Y103" s="2916"/>
      <c r="Z103" s="2916"/>
      <c r="AA103" s="2916"/>
      <c r="AB103" s="2916"/>
      <c r="AC103" s="29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2290</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t="e">
        <f ca="1">IF(C2="——",ROUND(C37*D3/10000,0),ROUND(C37*D3/10000,0)-D2)</f>
        <v>#DIV/0!</v>
      </c>
      <c r="C2" s="2032"/>
      <c r="D2" s="1034" t="e">
        <f ca="1">SUMIF(INDIRECT("'"&amp;F2&amp;"'"&amp;"!A:A"),"承租人权益价值",INDIRECT("'"&amp;F2&amp;"'"&amp;"!c:c"))</f>
        <v>#REF!</v>
      </c>
      <c r="E2" s="2033" t="s">
        <v>2088</v>
      </c>
      <c r="F2" s="2034"/>
      <c r="G2" s="1035"/>
      <c r="H2" s="1035"/>
      <c r="I2" s="1035"/>
      <c r="J2" s="1035"/>
      <c r="K2" s="1037"/>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2403</v>
      </c>
      <c r="D3" s="359">
        <f>SUMIF('数据-汇总表'!$C19:$C33,D1,'数据-汇总表'!$E19:$E33)</f>
        <v>0</v>
      </c>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61" t="s">
        <v>2406</v>
      </c>
      <c r="S4" s="3762"/>
      <c r="T4" s="3761" t="s">
        <v>2407</v>
      </c>
      <c r="U4" s="3762"/>
      <c r="V4" s="3767" t="s">
        <v>2408</v>
      </c>
      <c r="W4" s="3767"/>
      <c r="X4" s="1505"/>
      <c r="Y4" s="3761" t="s">
        <v>2410</v>
      </c>
      <c r="Z4" s="3762"/>
      <c r="AA4" s="3748" t="s">
        <v>2406</v>
      </c>
      <c r="AB4" s="3749" t="s">
        <v>2407</v>
      </c>
      <c r="AC4" s="3748" t="s">
        <v>2408</v>
      </c>
    </row>
    <row r="5" spans="1:29" ht="15">
      <c r="A5" s="364"/>
      <c r="B5" s="365"/>
      <c r="C5" s="3779" t="s">
        <v>2301</v>
      </c>
      <c r="D5" s="3771"/>
      <c r="E5" s="3780" t="s">
        <v>2302</v>
      </c>
      <c r="F5" s="3778"/>
      <c r="G5" s="3779" t="s">
        <v>2303</v>
      </c>
      <c r="H5" s="3771"/>
      <c r="I5" s="3779" t="s">
        <v>2304</v>
      </c>
      <c r="J5" s="3771"/>
      <c r="K5" s="567"/>
      <c r="L5" s="2906"/>
      <c r="M5" s="2907"/>
      <c r="N5" s="2907"/>
      <c r="O5" s="2907"/>
      <c r="P5" s="3757"/>
      <c r="Q5" s="3758"/>
      <c r="R5" s="3763"/>
      <c r="S5" s="3764"/>
      <c r="T5" s="3763"/>
      <c r="U5" s="3764"/>
      <c r="V5" s="3767"/>
      <c r="W5" s="3767"/>
      <c r="X5" s="1505"/>
      <c r="Y5" s="3763"/>
      <c r="Z5" s="3764"/>
      <c r="AA5" s="3749"/>
      <c r="AB5" s="3749"/>
      <c r="AC5" s="3749"/>
    </row>
    <row r="6" spans="1:29" ht="15.75" thickBot="1">
      <c r="A6" s="366"/>
      <c r="B6" s="367"/>
      <c r="C6" s="3768" t="s">
        <v>2305</v>
      </c>
      <c r="D6" s="3769"/>
      <c r="E6" s="3775" t="s">
        <v>2305</v>
      </c>
      <c r="F6" s="3776"/>
      <c r="G6" s="3768" t="s">
        <v>2305</v>
      </c>
      <c r="H6" s="3769"/>
      <c r="I6" s="3768" t="s">
        <v>2305</v>
      </c>
      <c r="J6" s="3769"/>
      <c r="K6" s="567" t="s">
        <v>2306</v>
      </c>
      <c r="L6" s="2906"/>
      <c r="M6" s="2907"/>
      <c r="N6" s="2907"/>
      <c r="O6" s="2907"/>
      <c r="P6" s="3759"/>
      <c r="Q6" s="3760"/>
      <c r="R6" s="3763"/>
      <c r="S6" s="3764"/>
      <c r="T6" s="3765"/>
      <c r="U6" s="3766"/>
      <c r="V6" s="3767"/>
      <c r="W6" s="3767"/>
      <c r="X6" s="1505"/>
      <c r="Y6" s="3765"/>
      <c r="Z6" s="3766"/>
      <c r="AA6" s="3750"/>
      <c r="AB6" s="3750"/>
      <c r="AC6" s="3750"/>
    </row>
    <row r="7" spans="1:29" s="113" customFormat="1" ht="15.75" thickBot="1">
      <c r="A7" s="368" t="s">
        <v>2307</v>
      </c>
      <c r="B7" s="369"/>
      <c r="C7" s="370">
        <f>'数据-取费表'!B2</f>
        <v>44652</v>
      </c>
      <c r="D7" s="371">
        <v>100</v>
      </c>
      <c r="E7" s="372"/>
      <c r="F7" s="373">
        <f>SUMIF(46:46,YEAR(E7)&amp;"-"&amp;MONTH(E7),47:47)</f>
        <v>0</v>
      </c>
      <c r="G7" s="2123"/>
      <c r="H7" s="371">
        <f>SUMIF(46:46,YEAR(G7)&amp;"-"&amp;MONTH(G7),47:47)</f>
        <v>0</v>
      </c>
      <c r="I7" s="372"/>
      <c r="J7" s="371">
        <f>SUMIF(46:46,YEAR(I7)&amp;"-"&amp;MONTH(I7),47:47)</f>
        <v>0</v>
      </c>
      <c r="K7" s="568"/>
      <c r="L7" s="2908"/>
      <c r="M7" s="2909"/>
      <c r="N7" s="2909"/>
      <c r="O7" s="2909"/>
      <c r="P7" s="3772" t="s">
        <v>2308</v>
      </c>
      <c r="Q7" s="3774"/>
      <c r="R7" s="710" t="s">
        <v>17</v>
      </c>
      <c r="S7" s="711">
        <f t="shared" ref="S7:S14" si="0">F7</f>
        <v>0</v>
      </c>
      <c r="T7" s="710" t="s">
        <v>17</v>
      </c>
      <c r="U7" s="711">
        <f t="shared" ref="U7:U14" si="1">H7</f>
        <v>0</v>
      </c>
      <c r="V7" s="710" t="s">
        <v>17</v>
      </c>
      <c r="W7" s="711">
        <f t="shared" ref="W7:W14" si="2">J7</f>
        <v>0</v>
      </c>
      <c r="X7" s="712"/>
      <c r="Y7" s="3772" t="s">
        <v>2308</v>
      </c>
      <c r="Z7" s="3773"/>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08"/>
      <c r="M8" s="2909"/>
      <c r="N8" s="2909"/>
      <c r="O8" s="2909"/>
      <c r="P8" s="3772" t="s">
        <v>2311</v>
      </c>
      <c r="Q8" s="3773"/>
      <c r="R8" s="710" t="s">
        <v>17</v>
      </c>
      <c r="S8" s="711">
        <f t="shared" si="0"/>
        <v>0</v>
      </c>
      <c r="T8" s="710" t="s">
        <v>17</v>
      </c>
      <c r="U8" s="711">
        <f t="shared" si="1"/>
        <v>0</v>
      </c>
      <c r="V8" s="710" t="s">
        <v>17</v>
      </c>
      <c r="W8" s="711">
        <f t="shared" si="2"/>
        <v>0</v>
      </c>
      <c r="X8" s="712"/>
      <c r="Y8" s="3772" t="s">
        <v>2311</v>
      </c>
      <c r="Z8" s="3773"/>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08"/>
      <c r="M9" s="2909"/>
      <c r="N9" s="2909"/>
      <c r="O9" s="2963"/>
      <c r="P9" s="3736" t="s">
        <v>2314</v>
      </c>
      <c r="Q9" s="1493" t="str">
        <f t="shared" ref="Q9:Q14" si="6">B9</f>
        <v>用途</v>
      </c>
      <c r="R9" s="710" t="s">
        <v>17</v>
      </c>
      <c r="S9" s="711">
        <f t="shared" si="0"/>
        <v>100</v>
      </c>
      <c r="T9" s="710" t="s">
        <v>17</v>
      </c>
      <c r="U9" s="711">
        <f t="shared" si="1"/>
        <v>100</v>
      </c>
      <c r="V9" s="710" t="s">
        <v>17</v>
      </c>
      <c r="W9" s="711">
        <f t="shared" si="2"/>
        <v>100</v>
      </c>
      <c r="X9" s="712"/>
      <c r="Y9" s="3608"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0"/>
      <c r="M10" s="2911"/>
      <c r="N10" s="2911"/>
      <c r="O10" s="2964"/>
      <c r="P10" s="3736"/>
      <c r="Q10" s="1493" t="str">
        <f t="shared" si="6"/>
        <v>土地使用年限（年）</v>
      </c>
      <c r="R10" s="710" t="s">
        <v>17</v>
      </c>
      <c r="S10" s="711">
        <f t="shared" si="0"/>
        <v>100</v>
      </c>
      <c r="T10" s="710" t="s">
        <v>17</v>
      </c>
      <c r="U10" s="711">
        <f t="shared" si="1"/>
        <v>100</v>
      </c>
      <c r="V10" s="710" t="s">
        <v>17</v>
      </c>
      <c r="W10" s="711">
        <f t="shared" si="2"/>
        <v>100</v>
      </c>
      <c r="X10" s="712"/>
      <c r="Y10" s="3608"/>
      <c r="Z10" s="55" t="str">
        <f t="shared" si="7"/>
        <v>土地使用年限（年）</v>
      </c>
      <c r="AA10" s="713">
        <f t="shared" si="3"/>
        <v>1</v>
      </c>
      <c r="AB10" s="713">
        <f t="shared" si="4"/>
        <v>1</v>
      </c>
      <c r="AC10" s="713">
        <f t="shared" si="5"/>
        <v>1</v>
      </c>
    </row>
    <row r="11" spans="1:29" ht="15">
      <c r="A11" s="387"/>
      <c r="B11" s="2044">
        <v>111</v>
      </c>
      <c r="C11" s="391"/>
      <c r="D11" s="132">
        <v>100</v>
      </c>
      <c r="E11" s="428"/>
      <c r="F11" s="384">
        <f>SUMIF(55:55,E11,56:56)-SUMIF(55:55,C11,56:56)+100</f>
        <v>100</v>
      </c>
      <c r="G11" s="428"/>
      <c r="H11" s="132">
        <f>SUMIF(55:55,G11,56:56)-SUMIF(55:55,C11,56:56)+100</f>
        <v>100</v>
      </c>
      <c r="I11" s="428"/>
      <c r="J11" s="132">
        <f>SUMIF(55:55,I11,56:56)-SUMIF(55:55,C11,56:56)+100</f>
        <v>100</v>
      </c>
      <c r="K11" s="570"/>
      <c r="L11" s="2912"/>
      <c r="M11" s="2907"/>
      <c r="N11" s="2907"/>
      <c r="O11" s="2965"/>
      <c r="P11" s="3736"/>
      <c r="Q11" s="1493">
        <f t="shared" si="6"/>
        <v>111</v>
      </c>
      <c r="R11" s="710" t="s">
        <v>17</v>
      </c>
      <c r="S11" s="711">
        <f t="shared" si="0"/>
        <v>100</v>
      </c>
      <c r="T11" s="710" t="s">
        <v>17</v>
      </c>
      <c r="U11" s="711">
        <f t="shared" si="1"/>
        <v>100</v>
      </c>
      <c r="V11" s="710" t="s">
        <v>17</v>
      </c>
      <c r="W11" s="711">
        <f t="shared" si="2"/>
        <v>100</v>
      </c>
      <c r="X11" s="712"/>
      <c r="Y11" s="3608"/>
      <c r="Z11" s="55">
        <f t="shared" si="7"/>
        <v>111</v>
      </c>
      <c r="AA11" s="713">
        <f t="shared" si="3"/>
        <v>1</v>
      </c>
      <c r="AB11" s="713">
        <f t="shared" si="4"/>
        <v>1</v>
      </c>
      <c r="AC11" s="713">
        <f t="shared" si="5"/>
        <v>1</v>
      </c>
    </row>
    <row r="12" spans="1:29" s="113" customFormat="1" ht="15">
      <c r="A12" s="390"/>
      <c r="B12" s="2044">
        <v>111</v>
      </c>
      <c r="C12" s="391"/>
      <c r="D12" s="392">
        <v>100</v>
      </c>
      <c r="E12" s="428"/>
      <c r="F12" s="384">
        <f>SUMIF(57:57,E12,58:58)-SUMIF(57:57,C12,58:58)+100</f>
        <v>100</v>
      </c>
      <c r="G12" s="428"/>
      <c r="H12" s="132">
        <f>SUMIF(57:57,G12,58:58)-SUMIF(57:57,C12,58:58)+100</f>
        <v>100</v>
      </c>
      <c r="I12" s="428"/>
      <c r="J12" s="132">
        <f>SUMIF(57:57,I12,58:58)-SUMIF(57:57,C12,58:58)+100</f>
        <v>100</v>
      </c>
      <c r="K12" s="570"/>
      <c r="L12" s="2908"/>
      <c r="M12" s="2909"/>
      <c r="N12" s="2909"/>
      <c r="O12" s="2963"/>
      <c r="P12" s="3736"/>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713">
        <f>D12/J12</f>
        <v>1</v>
      </c>
    </row>
    <row r="13" spans="1:29" ht="15.75" thickBot="1">
      <c r="A13" s="387"/>
      <c r="B13" s="2044">
        <v>111</v>
      </c>
      <c r="C13" s="393"/>
      <c r="D13" s="394">
        <v>100</v>
      </c>
      <c r="E13" s="428"/>
      <c r="F13" s="384">
        <f>SUMIF(59:59,E13,60:60)-SUMIF(59:59,C13,60:60)+100</f>
        <v>100</v>
      </c>
      <c r="G13" s="2124"/>
      <c r="H13" s="397">
        <f>SUMIF(59:59,G13,60:60)-SUMIF(59:59,C13,60:60)+100</f>
        <v>100</v>
      </c>
      <c r="I13" s="428"/>
      <c r="J13" s="394">
        <f>SUMIF(59:59,I13,60:60)-SUMIF(59:59,C13,60:60)+100</f>
        <v>100</v>
      </c>
      <c r="K13" s="570"/>
      <c r="L13" s="2913"/>
      <c r="M13" s="2907"/>
      <c r="N13" s="2907"/>
      <c r="O13" s="2965"/>
      <c r="P13" s="3736"/>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713">
        <f t="shared" si="5"/>
        <v>1</v>
      </c>
    </row>
    <row r="14" spans="1:29" ht="199.5">
      <c r="A14" s="399" t="s">
        <v>2318</v>
      </c>
      <c r="B14" s="65" t="s">
        <v>2468</v>
      </c>
      <c r="C14" s="2120"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400">
        <v>100</v>
      </c>
      <c r="E14" s="401"/>
      <c r="F14" s="402">
        <f>SUMIF(61:61,E15,62:62)-SUMIF(61:61,C15,62:62)+100</f>
        <v>100</v>
      </c>
      <c r="G14" s="403"/>
      <c r="H14" s="400">
        <f>SUMIF(61:61,G15,62:62)-SUMIF(61:61,C15,62:62)+100</f>
        <v>100</v>
      </c>
      <c r="I14" s="401"/>
      <c r="J14" s="400">
        <f>SUMIF(61:61,I15,62:62)-SUMIF(61:61,C15,62:62)+100</f>
        <v>100</v>
      </c>
      <c r="K14" s="571"/>
      <c r="L14" s="2913"/>
      <c r="M14" s="2907"/>
      <c r="N14" s="2907"/>
      <c r="O14" s="2965"/>
      <c r="P14" s="3738" t="s">
        <v>2319</v>
      </c>
      <c r="Q14" s="1502" t="str">
        <f t="shared" si="6"/>
        <v>交通便捷度</v>
      </c>
      <c r="R14" s="714" t="s">
        <v>17</v>
      </c>
      <c r="S14" s="715">
        <f t="shared" si="0"/>
        <v>100</v>
      </c>
      <c r="T14" s="714" t="s">
        <v>17</v>
      </c>
      <c r="U14" s="715">
        <f t="shared" si="1"/>
        <v>100</v>
      </c>
      <c r="V14" s="714" t="s">
        <v>17</v>
      </c>
      <c r="W14" s="715">
        <f t="shared" si="2"/>
        <v>100</v>
      </c>
      <c r="X14" s="1505"/>
      <c r="Y14" s="3738" t="s">
        <v>2319</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3"/>
      <c r="M15" s="2907"/>
      <c r="N15" s="2907"/>
      <c r="O15" s="2965"/>
      <c r="P15" s="3739"/>
      <c r="Q15" s="1502"/>
      <c r="R15" s="714"/>
      <c r="S15" s="715"/>
      <c r="T15" s="714"/>
      <c r="U15" s="715"/>
      <c r="V15" s="714"/>
      <c r="W15" s="715"/>
      <c r="X15" s="1505"/>
      <c r="Y15" s="3739"/>
      <c r="Z15" s="1506"/>
      <c r="AA15" s="1503">
        <v>1</v>
      </c>
      <c r="AB15" s="1503">
        <v>1</v>
      </c>
      <c r="AC15" s="1503">
        <v>1</v>
      </c>
    </row>
    <row r="16" spans="1:29" ht="356.25">
      <c r="A16" s="387"/>
      <c r="B16" s="410" t="s">
        <v>2447</v>
      </c>
      <c r="C16" s="2051"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4">
        <v>100</v>
      </c>
      <c r="E16" s="416"/>
      <c r="F16" s="417">
        <f>SUMIF(63:63,E17,64:64)-SUMIF(63:63,C17,64:64)+100</f>
        <v>100</v>
      </c>
      <c r="G16" s="418"/>
      <c r="H16" s="414">
        <f>SUMIF(63:63,G17,64:64)-SUMIF(63:63,C17,64:64)+100</f>
        <v>100</v>
      </c>
      <c r="I16" s="416"/>
      <c r="J16" s="414">
        <f>SUMIF(63:63,I17,64:64)-SUMIF(63:63,C17,64:64)+100</f>
        <v>100</v>
      </c>
      <c r="K16" s="571"/>
      <c r="L16" s="2913"/>
      <c r="M16" s="2907"/>
      <c r="N16" s="2907"/>
      <c r="O16" s="2965"/>
      <c r="P16" s="3739"/>
      <c r="Q16" s="1502" t="str">
        <f>B16</f>
        <v>公共配套设施</v>
      </c>
      <c r="R16" s="714" t="s">
        <v>17</v>
      </c>
      <c r="S16" s="715">
        <f>F16</f>
        <v>100</v>
      </c>
      <c r="T16" s="714" t="s">
        <v>17</v>
      </c>
      <c r="U16" s="715">
        <f>H16</f>
        <v>100</v>
      </c>
      <c r="V16" s="714" t="s">
        <v>17</v>
      </c>
      <c r="W16" s="715">
        <f>J16</f>
        <v>100</v>
      </c>
      <c r="X16" s="1505"/>
      <c r="Y16" s="3739"/>
      <c r="Z16" s="1506" t="str">
        <f>Q16</f>
        <v>公共配套设施</v>
      </c>
      <c r="AA16" s="1503">
        <f t="shared" si="3"/>
        <v>1</v>
      </c>
      <c r="AB16" s="1503">
        <f t="shared" si="4"/>
        <v>1</v>
      </c>
      <c r="AC16" s="1503">
        <f t="shared" si="5"/>
        <v>1</v>
      </c>
    </row>
    <row r="17" spans="1:29" ht="15">
      <c r="A17" s="387"/>
      <c r="B17" s="415"/>
      <c r="C17" s="2052"/>
      <c r="D17" s="407"/>
      <c r="E17" s="406"/>
      <c r="F17" s="408"/>
      <c r="G17" s="406"/>
      <c r="H17" s="407"/>
      <c r="I17" s="406"/>
      <c r="J17" s="407"/>
      <c r="K17" s="572"/>
      <c r="L17" s="2913"/>
      <c r="M17" s="2907"/>
      <c r="N17" s="2907"/>
      <c r="O17" s="2965"/>
      <c r="P17" s="3739"/>
      <c r="Q17" s="1502"/>
      <c r="R17" s="714"/>
      <c r="S17" s="715"/>
      <c r="T17" s="714"/>
      <c r="U17" s="715"/>
      <c r="V17" s="714"/>
      <c r="W17" s="715"/>
      <c r="X17" s="1505"/>
      <c r="Y17" s="3739"/>
      <c r="Z17" s="1506"/>
      <c r="AA17" s="1503">
        <v>1</v>
      </c>
      <c r="AB17" s="1503">
        <v>1</v>
      </c>
      <c r="AC17" s="1503">
        <v>1</v>
      </c>
    </row>
    <row r="18" spans="1:29" ht="28.5">
      <c r="A18" s="387"/>
      <c r="B18" s="1261" t="s">
        <v>2448</v>
      </c>
      <c r="C18" s="2051"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3"/>
      <c r="M18" s="2907"/>
      <c r="N18" s="2907"/>
      <c r="O18" s="2965"/>
      <c r="P18" s="3739"/>
      <c r="Q18" s="1502" t="str">
        <f>B18</f>
        <v>基础设施水平</v>
      </c>
      <c r="R18" s="714" t="s">
        <v>17</v>
      </c>
      <c r="S18" s="715">
        <f>F18</f>
        <v>100</v>
      </c>
      <c r="T18" s="714" t="s">
        <v>17</v>
      </c>
      <c r="U18" s="715">
        <f>H18</f>
        <v>100</v>
      </c>
      <c r="V18" s="714" t="s">
        <v>17</v>
      </c>
      <c r="W18" s="715">
        <f>J18</f>
        <v>100</v>
      </c>
      <c r="X18" s="1505"/>
      <c r="Y18" s="3739"/>
      <c r="Z18" s="1506" t="str">
        <f>Q18</f>
        <v>基础设施水平</v>
      </c>
      <c r="AA18" s="1503">
        <f t="shared" ref="AA18" si="8">D18/F18</f>
        <v>1</v>
      </c>
      <c r="AB18" s="1503">
        <f t="shared" ref="AB18" si="9">D18/H18</f>
        <v>1</v>
      </c>
      <c r="AC18" s="1503">
        <f t="shared" ref="AC18" si="10">D18/J18</f>
        <v>1</v>
      </c>
    </row>
    <row r="19" spans="1:29" ht="15">
      <c r="A19" s="387"/>
      <c r="B19" s="1261"/>
      <c r="C19" s="2052"/>
      <c r="D19" s="409"/>
      <c r="E19" s="2052"/>
      <c r="F19" s="412"/>
      <c r="G19" s="2052"/>
      <c r="H19" s="407"/>
      <c r="I19" s="406"/>
      <c r="J19" s="407"/>
      <c r="K19" s="1260"/>
      <c r="L19" s="2913"/>
      <c r="M19" s="2907"/>
      <c r="N19" s="2907"/>
      <c r="O19" s="2965"/>
      <c r="P19" s="3739"/>
      <c r="Q19" s="1502"/>
      <c r="R19" s="714"/>
      <c r="S19" s="715"/>
      <c r="T19" s="714"/>
      <c r="U19" s="715"/>
      <c r="V19" s="714"/>
      <c r="W19" s="715"/>
      <c r="X19" s="1505"/>
      <c r="Y19" s="3739"/>
      <c r="Z19" s="1506"/>
      <c r="AA19" s="1503">
        <v>1</v>
      </c>
      <c r="AB19" s="1503">
        <v>1</v>
      </c>
      <c r="AC19" s="1503">
        <v>1</v>
      </c>
    </row>
    <row r="20" spans="1:29" ht="128.25">
      <c r="A20" s="387"/>
      <c r="B20" s="410" t="s">
        <v>2469</v>
      </c>
      <c r="C20" s="2051" t="str">
        <f>IF(B1="工业",估价对象房地状况!G7,估价对象房地状况!C9)</f>
        <v>自然环境有西湖园、社区文化公园等自然景观；人文环境无；距离北京首都国际机场1.5公里，机场噪音大，综合评价环境状况较差。</v>
      </c>
      <c r="D20" s="414">
        <v>100</v>
      </c>
      <c r="E20" s="416"/>
      <c r="F20" s="417">
        <f>SUMIF(67:67,E21,68:68)-SUMIF(67:67,C21,68:68)+100</f>
        <v>100</v>
      </c>
      <c r="G20" s="418"/>
      <c r="H20" s="409">
        <f>SUMIF(67:67,G21,68:68)-SUMIF(67:67,C21,68:68)+100</f>
        <v>100</v>
      </c>
      <c r="I20" s="411"/>
      <c r="J20" s="409">
        <f>SUMIF(67:67,I21,68:68)-SUMIF(67:67,C21,68:68)+100</f>
        <v>100</v>
      </c>
      <c r="K20" s="571"/>
      <c r="L20" s="2913"/>
      <c r="M20" s="2907"/>
      <c r="N20" s="2907"/>
      <c r="O20" s="2965"/>
      <c r="P20" s="3739"/>
      <c r="Q20" s="1502" t="str">
        <f>B20</f>
        <v>自然及人文环境</v>
      </c>
      <c r="R20" s="714" t="s">
        <v>17</v>
      </c>
      <c r="S20" s="715">
        <f>F20</f>
        <v>100</v>
      </c>
      <c r="T20" s="714" t="s">
        <v>17</v>
      </c>
      <c r="U20" s="715">
        <f>H20</f>
        <v>100</v>
      </c>
      <c r="V20" s="714" t="s">
        <v>17</v>
      </c>
      <c r="W20" s="715">
        <f>J20</f>
        <v>100</v>
      </c>
      <c r="X20" s="1505"/>
      <c r="Y20" s="3739"/>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3"/>
      <c r="M21" s="2907"/>
      <c r="N21" s="2907"/>
      <c r="O21" s="2965"/>
      <c r="P21" s="3739"/>
      <c r="Q21" s="1502"/>
      <c r="R21" s="714"/>
      <c r="S21" s="715"/>
      <c r="T21" s="714"/>
      <c r="U21" s="715"/>
      <c r="V21" s="714"/>
      <c r="W21" s="715"/>
      <c r="X21" s="1505"/>
      <c r="Y21" s="3739"/>
      <c r="Z21" s="1506"/>
      <c r="AA21" s="1503">
        <v>1</v>
      </c>
      <c r="AB21" s="1503">
        <v>1</v>
      </c>
      <c r="AC21" s="1503">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3"/>
      <c r="M22" s="2907"/>
      <c r="N22" s="2907"/>
      <c r="O22" s="2965"/>
      <c r="P22" s="3739"/>
      <c r="Q22" s="1502" t="str">
        <f>B22</f>
        <v>楼层</v>
      </c>
      <c r="R22" s="714" t="s">
        <v>17</v>
      </c>
      <c r="S22" s="715">
        <f>F22</f>
        <v>100</v>
      </c>
      <c r="T22" s="714" t="s">
        <v>17</v>
      </c>
      <c r="U22" s="715">
        <f>H22</f>
        <v>100</v>
      </c>
      <c r="V22" s="714" t="s">
        <v>17</v>
      </c>
      <c r="W22" s="715">
        <f>J22</f>
        <v>100</v>
      </c>
      <c r="X22" s="1505"/>
      <c r="Y22" s="3739"/>
      <c r="Z22" s="1506" t="str">
        <f>Q22</f>
        <v>楼层</v>
      </c>
      <c r="AA22" s="1503">
        <f t="shared" si="3"/>
        <v>1</v>
      </c>
      <c r="AB22" s="1503">
        <f t="shared" si="4"/>
        <v>1</v>
      </c>
      <c r="AC22" s="1503">
        <f t="shared" si="5"/>
        <v>1</v>
      </c>
    </row>
    <row r="23" spans="1:29" ht="15">
      <c r="A23" s="364"/>
      <c r="B23" s="2044">
        <v>111</v>
      </c>
      <c r="C23" s="391"/>
      <c r="D23" s="394">
        <v>100</v>
      </c>
      <c r="E23" s="393"/>
      <c r="F23" s="420">
        <f>SUMIF(71:71,E23,72:72)-SUMIF(71:71,C23,72:72)+100</f>
        <v>100</v>
      </c>
      <c r="G23" s="393"/>
      <c r="H23" s="394">
        <f>SUMIF(71:71,G23,72:72)-SUMIF(71:71,C23,72:72)+100</f>
        <v>100</v>
      </c>
      <c r="I23" s="393"/>
      <c r="J23" s="394">
        <f>SUMIF(71:71,I23,72:72)-SUMIF(71:71,C23,72:72)+100</f>
        <v>100</v>
      </c>
      <c r="K23" s="570"/>
      <c r="L23" s="2913"/>
      <c r="M23" s="2907"/>
      <c r="N23" s="2907"/>
      <c r="O23" s="2965"/>
      <c r="P23" s="3739"/>
      <c r="Q23" s="1502">
        <f>B23</f>
        <v>111</v>
      </c>
      <c r="R23" s="714" t="s">
        <v>17</v>
      </c>
      <c r="S23" s="715">
        <f>F23</f>
        <v>100</v>
      </c>
      <c r="T23" s="714" t="s">
        <v>17</v>
      </c>
      <c r="U23" s="715">
        <f>H23</f>
        <v>100</v>
      </c>
      <c r="V23" s="714" t="s">
        <v>17</v>
      </c>
      <c r="W23" s="715">
        <f>J23</f>
        <v>100</v>
      </c>
      <c r="X23" s="1505"/>
      <c r="Y23" s="3739"/>
      <c r="Z23" s="1506">
        <f>Q23</f>
        <v>111</v>
      </c>
      <c r="AA23" s="1503">
        <f t="shared" si="3"/>
        <v>1</v>
      </c>
      <c r="AB23" s="1503">
        <f t="shared" si="4"/>
        <v>1</v>
      </c>
      <c r="AC23" s="1503">
        <f t="shared" si="5"/>
        <v>1</v>
      </c>
    </row>
    <row r="24" spans="1:29" ht="15">
      <c r="A24" s="387"/>
      <c r="B24" s="2044">
        <v>111</v>
      </c>
      <c r="C24" s="391"/>
      <c r="D24" s="394">
        <v>100</v>
      </c>
      <c r="E24" s="393"/>
      <c r="F24" s="420">
        <f>SUMIF(73:73,E24,74:74)-SUMIF(73:73,C24,74:74)+100</f>
        <v>100</v>
      </c>
      <c r="G24" s="393"/>
      <c r="H24" s="394">
        <f>SUMIF(73:73,G24,74:74)-SUMIF(73:73,C24,74:74)+100</f>
        <v>100</v>
      </c>
      <c r="I24" s="393"/>
      <c r="J24" s="394">
        <f>SUMIF(73:73,I24,74:74)-SUMIF(73:73,C24,74:74)+100</f>
        <v>100</v>
      </c>
      <c r="K24" s="570"/>
      <c r="L24" s="2913"/>
      <c r="M24" s="2907"/>
      <c r="N24" s="2907"/>
      <c r="O24" s="2965"/>
      <c r="P24" s="3739"/>
      <c r="Q24" s="1502">
        <f t="shared" ref="Q24:Q34" si="11">B24</f>
        <v>111</v>
      </c>
      <c r="R24" s="714" t="s">
        <v>17</v>
      </c>
      <c r="S24" s="715">
        <f>F24</f>
        <v>100</v>
      </c>
      <c r="T24" s="714" t="s">
        <v>17</v>
      </c>
      <c r="U24" s="715">
        <f>H24</f>
        <v>100</v>
      </c>
      <c r="V24" s="714" t="s">
        <v>17</v>
      </c>
      <c r="W24" s="715">
        <f>J24</f>
        <v>100</v>
      </c>
      <c r="X24" s="1505"/>
      <c r="Y24" s="3739"/>
      <c r="Z24" s="1506">
        <f>Q24</f>
        <v>111</v>
      </c>
      <c r="AA24" s="1503">
        <f t="shared" si="3"/>
        <v>1</v>
      </c>
      <c r="AB24" s="1503">
        <f t="shared" si="4"/>
        <v>1</v>
      </c>
      <c r="AC24" s="1503">
        <f t="shared" si="5"/>
        <v>1</v>
      </c>
    </row>
    <row r="25" spans="1:29" s="113" customFormat="1" ht="15.75" thickBot="1">
      <c r="A25" s="390"/>
      <c r="B25" s="2044">
        <v>111</v>
      </c>
      <c r="C25" s="2125"/>
      <c r="D25" s="621">
        <v>100</v>
      </c>
      <c r="E25" s="2125"/>
      <c r="F25" s="622">
        <f>SUMIF(75:75,E25,76:76)-SUMIF(75:75,C25,76:76)+100</f>
        <v>100</v>
      </c>
      <c r="G25" s="2125"/>
      <c r="H25" s="621">
        <f>SUMIF(75:75,G25,76:76)-SUMIF(75:75,C25,76:76)+100</f>
        <v>100</v>
      </c>
      <c r="I25" s="2125"/>
      <c r="J25" s="621">
        <f>SUMIF(75:75,I25,76:76)-SUMIF(75:75,C25,76:76)+100</f>
        <v>100</v>
      </c>
      <c r="K25" s="570"/>
      <c r="L25" s="2908"/>
      <c r="M25" s="2909"/>
      <c r="N25" s="2909"/>
      <c r="O25" s="2963"/>
      <c r="P25" s="3739"/>
      <c r="Q25" s="1493">
        <f t="shared" si="11"/>
        <v>111</v>
      </c>
      <c r="R25" s="710" t="s">
        <v>17</v>
      </c>
      <c r="S25" s="711">
        <f>F25</f>
        <v>100</v>
      </c>
      <c r="T25" s="710" t="s">
        <v>17</v>
      </c>
      <c r="U25" s="711">
        <f>H25</f>
        <v>100</v>
      </c>
      <c r="V25" s="710" t="s">
        <v>17</v>
      </c>
      <c r="W25" s="711">
        <f>J25</f>
        <v>100</v>
      </c>
      <c r="X25" s="712"/>
      <c r="Y25" s="3739"/>
      <c r="Z25" s="55">
        <f>Q25</f>
        <v>111</v>
      </c>
      <c r="AA25" s="1503">
        <f>D25/F25</f>
        <v>1</v>
      </c>
      <c r="AB25" s="1503">
        <f>D25/H25</f>
        <v>1</v>
      </c>
      <c r="AC25" s="1503">
        <f>D25/J25</f>
        <v>1</v>
      </c>
    </row>
    <row r="26" spans="1:29" ht="28.5">
      <c r="A26" s="425" t="s">
        <v>2322</v>
      </c>
      <c r="B26" s="67" t="s">
        <v>2473</v>
      </c>
      <c r="C26" s="2116"/>
      <c r="D26" s="426">
        <v>100</v>
      </c>
      <c r="E26" s="2116"/>
      <c r="F26" s="623">
        <f>SUMIF(77:77,E26,78:78)-SUMIF(77:77,C26,78:78)+100</f>
        <v>100</v>
      </c>
      <c r="G26" s="2116"/>
      <c r="H26" s="426">
        <f>SUMIF(77:77,G26,78:78)-SUMIF(77:77,C26,78:78)+100</f>
        <v>100</v>
      </c>
      <c r="I26" s="2116"/>
      <c r="J26" s="426">
        <f>SUMIF(77:77,I26,78:78)-SUMIF(77:77,C26,78:78)+100</f>
        <v>100</v>
      </c>
      <c r="K26" s="569"/>
      <c r="L26" s="2913"/>
      <c r="M26" s="2907"/>
      <c r="N26" s="2907"/>
      <c r="O26" s="2965"/>
      <c r="P26" s="3796" t="s">
        <v>2324</v>
      </c>
      <c r="Q26" s="1502" t="str">
        <f t="shared" si="11"/>
        <v>公共部分装修</v>
      </c>
      <c r="R26" s="714" t="s">
        <v>17</v>
      </c>
      <c r="S26" s="715">
        <f t="shared" ref="S26:S34" si="12">F26</f>
        <v>100</v>
      </c>
      <c r="T26" s="714" t="s">
        <v>17</v>
      </c>
      <c r="U26" s="715">
        <f t="shared" ref="U26:U34" si="13">H26</f>
        <v>100</v>
      </c>
      <c r="V26" s="714" t="s">
        <v>17</v>
      </c>
      <c r="W26" s="715">
        <f t="shared" ref="W26:W34" si="14">J26</f>
        <v>100</v>
      </c>
      <c r="X26" s="1505"/>
      <c r="Y26" s="3743" t="s">
        <v>2324</v>
      </c>
      <c r="Z26" s="1506" t="str">
        <f t="shared" ref="Z26:Z34" si="15">Q26</f>
        <v>公共部分装修</v>
      </c>
      <c r="AA26" s="1503">
        <f t="shared" si="3"/>
        <v>1</v>
      </c>
      <c r="AB26" s="1503">
        <f t="shared" si="4"/>
        <v>1</v>
      </c>
      <c r="AC26" s="1503">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2"/>
      <c r="M27" s="2914"/>
      <c r="N27" s="2914"/>
      <c r="O27" s="2966"/>
      <c r="P27" s="3743"/>
      <c r="Q27" s="716" t="str">
        <f t="shared" si="11"/>
        <v>成新率</v>
      </c>
      <c r="R27" s="717" t="s">
        <v>17</v>
      </c>
      <c r="S27" s="718" t="e">
        <f t="shared" si="12"/>
        <v>#N/A</v>
      </c>
      <c r="T27" s="717" t="s">
        <v>17</v>
      </c>
      <c r="U27" s="718" t="e">
        <f t="shared" si="13"/>
        <v>#N/A</v>
      </c>
      <c r="V27" s="717" t="s">
        <v>17</v>
      </c>
      <c r="W27" s="718" t="e">
        <f t="shared" si="14"/>
        <v>#N/A</v>
      </c>
      <c r="X27" s="719"/>
      <c r="Y27" s="3743"/>
      <c r="Z27" s="720" t="str">
        <f t="shared" si="15"/>
        <v>成新率</v>
      </c>
      <c r="AA27" s="1503" t="e">
        <f t="shared" si="3"/>
        <v>#N/A</v>
      </c>
      <c r="AB27" s="1503" t="e">
        <f t="shared" si="4"/>
        <v>#N/A</v>
      </c>
      <c r="AC27" s="1503"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3"/>
      <c r="M28" s="2907"/>
      <c r="N28" s="2907"/>
      <c r="O28" s="2965"/>
      <c r="P28" s="3743"/>
      <c r="Q28" s="1502" t="str">
        <f t="shared" si="11"/>
        <v>物业等级</v>
      </c>
      <c r="R28" s="714" t="s">
        <v>17</v>
      </c>
      <c r="S28" s="715">
        <f t="shared" si="12"/>
        <v>100</v>
      </c>
      <c r="T28" s="714" t="s">
        <v>17</v>
      </c>
      <c r="U28" s="715">
        <f t="shared" si="13"/>
        <v>100</v>
      </c>
      <c r="V28" s="714" t="s">
        <v>17</v>
      </c>
      <c r="W28" s="715">
        <f t="shared" si="14"/>
        <v>100</v>
      </c>
      <c r="X28" s="1505"/>
      <c r="Y28" s="3743"/>
      <c r="Z28" s="1506" t="str">
        <f t="shared" si="15"/>
        <v>物业等级</v>
      </c>
      <c r="AA28" s="1503">
        <f t="shared" si="3"/>
        <v>1</v>
      </c>
      <c r="AB28" s="1503">
        <f t="shared" si="4"/>
        <v>1</v>
      </c>
      <c r="AC28" s="1503">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3"/>
      <c r="M29" s="2907"/>
      <c r="N29" s="2907"/>
      <c r="O29" s="2965"/>
      <c r="P29" s="3743"/>
      <c r="Q29" s="1502" t="str">
        <f t="shared" si="11"/>
        <v>有无电梯</v>
      </c>
      <c r="R29" s="714" t="s">
        <v>17</v>
      </c>
      <c r="S29" s="715">
        <f t="shared" si="12"/>
        <v>100</v>
      </c>
      <c r="T29" s="714" t="s">
        <v>17</v>
      </c>
      <c r="U29" s="715">
        <f t="shared" si="13"/>
        <v>100</v>
      </c>
      <c r="V29" s="714" t="s">
        <v>17</v>
      </c>
      <c r="W29" s="715">
        <f t="shared" si="14"/>
        <v>100</v>
      </c>
      <c r="X29" s="1505"/>
      <c r="Y29" s="3743"/>
      <c r="Z29" s="1506" t="str">
        <f t="shared" si="15"/>
        <v>有无电梯</v>
      </c>
      <c r="AA29" s="1503">
        <f t="shared" si="3"/>
        <v>1</v>
      </c>
      <c r="AB29" s="1503">
        <f t="shared" si="4"/>
        <v>1</v>
      </c>
      <c r="AC29" s="1503">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3"/>
      <c r="M30" s="2907"/>
      <c r="N30" s="2907"/>
      <c r="O30" s="2965"/>
      <c r="P30" s="3743"/>
      <c r="Q30" s="1502" t="str">
        <f t="shared" si="11"/>
        <v>建筑面积</v>
      </c>
      <c r="R30" s="714" t="s">
        <v>17</v>
      </c>
      <c r="S30" s="715" t="e">
        <f t="shared" si="12"/>
        <v>#N/A</v>
      </c>
      <c r="T30" s="714" t="s">
        <v>17</v>
      </c>
      <c r="U30" s="715" t="e">
        <f t="shared" si="13"/>
        <v>#N/A</v>
      </c>
      <c r="V30" s="714" t="s">
        <v>17</v>
      </c>
      <c r="W30" s="715" t="e">
        <f t="shared" si="14"/>
        <v>#N/A</v>
      </c>
      <c r="X30" s="1505"/>
      <c r="Y30" s="3743"/>
      <c r="Z30" s="1506" t="str">
        <f t="shared" si="15"/>
        <v>建筑面积</v>
      </c>
      <c r="AA30" s="1503" t="e">
        <f t="shared" si="3"/>
        <v>#N/A</v>
      </c>
      <c r="AB30" s="1503" t="e">
        <f t="shared" si="4"/>
        <v>#N/A</v>
      </c>
      <c r="AC30" s="1503"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08"/>
      <c r="M31" s="2909"/>
      <c r="N31" s="2909"/>
      <c r="O31" s="2963"/>
      <c r="P31" s="3743"/>
      <c r="Q31" s="1493" t="str">
        <f t="shared" si="11"/>
        <v>是否封闭</v>
      </c>
      <c r="R31" s="710" t="s">
        <v>17</v>
      </c>
      <c r="S31" s="711">
        <f t="shared" si="12"/>
        <v>100</v>
      </c>
      <c r="T31" s="710" t="s">
        <v>17</v>
      </c>
      <c r="U31" s="711">
        <f t="shared" si="13"/>
        <v>100</v>
      </c>
      <c r="V31" s="710" t="s">
        <v>17</v>
      </c>
      <c r="W31" s="711">
        <f t="shared" si="14"/>
        <v>100</v>
      </c>
      <c r="X31" s="712"/>
      <c r="Y31" s="3743"/>
      <c r="Z31" s="55" t="str">
        <f t="shared" si="15"/>
        <v>是否封闭</v>
      </c>
      <c r="AA31" s="713">
        <f t="shared" si="3"/>
        <v>1</v>
      </c>
      <c r="AB31" s="713">
        <f t="shared" si="4"/>
        <v>1</v>
      </c>
      <c r="AC31" s="713">
        <f t="shared" si="5"/>
        <v>1</v>
      </c>
    </row>
    <row r="32" spans="1:29" ht="15">
      <c r="A32" s="431"/>
      <c r="B32" s="2044">
        <v>111</v>
      </c>
      <c r="C32" s="391"/>
      <c r="D32" s="394">
        <v>100</v>
      </c>
      <c r="E32" s="428"/>
      <c r="F32" s="420">
        <f>SUMIF(91:91,E32,92:92)-SUMIF(91:91,C32,92:92)+100</f>
        <v>100</v>
      </c>
      <c r="G32" s="428"/>
      <c r="H32" s="394">
        <f>SUMIF(91:91,G32,92:92)-SUMIF(91:91,C32,92:92)+100</f>
        <v>100</v>
      </c>
      <c r="I32" s="428"/>
      <c r="J32" s="394">
        <f>SUMIF(91:91,I32,92:92)-SUMIF(91:91,C32,92:92)+100</f>
        <v>100</v>
      </c>
      <c r="K32" s="570"/>
      <c r="L32" s="2913"/>
      <c r="M32" s="2907"/>
      <c r="N32" s="2907"/>
      <c r="O32" s="2965"/>
      <c r="P32" s="3743" t="s">
        <v>2324</v>
      </c>
      <c r="Q32" s="1502">
        <f t="shared" si="11"/>
        <v>111</v>
      </c>
      <c r="R32" s="714" t="s">
        <v>17</v>
      </c>
      <c r="S32" s="715">
        <f t="shared" si="12"/>
        <v>100</v>
      </c>
      <c r="T32" s="714" t="s">
        <v>17</v>
      </c>
      <c r="U32" s="715">
        <f t="shared" si="13"/>
        <v>100</v>
      </c>
      <c r="V32" s="714" t="s">
        <v>17</v>
      </c>
      <c r="W32" s="715">
        <f t="shared" si="14"/>
        <v>100</v>
      </c>
      <c r="X32" s="1505"/>
      <c r="Y32" s="3743" t="s">
        <v>2324</v>
      </c>
      <c r="Z32" s="1506">
        <f t="shared" si="15"/>
        <v>111</v>
      </c>
      <c r="AA32" s="1503">
        <f t="shared" si="3"/>
        <v>1</v>
      </c>
      <c r="AB32" s="1503">
        <f t="shared" si="4"/>
        <v>1</v>
      </c>
      <c r="AC32" s="1503">
        <f t="shared" si="5"/>
        <v>1</v>
      </c>
    </row>
    <row r="33" spans="1:30" ht="15">
      <c r="A33" s="431"/>
      <c r="B33" s="2044">
        <v>111</v>
      </c>
      <c r="C33" s="391"/>
      <c r="D33" s="394">
        <v>100</v>
      </c>
      <c r="E33" s="428"/>
      <c r="F33" s="420">
        <f>SUMIF(93:93,E33,94:94)-SUMIF(93:93,C33,94:94)+100</f>
        <v>100</v>
      </c>
      <c r="G33" s="428"/>
      <c r="H33" s="394">
        <f>SUMIF(93:93,G33,94:94)-SUMIF(93:93,C33,94:94)+100</f>
        <v>100</v>
      </c>
      <c r="I33" s="428"/>
      <c r="J33" s="394">
        <f>SUMIF(93:93,I33,94:94)-SUMIF(93:93,C33,94:94)+100</f>
        <v>100</v>
      </c>
      <c r="K33" s="570"/>
      <c r="L33" s="2913"/>
      <c r="M33" s="2907"/>
      <c r="N33" s="2907"/>
      <c r="O33" s="2965"/>
      <c r="P33" s="3743"/>
      <c r="Q33" s="1502">
        <f t="shared" si="11"/>
        <v>111</v>
      </c>
      <c r="R33" s="714" t="s">
        <v>17</v>
      </c>
      <c r="S33" s="715">
        <f t="shared" si="12"/>
        <v>100</v>
      </c>
      <c r="T33" s="714" t="s">
        <v>17</v>
      </c>
      <c r="U33" s="715">
        <f t="shared" si="13"/>
        <v>100</v>
      </c>
      <c r="V33" s="714" t="s">
        <v>17</v>
      </c>
      <c r="W33" s="715">
        <f t="shared" si="14"/>
        <v>100</v>
      </c>
      <c r="X33" s="1505"/>
      <c r="Y33" s="3743"/>
      <c r="Z33" s="1506">
        <f t="shared" si="15"/>
        <v>111</v>
      </c>
      <c r="AA33" s="1503">
        <f t="shared" si="3"/>
        <v>1</v>
      </c>
      <c r="AB33" s="1503">
        <f t="shared" si="4"/>
        <v>1</v>
      </c>
      <c r="AC33" s="1503">
        <f t="shared" si="5"/>
        <v>1</v>
      </c>
    </row>
    <row r="34" spans="1:30" ht="15.75" thickBot="1">
      <c r="A34" s="437"/>
      <c r="B34" s="2046">
        <v>111</v>
      </c>
      <c r="C34" s="396"/>
      <c r="D34" s="397">
        <v>100</v>
      </c>
      <c r="E34" s="2124"/>
      <c r="F34" s="398">
        <f>SUMIF(95:95,E34,96:96)-SUMIF(95:95,C34,96:96)+100</f>
        <v>100</v>
      </c>
      <c r="G34" s="2124"/>
      <c r="H34" s="397">
        <f>SUMIF(95:95,G34,96:96)-SUMIF(95:95,C34,96:96)+100</f>
        <v>100</v>
      </c>
      <c r="I34" s="2124"/>
      <c r="J34" s="397">
        <f>SUMIF(95:95,I34,96:96)-SUMIF(95:95,C34,96:96)+100</f>
        <v>100</v>
      </c>
      <c r="K34" s="570"/>
      <c r="L34" s="2913"/>
      <c r="M34" s="2907"/>
      <c r="N34" s="2907"/>
      <c r="O34" s="2965"/>
      <c r="P34" s="3743"/>
      <c r="Q34" s="1502">
        <f t="shared" si="11"/>
        <v>111</v>
      </c>
      <c r="R34" s="714" t="s">
        <v>17</v>
      </c>
      <c r="S34" s="715">
        <f t="shared" si="12"/>
        <v>100</v>
      </c>
      <c r="T34" s="714" t="s">
        <v>17</v>
      </c>
      <c r="U34" s="715">
        <f t="shared" si="13"/>
        <v>100</v>
      </c>
      <c r="V34" s="714" t="s">
        <v>17</v>
      </c>
      <c r="W34" s="715">
        <f t="shared" si="14"/>
        <v>100</v>
      </c>
      <c r="X34" s="1505"/>
      <c r="Y34" s="3743"/>
      <c r="Z34" s="1506">
        <f t="shared" si="15"/>
        <v>111</v>
      </c>
      <c r="AA34" s="1503">
        <f t="shared" si="3"/>
        <v>1</v>
      </c>
      <c r="AB34" s="1503">
        <f t="shared" si="4"/>
        <v>1</v>
      </c>
      <c r="AC34" s="1503">
        <f t="shared" si="5"/>
        <v>1</v>
      </c>
    </row>
    <row r="35" spans="1:30" ht="15">
      <c r="A35" s="438" t="s">
        <v>2336</v>
      </c>
      <c r="B35" s="439"/>
      <c r="C35" s="1284" t="s">
        <v>1</v>
      </c>
      <c r="D35" s="1285"/>
      <c r="E35" s="1286"/>
      <c r="F35" s="1287"/>
      <c r="G35" s="1288"/>
      <c r="H35" s="1289"/>
      <c r="I35" s="1286"/>
      <c r="J35" s="1289"/>
      <c r="K35" s="723"/>
      <c r="L35" s="2915"/>
      <c r="M35" s="2916"/>
      <c r="N35" s="2907"/>
      <c r="O35" s="2916"/>
      <c r="P35" s="3736" t="str">
        <f>A35</f>
        <v>成交单价（元/平方米）</v>
      </c>
      <c r="Q35" s="3736"/>
      <c r="R35" s="3737">
        <f>E35</f>
        <v>0</v>
      </c>
      <c r="S35" s="3737"/>
      <c r="T35" s="3737">
        <f>G35</f>
        <v>0</v>
      </c>
      <c r="U35" s="3737"/>
      <c r="V35" s="3737">
        <f>I35</f>
        <v>0</v>
      </c>
      <c r="W35" s="3737"/>
      <c r="X35" s="699"/>
      <c r="Y35" s="721"/>
      <c r="Z35" s="699"/>
      <c r="AA35" s="699"/>
      <c r="AB35" s="699"/>
      <c r="AC35" s="699"/>
    </row>
    <row r="36" spans="1:30" ht="15.75" thickBot="1">
      <c r="A36" s="445" t="s">
        <v>2428</v>
      </c>
      <c r="B36" s="446"/>
      <c r="C36" s="1290" t="e">
        <f>R37</f>
        <v>#DIV/0!</v>
      </c>
      <c r="D36" s="2501" t="s">
        <v>2819</v>
      </c>
      <c r="E36" s="1291" t="e">
        <f>R36</f>
        <v>#DIV/0!</v>
      </c>
      <c r="F36" s="2502"/>
      <c r="G36" s="1290" t="e">
        <f>T36</f>
        <v>#DIV/0!</v>
      </c>
      <c r="H36" s="2502"/>
      <c r="I36" s="1291" t="e">
        <f>V36</f>
        <v>#DIV/0!</v>
      </c>
      <c r="J36" s="2502"/>
      <c r="K36" s="2504">
        <f>F36+H36+J36</f>
        <v>0</v>
      </c>
      <c r="L36" s="2915"/>
      <c r="M36" s="2916"/>
      <c r="N36" s="2907"/>
      <c r="O36" s="2916"/>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9"/>
      <c r="Y36" s="699"/>
      <c r="Z36" s="699"/>
      <c r="AA36" s="699"/>
      <c r="AB36" s="699"/>
      <c r="AC36" s="699"/>
    </row>
    <row r="37" spans="1:30" ht="15.75" thickBot="1">
      <c r="A37" s="449" t="s">
        <v>2429</v>
      </c>
      <c r="B37" s="450"/>
      <c r="C37" s="1293" t="e">
        <f>R37</f>
        <v>#DIV/0!</v>
      </c>
      <c r="D37" s="1293"/>
      <c r="E37" s="1293"/>
      <c r="F37" s="1293"/>
      <c r="G37" s="1293"/>
      <c r="H37" s="1293"/>
      <c r="I37" s="1293"/>
      <c r="J37" s="1293"/>
      <c r="K37" s="724"/>
      <c r="L37" s="2915"/>
      <c r="M37" s="2916"/>
      <c r="N37" s="2916"/>
      <c r="O37" s="2916"/>
      <c r="P37" s="3733" t="str">
        <f>A37</f>
        <v>估价对象XX用房的比较价值（楼面单价，元/平方米）</v>
      </c>
      <c r="Q37" s="3734"/>
      <c r="R37" s="3797" t="e">
        <f>IF(F1="售价",ROUND(IF(D36="简单平均",AVERAGE(R36:W36),R36*F36+T36*H36+V36*J36),0),ROUND(IF(D36="简单平均",AVERAGE(R36:V36),R36*F36+T36*H36+V36*J36),1))</f>
        <v>#DIV/0!</v>
      </c>
      <c r="S37" s="3797"/>
      <c r="T37" s="3797"/>
      <c r="U37" s="3797"/>
      <c r="V37" s="3797"/>
      <c r="W37" s="3797"/>
      <c r="X37" s="699"/>
      <c r="Y37" s="699"/>
      <c r="Z37" s="699"/>
      <c r="AA37" s="699"/>
      <c r="AB37" s="699"/>
      <c r="AC37" s="699"/>
    </row>
    <row r="38" spans="1:30">
      <c r="A38" s="2916"/>
      <c r="B38" s="2916"/>
      <c r="C38" s="2916"/>
      <c r="D38" s="2916"/>
      <c r="E38" s="2916"/>
      <c r="F38" s="2916"/>
      <c r="G38" s="2920"/>
      <c r="H38" s="2916"/>
      <c r="I38" s="2916"/>
      <c r="J38" s="2916"/>
      <c r="K38" s="2921"/>
      <c r="L38" s="2917"/>
      <c r="M38" s="2916"/>
      <c r="N38" s="2916"/>
      <c r="O38" s="2916"/>
      <c r="P38" s="2916"/>
      <c r="Q38" s="2916"/>
      <c r="R38" s="2916"/>
      <c r="S38" s="2916"/>
      <c r="T38" s="2916"/>
      <c r="U38" s="2916"/>
      <c r="V38" s="2916"/>
      <c r="W38" s="2916"/>
      <c r="X38" s="2916"/>
      <c r="Y38" s="2916"/>
      <c r="Z38" s="2916"/>
      <c r="AA38" s="2916"/>
      <c r="AB38" s="2916"/>
      <c r="AC38" s="2916"/>
      <c r="AD38" s="2916"/>
    </row>
    <row r="39" spans="1:30">
      <c r="A39" s="2916"/>
      <c r="B39" s="2916"/>
      <c r="C39" s="2916"/>
      <c r="D39" s="2916"/>
      <c r="E39" s="2916"/>
      <c r="F39" s="2916"/>
      <c r="G39" s="2916"/>
      <c r="H39" s="2916"/>
      <c r="I39" s="2916"/>
      <c r="J39" s="2916"/>
      <c r="K39" s="2921"/>
      <c r="L39" s="2917"/>
      <c r="M39" s="2916"/>
      <c r="N39" s="2916"/>
      <c r="O39" s="2916"/>
      <c r="P39" s="2916"/>
      <c r="Q39" s="2916"/>
      <c r="R39" s="2916"/>
      <c r="S39" s="2916"/>
      <c r="T39" s="2916"/>
      <c r="U39" s="2916"/>
      <c r="V39" s="2916"/>
      <c r="W39" s="2916"/>
      <c r="X39" s="2916"/>
      <c r="Y39" s="2916"/>
      <c r="Z39" s="2916"/>
      <c r="AA39" s="2916"/>
      <c r="AB39" s="2916"/>
      <c r="AC39" s="2916"/>
      <c r="AD39" s="2916"/>
    </row>
    <row r="40" spans="1:30" ht="13.5" customHeight="1">
      <c r="A40" s="2916"/>
      <c r="B40" s="2916"/>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1"/>
      <c r="L40" s="2917"/>
      <c r="M40" s="2916"/>
      <c r="N40" s="2916"/>
      <c r="O40" s="2916"/>
      <c r="P40" s="2916"/>
      <c r="Q40" s="2916"/>
      <c r="R40" s="2916"/>
      <c r="S40" s="2916"/>
      <c r="T40" s="2916"/>
      <c r="U40" s="2916"/>
      <c r="V40" s="2916"/>
      <c r="W40" s="2916"/>
      <c r="X40" s="2916"/>
      <c r="Y40" s="2916"/>
      <c r="Z40" s="2916"/>
      <c r="AA40" s="2916"/>
      <c r="AB40" s="2916"/>
      <c r="AC40" s="2916"/>
      <c r="AD40" s="2916"/>
    </row>
    <row r="41" spans="1:30" ht="13.5" customHeight="1">
      <c r="A41" s="2916"/>
      <c r="B41" s="2916"/>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1"/>
      <c r="L41" s="2917"/>
      <c r="M41" s="2916"/>
      <c r="N41" s="2916"/>
      <c r="O41" s="2916"/>
      <c r="P41" s="2916"/>
      <c r="Q41" s="2916"/>
      <c r="R41" s="2916"/>
      <c r="S41" s="2916"/>
      <c r="T41" s="2916"/>
      <c r="U41" s="2916"/>
      <c r="V41" s="2916"/>
      <c r="W41" s="2916"/>
      <c r="X41" s="2916"/>
      <c r="Y41" s="2916"/>
      <c r="Z41" s="2916"/>
      <c r="AA41" s="2916"/>
      <c r="AB41" s="2916"/>
      <c r="AC41" s="2916"/>
      <c r="AD41" s="2916"/>
    </row>
    <row r="42" spans="1:30" s="459" customFormat="1" ht="13.5" customHeight="1">
      <c r="A42" s="2919"/>
      <c r="B42" s="2919"/>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4"/>
      <c r="L42" s="2918"/>
      <c r="M42" s="2919"/>
      <c r="N42" s="2919"/>
      <c r="O42" s="2919"/>
      <c r="P42" s="2919"/>
      <c r="Q42" s="2919"/>
      <c r="R42" s="2919"/>
      <c r="S42" s="2919"/>
      <c r="T42" s="2919"/>
      <c r="U42" s="2919"/>
      <c r="V42" s="2919"/>
      <c r="W42" s="2919"/>
      <c r="X42" s="2919"/>
      <c r="Y42" s="2919"/>
      <c r="Z42" s="2919"/>
      <c r="AA42" s="2919"/>
      <c r="AB42" s="2919"/>
      <c r="AC42" s="2919"/>
      <c r="AD42" s="2919"/>
    </row>
    <row r="43" spans="1:30" s="459" customFormat="1">
      <c r="A43" s="2919"/>
      <c r="B43" s="2922"/>
      <c r="C43" s="2923"/>
      <c r="D43" s="2919"/>
      <c r="E43" s="2919"/>
      <c r="F43" s="2919"/>
      <c r="G43" s="2919"/>
      <c r="H43" s="2919"/>
      <c r="I43" s="2919"/>
      <c r="J43" s="2919"/>
      <c r="K43" s="2924"/>
      <c r="L43" s="2918"/>
      <c r="M43" s="2919"/>
      <c r="N43" s="2919"/>
      <c r="O43" s="2919"/>
      <c r="P43" s="2919"/>
      <c r="Q43" s="2919"/>
      <c r="R43" s="2919"/>
      <c r="S43" s="2919"/>
      <c r="T43" s="2919"/>
      <c r="U43" s="2919"/>
      <c r="V43" s="2919"/>
      <c r="W43" s="2919"/>
      <c r="X43" s="2919"/>
      <c r="Y43" s="2919"/>
      <c r="Z43" s="2919"/>
      <c r="AA43" s="2919"/>
      <c r="AB43" s="2919"/>
      <c r="AC43" s="2919"/>
      <c r="AD43" s="2919"/>
    </row>
    <row r="44" spans="1:30">
      <c r="A44" s="2916"/>
      <c r="B44" s="2922"/>
      <c r="C44" s="2923"/>
      <c r="D44" s="2916"/>
      <c r="E44" s="2916"/>
      <c r="F44" s="2916"/>
      <c r="G44" s="2916"/>
      <c r="H44" s="2916"/>
      <c r="I44" s="2916"/>
      <c r="J44" s="2916"/>
      <c r="K44" s="2921"/>
      <c r="L44" s="2917"/>
      <c r="M44" s="2916"/>
      <c r="N44" s="2916"/>
      <c r="O44" s="2916"/>
      <c r="P44" s="2916"/>
      <c r="Q44" s="2916"/>
      <c r="R44" s="2916"/>
      <c r="S44" s="2916"/>
      <c r="T44" s="2916"/>
      <c r="U44" s="2916"/>
      <c r="V44" s="2916"/>
      <c r="W44" s="2916"/>
      <c r="X44" s="2916"/>
      <c r="Y44" s="2916"/>
      <c r="Z44" s="2916"/>
      <c r="AA44" s="2916"/>
      <c r="AB44" s="2916"/>
      <c r="AC44" s="2916"/>
      <c r="AD44" s="2916"/>
    </row>
    <row r="45" spans="1:30" ht="21.75" thickBot="1">
      <c r="A45" s="703" t="s">
        <v>2433</v>
      </c>
      <c r="B45" s="699"/>
      <c r="C45" s="704"/>
      <c r="D45" s="704"/>
      <c r="E45" s="704"/>
      <c r="F45" s="705"/>
      <c r="G45" s="705"/>
      <c r="H45" s="704"/>
      <c r="I45" s="704"/>
      <c r="J45" s="704"/>
      <c r="K45" s="706"/>
      <c r="L45" s="707"/>
      <c r="M45" s="704"/>
      <c r="N45" s="2960"/>
      <c r="O45" s="2960"/>
      <c r="P45" s="2960"/>
      <c r="Q45" s="2930"/>
      <c r="R45" s="2916"/>
      <c r="S45" s="2916"/>
      <c r="T45" s="2916"/>
      <c r="U45" s="2916"/>
      <c r="V45" s="2916"/>
      <c r="W45" s="2916"/>
      <c r="X45" s="2916"/>
      <c r="Y45" s="2916"/>
      <c r="Z45" s="2916"/>
      <c r="AA45" s="2916"/>
      <c r="AB45" s="2916"/>
      <c r="AC45" s="2916"/>
      <c r="AD45" s="2916"/>
    </row>
    <row r="46" spans="1:30" s="465" customFormat="1" ht="15">
      <c r="A46" s="462" t="s">
        <v>2307</v>
      </c>
      <c r="B46" s="463"/>
      <c r="C46" s="1314" t="str">
        <f>YEAR(C7)&amp;"-"&amp;MONTH(C7)</f>
        <v>2022-4</v>
      </c>
      <c r="D46" s="1315">
        <f>EDATE(C46,-1)</f>
        <v>44621</v>
      </c>
      <c r="E46" s="1315">
        <f t="shared" ref="E46:O46" si="16">EDATE(D46,-1)</f>
        <v>44593</v>
      </c>
      <c r="F46" s="1315">
        <f t="shared" si="16"/>
        <v>44562</v>
      </c>
      <c r="G46" s="1315">
        <f t="shared" si="16"/>
        <v>44531</v>
      </c>
      <c r="H46" s="1315">
        <f t="shared" si="16"/>
        <v>44501</v>
      </c>
      <c r="I46" s="1315">
        <f t="shared" si="16"/>
        <v>44470</v>
      </c>
      <c r="J46" s="1315">
        <f t="shared" si="16"/>
        <v>44440</v>
      </c>
      <c r="K46" s="1315">
        <f t="shared" si="16"/>
        <v>44409</v>
      </c>
      <c r="L46" s="1315">
        <f t="shared" si="16"/>
        <v>44378</v>
      </c>
      <c r="M46" s="1315">
        <f t="shared" si="16"/>
        <v>44348</v>
      </c>
      <c r="N46" s="1315">
        <f t="shared" si="16"/>
        <v>44317</v>
      </c>
      <c r="O46" s="1315">
        <f t="shared" si="16"/>
        <v>44287</v>
      </c>
      <c r="P46" s="2967"/>
      <c r="Q46" s="2932"/>
      <c r="R46" s="2932"/>
      <c r="S46" s="2932"/>
      <c r="T46" s="2932"/>
      <c r="U46" s="2932"/>
      <c r="V46" s="2932"/>
      <c r="W46" s="2932"/>
      <c r="X46" s="2932"/>
      <c r="Y46" s="2932"/>
      <c r="Z46" s="2932"/>
      <c r="AA46" s="2932"/>
      <c r="AB46" s="2932"/>
      <c r="AC46" s="2932"/>
      <c r="AD46" s="2932"/>
    </row>
    <row r="47" spans="1:30" s="113" customFormat="1" ht="15">
      <c r="A47" s="466"/>
      <c r="B47" s="467"/>
      <c r="C47" s="1313">
        <v>100</v>
      </c>
      <c r="D47" s="469"/>
      <c r="E47" s="469"/>
      <c r="F47" s="469"/>
      <c r="G47" s="469"/>
      <c r="H47" s="469"/>
      <c r="I47" s="469"/>
      <c r="J47" s="469"/>
      <c r="K47" s="469"/>
      <c r="L47" s="469"/>
      <c r="M47" s="470"/>
      <c r="N47" s="469"/>
      <c r="O47" s="471"/>
      <c r="P47" s="2930"/>
      <c r="Q47" s="2850"/>
      <c r="R47" s="2850"/>
      <c r="S47" s="2850"/>
      <c r="T47" s="2850"/>
      <c r="U47" s="2850"/>
      <c r="V47" s="2850"/>
      <c r="W47" s="2850"/>
      <c r="X47" s="2850"/>
      <c r="Y47" s="2850"/>
      <c r="Z47" s="2850"/>
      <c r="AA47" s="2850"/>
      <c r="AB47" s="2850"/>
      <c r="AC47" s="2850"/>
      <c r="AD47" s="2850"/>
    </row>
    <row r="48" spans="1:30" s="113" customFormat="1" ht="15.75" thickBot="1">
      <c r="A48" s="472" t="s">
        <v>2344</v>
      </c>
      <c r="B48" s="473"/>
      <c r="C48" s="474"/>
      <c r="D48" s="475"/>
      <c r="E48" s="475"/>
      <c r="F48" s="475"/>
      <c r="G48" s="475"/>
      <c r="H48" s="475"/>
      <c r="I48" s="475"/>
      <c r="J48" s="475"/>
      <c r="K48" s="475"/>
      <c r="L48" s="475"/>
      <c r="M48" s="476"/>
      <c r="N48" s="475"/>
      <c r="O48" s="477"/>
      <c r="P48" s="2930"/>
      <c r="Q48" s="2930"/>
      <c r="R48" s="2850"/>
      <c r="S48" s="2850"/>
      <c r="T48" s="2850"/>
      <c r="U48" s="2850"/>
      <c r="V48" s="2850"/>
      <c r="W48" s="2850"/>
      <c r="X48" s="2850"/>
      <c r="Y48" s="2850"/>
      <c r="Z48" s="2850"/>
      <c r="AA48" s="2850"/>
      <c r="AB48" s="2850"/>
      <c r="AC48" s="2850"/>
      <c r="AD48" s="2850"/>
    </row>
    <row r="49" spans="1:30" s="113" customFormat="1" ht="15">
      <c r="A49" s="478" t="s">
        <v>2309</v>
      </c>
      <c r="B49" s="467"/>
      <c r="C49" s="479" t="s">
        <v>2411</v>
      </c>
      <c r="D49" s="480"/>
      <c r="E49" s="480"/>
      <c r="F49" s="480"/>
      <c r="G49" s="480"/>
      <c r="H49" s="480"/>
      <c r="I49" s="480"/>
      <c r="J49" s="480"/>
      <c r="K49" s="480"/>
      <c r="L49" s="481"/>
      <c r="M49" s="482"/>
      <c r="N49" s="2943"/>
      <c r="O49" s="2943"/>
      <c r="P49" s="2968"/>
      <c r="Q49" s="2930"/>
      <c r="R49" s="2850"/>
      <c r="S49" s="2850"/>
      <c r="T49" s="2850"/>
      <c r="U49" s="2850"/>
      <c r="V49" s="2850"/>
      <c r="W49" s="2850"/>
      <c r="X49" s="2850"/>
      <c r="Y49" s="2850"/>
      <c r="Z49" s="2850"/>
      <c r="AA49" s="2850"/>
      <c r="AB49" s="2850"/>
      <c r="AC49" s="2850"/>
      <c r="AD49" s="2850"/>
    </row>
    <row r="50" spans="1:30" s="113" customFormat="1" ht="15.75" thickBot="1">
      <c r="A50" s="478"/>
      <c r="B50" s="467"/>
      <c r="C50" s="595">
        <v>100</v>
      </c>
      <c r="D50" s="469"/>
      <c r="E50" s="469"/>
      <c r="F50" s="469"/>
      <c r="G50" s="469"/>
      <c r="H50" s="469"/>
      <c r="I50" s="469"/>
      <c r="J50" s="469"/>
      <c r="K50" s="469"/>
      <c r="L50" s="469"/>
      <c r="M50" s="471"/>
      <c r="N50" s="2943"/>
      <c r="O50" s="2943"/>
      <c r="P50" s="2930"/>
      <c r="Q50" s="2930"/>
      <c r="R50" s="2850"/>
      <c r="S50" s="2850"/>
      <c r="T50" s="2850"/>
      <c r="U50" s="2850"/>
      <c r="V50" s="2850"/>
      <c r="W50" s="2850"/>
      <c r="X50" s="2850"/>
      <c r="Y50" s="2850"/>
      <c r="Z50" s="2850"/>
      <c r="AA50" s="2850"/>
      <c r="AB50" s="2850"/>
      <c r="AC50" s="2850"/>
      <c r="AD50" s="2850"/>
    </row>
    <row r="51" spans="1:30">
      <c r="A51" s="484" t="s">
        <v>2347</v>
      </c>
      <c r="B51" s="485" t="s">
        <v>2313</v>
      </c>
      <c r="C51" s="486">
        <f>C9</f>
        <v>0</v>
      </c>
      <c r="D51" s="487"/>
      <c r="E51" s="487"/>
      <c r="F51" s="487"/>
      <c r="G51" s="487"/>
      <c r="H51" s="487"/>
      <c r="I51" s="487"/>
      <c r="J51" s="487"/>
      <c r="K51" s="488"/>
      <c r="L51" s="489"/>
      <c r="M51" s="490"/>
      <c r="N51" s="2944"/>
      <c r="O51" s="2944"/>
      <c r="P51" s="2969"/>
      <c r="Q51" s="2930"/>
      <c r="R51" s="2916"/>
      <c r="S51" s="2916"/>
      <c r="T51" s="2916"/>
      <c r="U51" s="2916"/>
      <c r="V51" s="2916"/>
      <c r="W51" s="2916"/>
      <c r="X51" s="2916"/>
      <c r="Y51" s="2916"/>
      <c r="Z51" s="2916"/>
      <c r="AA51" s="2916"/>
      <c r="AB51" s="2916"/>
      <c r="AC51" s="2916"/>
      <c r="AD51" s="2916"/>
    </row>
    <row r="52" spans="1:30" ht="15.75" thickBot="1">
      <c r="A52" s="491"/>
      <c r="B52" s="492"/>
      <c r="C52" s="493">
        <v>100</v>
      </c>
      <c r="D52" s="493"/>
      <c r="E52" s="493"/>
      <c r="F52" s="493"/>
      <c r="G52" s="493"/>
      <c r="H52" s="493"/>
      <c r="I52" s="493"/>
      <c r="J52" s="493"/>
      <c r="K52" s="493"/>
      <c r="L52" s="493"/>
      <c r="M52" s="494"/>
      <c r="N52" s="2945"/>
      <c r="O52" s="2945"/>
      <c r="P52" s="2969"/>
      <c r="Q52" s="2930"/>
      <c r="R52" s="2916"/>
      <c r="S52" s="2916"/>
      <c r="T52" s="2916"/>
      <c r="U52" s="2916"/>
      <c r="V52" s="2916"/>
      <c r="W52" s="2916"/>
      <c r="X52" s="2916"/>
      <c r="Y52" s="2916"/>
      <c r="Z52" s="2916"/>
      <c r="AA52" s="2916"/>
      <c r="AB52" s="2916"/>
      <c r="AC52" s="2916"/>
      <c r="AD52" s="2916"/>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44"/>
      <c r="O53" s="2944"/>
      <c r="P53" s="2969"/>
      <c r="Q53" s="2930"/>
      <c r="R53" s="2916"/>
      <c r="S53" s="2916"/>
      <c r="T53" s="2916"/>
      <c r="U53" s="2916"/>
      <c r="V53" s="2916"/>
      <c r="W53" s="2916"/>
      <c r="X53" s="2916"/>
      <c r="Y53" s="2916"/>
      <c r="Z53" s="2916"/>
      <c r="AA53" s="2916"/>
      <c r="AB53" s="2916"/>
      <c r="AC53" s="2916"/>
      <c r="AD53" s="291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5"/>
      <c r="O54" s="2945"/>
      <c r="P54" s="2969"/>
      <c r="Q54" s="2930"/>
      <c r="R54" s="2916"/>
      <c r="S54" s="2916"/>
      <c r="T54" s="2916"/>
      <c r="U54" s="2916"/>
      <c r="V54" s="2916"/>
      <c r="W54" s="2916"/>
      <c r="X54" s="2916"/>
      <c r="Y54" s="2916"/>
      <c r="Z54" s="2916"/>
      <c r="AA54" s="2916"/>
      <c r="AB54" s="2916"/>
      <c r="AC54" s="2916"/>
      <c r="AD54" s="2916"/>
    </row>
    <row r="55" spans="1:30" ht="15.75" thickTop="1">
      <c r="A55" s="491"/>
      <c r="B55" s="616">
        <f>B11</f>
        <v>111</v>
      </c>
      <c r="C55" s="506"/>
      <c r="D55" s="506"/>
      <c r="E55" s="506"/>
      <c r="F55" s="506"/>
      <c r="G55" s="506"/>
      <c r="H55" s="506"/>
      <c r="I55" s="506"/>
      <c r="J55" s="506"/>
      <c r="K55" s="507"/>
      <c r="L55" s="508"/>
      <c r="M55" s="509"/>
      <c r="N55" s="2944"/>
      <c r="O55" s="2944"/>
      <c r="P55" s="2969"/>
      <c r="Q55" s="2930"/>
      <c r="R55" s="2916"/>
      <c r="S55" s="2916"/>
      <c r="T55" s="2916"/>
      <c r="U55" s="2916"/>
      <c r="V55" s="2916"/>
      <c r="W55" s="2916"/>
      <c r="X55" s="2916"/>
      <c r="Y55" s="2916"/>
      <c r="Z55" s="2916"/>
      <c r="AA55" s="2916"/>
      <c r="AB55" s="2916"/>
      <c r="AC55" s="2916"/>
      <c r="AD55" s="2916"/>
    </row>
    <row r="56" spans="1:30" ht="15.75" thickBot="1">
      <c r="A56" s="491"/>
      <c r="B56" s="492"/>
      <c r="C56" s="517"/>
      <c r="D56" s="493"/>
      <c r="E56" s="493"/>
      <c r="F56" s="493"/>
      <c r="G56" s="493"/>
      <c r="H56" s="493"/>
      <c r="I56" s="493"/>
      <c r="J56" s="493"/>
      <c r="K56" s="493"/>
      <c r="L56" s="493"/>
      <c r="M56" s="494"/>
      <c r="N56" s="2945"/>
      <c r="O56" s="2945"/>
      <c r="P56" s="2969"/>
      <c r="Q56" s="2930"/>
      <c r="R56" s="2916"/>
      <c r="S56" s="2916"/>
      <c r="T56" s="2916"/>
      <c r="U56" s="2916"/>
      <c r="V56" s="2916"/>
      <c r="W56" s="2916"/>
      <c r="X56" s="2916"/>
      <c r="Y56" s="2916"/>
      <c r="Z56" s="2916"/>
      <c r="AA56" s="2916"/>
      <c r="AB56" s="2916"/>
      <c r="AC56" s="2916"/>
      <c r="AD56" s="2916"/>
    </row>
    <row r="57" spans="1:30" s="430" customFormat="1" ht="15.75" thickTop="1">
      <c r="A57" s="510"/>
      <c r="B57" s="495">
        <f>B12</f>
        <v>111</v>
      </c>
      <c r="C57" s="506"/>
      <c r="D57" s="506"/>
      <c r="E57" s="506"/>
      <c r="F57" s="506"/>
      <c r="G57" s="511"/>
      <c r="H57" s="512"/>
      <c r="I57" s="512"/>
      <c r="J57" s="512"/>
      <c r="K57" s="512"/>
      <c r="L57" s="513"/>
      <c r="M57" s="514"/>
      <c r="N57" s="2946"/>
      <c r="O57" s="2946"/>
      <c r="P57" s="2970"/>
      <c r="Q57" s="2937"/>
      <c r="R57" s="2938"/>
      <c r="S57" s="2938"/>
      <c r="T57" s="2938"/>
      <c r="U57" s="2938"/>
      <c r="V57" s="2938"/>
      <c r="W57" s="2938"/>
      <c r="X57" s="2938"/>
      <c r="Y57" s="2938"/>
      <c r="Z57" s="2938"/>
      <c r="AA57" s="2938"/>
      <c r="AB57" s="2938"/>
      <c r="AC57" s="2938"/>
      <c r="AD57" s="2938"/>
    </row>
    <row r="58" spans="1:30" s="430" customFormat="1" ht="15.75" thickBot="1">
      <c r="A58" s="510"/>
      <c r="B58" s="500"/>
      <c r="C58" s="517"/>
      <c r="D58" s="493"/>
      <c r="E58" s="493"/>
      <c r="F58" s="493"/>
      <c r="G58" s="493"/>
      <c r="H58" s="493"/>
      <c r="I58" s="493"/>
      <c r="J58" s="493"/>
      <c r="K58" s="493"/>
      <c r="L58" s="493"/>
      <c r="M58" s="494"/>
      <c r="N58" s="2945"/>
      <c r="O58" s="2945"/>
      <c r="P58" s="2970"/>
      <c r="Q58" s="2937"/>
      <c r="R58" s="2938"/>
      <c r="S58" s="2938"/>
      <c r="T58" s="2938"/>
      <c r="U58" s="2938"/>
      <c r="V58" s="2938"/>
      <c r="W58" s="2938"/>
      <c r="X58" s="2938"/>
      <c r="Y58" s="2938"/>
      <c r="Z58" s="2938"/>
      <c r="AA58" s="2938"/>
      <c r="AB58" s="2938"/>
      <c r="AC58" s="2938"/>
      <c r="AD58" s="2938"/>
    </row>
    <row r="59" spans="1:30" s="430" customFormat="1" ht="15.75" thickTop="1">
      <c r="A59" s="510"/>
      <c r="B59" s="495">
        <f>B13</f>
        <v>111</v>
      </c>
      <c r="C59" s="506"/>
      <c r="D59" s="506"/>
      <c r="E59" s="506"/>
      <c r="F59" s="506"/>
      <c r="G59" s="511"/>
      <c r="H59" s="512"/>
      <c r="I59" s="512"/>
      <c r="J59" s="512"/>
      <c r="K59" s="512"/>
      <c r="L59" s="513"/>
      <c r="M59" s="514"/>
      <c r="N59" s="2946"/>
      <c r="O59" s="2946"/>
      <c r="P59" s="2914"/>
      <c r="Q59" s="2940"/>
      <c r="R59" s="2938"/>
      <c r="S59" s="2938"/>
      <c r="T59" s="2938"/>
      <c r="U59" s="2938"/>
      <c r="V59" s="2938"/>
      <c r="W59" s="2938"/>
      <c r="X59" s="2938"/>
      <c r="Y59" s="2938"/>
      <c r="Z59" s="2938"/>
      <c r="AA59" s="2938"/>
      <c r="AB59" s="2938"/>
      <c r="AC59" s="2938"/>
      <c r="AD59" s="2938"/>
    </row>
    <row r="60" spans="1:30" s="430" customFormat="1" ht="15.75" thickBot="1">
      <c r="A60" s="510"/>
      <c r="B60" s="500"/>
      <c r="C60" s="517"/>
      <c r="D60" s="517"/>
      <c r="E60" s="517"/>
      <c r="F60" s="517"/>
      <c r="G60" s="517"/>
      <c r="H60" s="519"/>
      <c r="I60" s="519"/>
      <c r="J60" s="519"/>
      <c r="K60" s="519"/>
      <c r="L60" s="519"/>
      <c r="M60" s="520"/>
      <c r="N60" s="2946"/>
      <c r="O60" s="2946"/>
      <c r="P60" s="2970"/>
      <c r="Q60" s="2937"/>
      <c r="R60" s="2938"/>
      <c r="S60" s="2938"/>
      <c r="T60" s="2938"/>
      <c r="U60" s="2938"/>
      <c r="V60" s="2938"/>
      <c r="W60" s="2938"/>
      <c r="X60" s="2938"/>
      <c r="Y60" s="2938"/>
      <c r="Z60" s="2938"/>
      <c r="AA60" s="2938"/>
      <c r="AB60" s="2938"/>
      <c r="AC60" s="2938"/>
      <c r="AD60" s="2938"/>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4"/>
      <c r="O61" s="2944"/>
      <c r="P61" s="2971"/>
      <c r="Q61" s="2930"/>
      <c r="R61" s="2916"/>
      <c r="S61" s="2916"/>
      <c r="T61" s="2916"/>
      <c r="U61" s="2916"/>
      <c r="V61" s="2916"/>
      <c r="W61" s="2916"/>
      <c r="X61" s="2916"/>
      <c r="Y61" s="2916"/>
      <c r="Z61" s="2916"/>
      <c r="AA61" s="2916"/>
      <c r="AB61" s="2916"/>
      <c r="AC61" s="2916"/>
      <c r="AD61" s="291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5"/>
      <c r="O62" s="2945"/>
      <c r="P62" s="2969"/>
      <c r="Q62" s="2930"/>
      <c r="R62" s="2916"/>
      <c r="S62" s="2916"/>
      <c r="T62" s="2916"/>
      <c r="U62" s="2916"/>
      <c r="V62" s="2916"/>
      <c r="W62" s="2916"/>
      <c r="X62" s="2916"/>
      <c r="Y62" s="2916"/>
      <c r="Z62" s="2916"/>
      <c r="AA62" s="2916"/>
      <c r="AB62" s="2916"/>
      <c r="AC62" s="2916"/>
      <c r="AD62" s="2916"/>
    </row>
    <row r="63" spans="1:30" ht="27.75" thickTop="1">
      <c r="A63" s="491"/>
      <c r="B63" s="495" t="s">
        <v>2499</v>
      </c>
      <c r="C63" s="535" t="s">
        <v>2356</v>
      </c>
      <c r="D63" s="535" t="s">
        <v>2357</v>
      </c>
      <c r="E63" s="535" t="s">
        <v>2358</v>
      </c>
      <c r="F63" s="535" t="s">
        <v>2359</v>
      </c>
      <c r="G63" s="535" t="s">
        <v>2360</v>
      </c>
      <c r="H63" s="496"/>
      <c r="I63" s="496"/>
      <c r="J63" s="496"/>
      <c r="K63" s="497"/>
      <c r="L63" s="498"/>
      <c r="M63" s="499"/>
      <c r="N63" s="2944"/>
      <c r="O63" s="2944"/>
      <c r="P63" s="2969"/>
      <c r="Q63" s="2930"/>
      <c r="R63" s="2916"/>
      <c r="S63" s="2916"/>
      <c r="T63" s="2916"/>
      <c r="U63" s="2916"/>
      <c r="V63" s="2916"/>
      <c r="W63" s="2916"/>
      <c r="X63" s="2916"/>
      <c r="Y63" s="2916"/>
      <c r="Z63" s="2916"/>
      <c r="AA63" s="2916"/>
      <c r="AB63" s="2916"/>
      <c r="AC63" s="2916"/>
      <c r="AD63" s="291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5"/>
      <c r="O64" s="2945"/>
      <c r="P64" s="2969"/>
      <c r="Q64" s="2930"/>
      <c r="R64" s="2916"/>
      <c r="S64" s="2916"/>
      <c r="T64" s="2916"/>
      <c r="U64" s="2916"/>
      <c r="V64" s="2916"/>
      <c r="W64" s="2916"/>
      <c r="X64" s="2916"/>
      <c r="Y64" s="2916"/>
      <c r="Z64" s="2916"/>
      <c r="AA64" s="2916"/>
      <c r="AB64" s="2916"/>
      <c r="AC64" s="2916"/>
      <c r="AD64" s="2916"/>
    </row>
    <row r="65" spans="1:30" ht="15.75" thickTop="1">
      <c r="A65" s="491"/>
      <c r="B65" s="503" t="s">
        <v>2448</v>
      </c>
      <c r="C65" s="616" t="s">
        <v>2434</v>
      </c>
      <c r="D65" s="616" t="s">
        <v>2435</v>
      </c>
      <c r="E65" s="616" t="s">
        <v>2436</v>
      </c>
      <c r="F65" s="616" t="s">
        <v>2437</v>
      </c>
      <c r="G65" s="616" t="s">
        <v>2438</v>
      </c>
      <c r="H65" s="496"/>
      <c r="I65" s="496"/>
      <c r="J65" s="496"/>
      <c r="K65" s="496"/>
      <c r="L65" s="496"/>
      <c r="M65" s="1259"/>
      <c r="N65" s="2945"/>
      <c r="O65" s="2945"/>
      <c r="P65" s="2969"/>
      <c r="Q65" s="2930"/>
      <c r="R65" s="2916"/>
      <c r="S65" s="2916"/>
      <c r="T65" s="2916"/>
      <c r="U65" s="2916"/>
      <c r="V65" s="2916"/>
      <c r="W65" s="2916"/>
      <c r="X65" s="2916"/>
      <c r="Y65" s="2916"/>
      <c r="Z65" s="2916"/>
      <c r="AA65" s="2916"/>
      <c r="AB65" s="2916"/>
      <c r="AC65" s="2916"/>
      <c r="AD65" s="291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5"/>
      <c r="O66" s="2945"/>
      <c r="P66" s="2969"/>
      <c r="Q66" s="2930"/>
      <c r="R66" s="2916"/>
      <c r="S66" s="2916"/>
      <c r="T66" s="2916"/>
      <c r="U66" s="2916"/>
      <c r="V66" s="2916"/>
      <c r="W66" s="2916"/>
      <c r="X66" s="2916"/>
      <c r="Y66" s="2916"/>
      <c r="Z66" s="2916"/>
      <c r="AA66" s="2916"/>
      <c r="AB66" s="2916"/>
      <c r="AC66" s="2916"/>
      <c r="AD66" s="2916"/>
    </row>
    <row r="67" spans="1:30" ht="15.75" thickTop="1">
      <c r="A67" s="491"/>
      <c r="B67" s="495" t="s">
        <v>2368</v>
      </c>
      <c r="C67" s="535" t="s">
        <v>2356</v>
      </c>
      <c r="D67" s="535" t="s">
        <v>2357</v>
      </c>
      <c r="E67" s="535" t="s">
        <v>2358</v>
      </c>
      <c r="F67" s="535" t="s">
        <v>2359</v>
      </c>
      <c r="G67" s="535" t="s">
        <v>2360</v>
      </c>
      <c r="H67" s="496"/>
      <c r="I67" s="496"/>
      <c r="J67" s="496"/>
      <c r="K67" s="497"/>
      <c r="L67" s="498"/>
      <c r="M67" s="499"/>
      <c r="N67" s="2944"/>
      <c r="O67" s="2944"/>
      <c r="P67" s="2969"/>
      <c r="Q67" s="2930"/>
      <c r="R67" s="2916"/>
      <c r="S67" s="2916"/>
      <c r="T67" s="2916"/>
      <c r="U67" s="2916"/>
      <c r="V67" s="2916"/>
      <c r="W67" s="2916"/>
      <c r="X67" s="2916"/>
      <c r="Y67" s="2916"/>
      <c r="Z67" s="2916"/>
      <c r="AA67" s="2916"/>
      <c r="AB67" s="2916"/>
      <c r="AC67" s="2916"/>
      <c r="AD67" s="291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5"/>
      <c r="O68" s="2945"/>
      <c r="P68" s="2969"/>
      <c r="Q68" s="2930"/>
      <c r="R68" s="2916"/>
      <c r="S68" s="2916"/>
      <c r="T68" s="2916"/>
      <c r="U68" s="2916"/>
      <c r="V68" s="2916"/>
      <c r="W68" s="2916"/>
      <c r="X68" s="2916"/>
      <c r="Y68" s="2916"/>
      <c r="Z68" s="2916"/>
      <c r="AA68" s="2916"/>
      <c r="AB68" s="2916"/>
      <c r="AC68" s="2916"/>
      <c r="AD68" s="2916"/>
    </row>
    <row r="69" spans="1:30" ht="15.75" thickTop="1">
      <c r="A69" s="491"/>
      <c r="B69" s="495" t="s">
        <v>2488</v>
      </c>
      <c r="C69" s="511"/>
      <c r="D69" s="511"/>
      <c r="E69" s="511"/>
      <c r="F69" s="511"/>
      <c r="G69" s="511"/>
      <c r="H69" s="540"/>
      <c r="I69" s="540"/>
      <c r="J69" s="540"/>
      <c r="K69" s="541"/>
      <c r="L69" s="542"/>
      <c r="M69" s="543"/>
      <c r="N69" s="2944"/>
      <c r="O69" s="2944"/>
      <c r="P69" s="2969"/>
      <c r="Q69" s="2930"/>
      <c r="R69" s="2916"/>
      <c r="S69" s="2916"/>
      <c r="T69" s="2916"/>
      <c r="U69" s="2916"/>
      <c r="V69" s="2916"/>
      <c r="W69" s="2916"/>
      <c r="X69" s="2916"/>
      <c r="Y69" s="2916"/>
      <c r="Z69" s="2916"/>
      <c r="AA69" s="2916"/>
      <c r="AB69" s="2916"/>
      <c r="AC69" s="2916"/>
      <c r="AD69" s="2916"/>
    </row>
    <row r="70" spans="1:30" ht="15.75" thickBot="1">
      <c r="A70" s="491"/>
      <c r="B70" s="500"/>
      <c r="C70" s="501">
        <v>100</v>
      </c>
      <c r="D70" s="501">
        <f>C70-$K22</f>
        <v>100</v>
      </c>
      <c r="E70" s="501"/>
      <c r="F70" s="501"/>
      <c r="G70" s="501"/>
      <c r="H70" s="501"/>
      <c r="I70" s="501"/>
      <c r="J70" s="501"/>
      <c r="K70" s="501"/>
      <c r="L70" s="501"/>
      <c r="M70" s="502"/>
      <c r="N70" s="2945"/>
      <c r="O70" s="2945"/>
      <c r="P70" s="2969"/>
      <c r="Q70" s="2930"/>
      <c r="R70" s="2916"/>
      <c r="S70" s="2916"/>
      <c r="T70" s="2916"/>
      <c r="U70" s="2916"/>
      <c r="V70" s="2916"/>
      <c r="W70" s="2916"/>
      <c r="X70" s="2916"/>
      <c r="Y70" s="2916"/>
      <c r="Z70" s="2916"/>
      <c r="AA70" s="2916"/>
      <c r="AB70" s="2916"/>
      <c r="AC70" s="2916"/>
      <c r="AD70" s="2916"/>
    </row>
    <row r="71" spans="1:30" s="113" customFormat="1" ht="15.75" thickTop="1">
      <c r="A71" s="536"/>
      <c r="B71" s="495">
        <f>B23</f>
        <v>111</v>
      </c>
      <c r="C71" s="506"/>
      <c r="D71" s="506"/>
      <c r="E71" s="506"/>
      <c r="F71" s="506"/>
      <c r="G71" s="511"/>
      <c r="H71" s="511"/>
      <c r="I71" s="511"/>
      <c r="J71" s="511"/>
      <c r="K71" s="511"/>
      <c r="L71" s="537"/>
      <c r="M71" s="538"/>
      <c r="N71" s="2943"/>
      <c r="O71" s="2943"/>
      <c r="P71" s="2969"/>
      <c r="Q71" s="2930"/>
      <c r="R71" s="2850"/>
      <c r="S71" s="2850"/>
      <c r="T71" s="2850"/>
      <c r="U71" s="2850"/>
      <c r="V71" s="2850"/>
      <c r="W71" s="2850"/>
      <c r="X71" s="2850"/>
      <c r="Y71" s="2850"/>
      <c r="Z71" s="2850"/>
      <c r="AA71" s="2850"/>
      <c r="AB71" s="2850"/>
      <c r="AC71" s="2850"/>
      <c r="AD71" s="2850"/>
    </row>
    <row r="72" spans="1:30" s="113" customFormat="1" ht="15.75" thickBot="1">
      <c r="A72" s="536"/>
      <c r="B72" s="500"/>
      <c r="C72" s="517"/>
      <c r="D72" s="493"/>
      <c r="E72" s="493"/>
      <c r="F72" s="493"/>
      <c r="G72" s="493"/>
      <c r="H72" s="493"/>
      <c r="I72" s="493"/>
      <c r="J72" s="493"/>
      <c r="K72" s="493"/>
      <c r="L72" s="493"/>
      <c r="M72" s="494"/>
      <c r="N72" s="2945"/>
      <c r="O72" s="2945"/>
      <c r="P72" s="2969"/>
      <c r="Q72" s="2930"/>
      <c r="R72" s="2850"/>
      <c r="S72" s="2850"/>
      <c r="T72" s="2850"/>
      <c r="U72" s="2850"/>
      <c r="V72" s="2850"/>
      <c r="W72" s="2850"/>
      <c r="X72" s="2850"/>
      <c r="Y72" s="2850"/>
      <c r="Z72" s="2850"/>
      <c r="AA72" s="2850"/>
      <c r="AB72" s="2850"/>
      <c r="AC72" s="2850"/>
      <c r="AD72" s="2850"/>
    </row>
    <row r="73" spans="1:30" s="113" customFormat="1" ht="15.75" thickTop="1">
      <c r="A73" s="536"/>
      <c r="B73" s="495">
        <f>B24</f>
        <v>111</v>
      </c>
      <c r="C73" s="506"/>
      <c r="D73" s="506"/>
      <c r="E73" s="506"/>
      <c r="F73" s="506"/>
      <c r="G73" s="511"/>
      <c r="H73" s="511"/>
      <c r="I73" s="511"/>
      <c r="J73" s="511"/>
      <c r="K73" s="511"/>
      <c r="L73" s="511"/>
      <c r="M73" s="538"/>
      <c r="N73" s="2943"/>
      <c r="O73" s="2943"/>
      <c r="P73" s="2969"/>
      <c r="Q73" s="2930"/>
      <c r="R73" s="2850"/>
      <c r="S73" s="2850"/>
      <c r="T73" s="2850"/>
      <c r="U73" s="2850"/>
      <c r="V73" s="2850"/>
      <c r="W73" s="2850"/>
      <c r="X73" s="2850"/>
      <c r="Y73" s="2850"/>
      <c r="Z73" s="2850"/>
      <c r="AA73" s="2850"/>
      <c r="AB73" s="2850"/>
      <c r="AC73" s="2850"/>
      <c r="AD73" s="2850"/>
    </row>
    <row r="74" spans="1:30" s="113" customFormat="1" ht="15.75" thickBot="1">
      <c r="A74" s="536"/>
      <c r="B74" s="500"/>
      <c r="C74" s="517"/>
      <c r="D74" s="493"/>
      <c r="E74" s="493"/>
      <c r="F74" s="493"/>
      <c r="G74" s="493"/>
      <c r="H74" s="493"/>
      <c r="I74" s="493"/>
      <c r="J74" s="493"/>
      <c r="K74" s="493"/>
      <c r="L74" s="493"/>
      <c r="M74" s="494"/>
      <c r="N74" s="2945"/>
      <c r="O74" s="2945"/>
      <c r="P74" s="2969"/>
      <c r="Q74" s="2930"/>
      <c r="R74" s="2850"/>
      <c r="S74" s="2850"/>
      <c r="T74" s="2850"/>
      <c r="U74" s="2850"/>
      <c r="V74" s="2850"/>
      <c r="W74" s="2850"/>
      <c r="X74" s="2850"/>
      <c r="Y74" s="2850"/>
      <c r="Z74" s="2850"/>
      <c r="AA74" s="2850"/>
      <c r="AB74" s="2850"/>
      <c r="AC74" s="2850"/>
      <c r="AD74" s="2850"/>
    </row>
    <row r="75" spans="1:30" s="430" customFormat="1" ht="15.75" thickTop="1">
      <c r="A75" s="510"/>
      <c r="B75" s="495">
        <f>B25</f>
        <v>111</v>
      </c>
      <c r="C75" s="506"/>
      <c r="D75" s="506"/>
      <c r="E75" s="506"/>
      <c r="F75" s="506"/>
      <c r="G75" s="511"/>
      <c r="H75" s="512"/>
      <c r="I75" s="512"/>
      <c r="J75" s="512"/>
      <c r="K75" s="512"/>
      <c r="L75" s="513"/>
      <c r="M75" s="514"/>
      <c r="N75" s="2946"/>
      <c r="O75" s="2946"/>
      <c r="P75" s="2970"/>
      <c r="Q75" s="2937"/>
      <c r="R75" s="2938"/>
      <c r="S75" s="2938"/>
      <c r="T75" s="2938"/>
      <c r="U75" s="2938"/>
      <c r="V75" s="2938"/>
      <c r="W75" s="2938"/>
      <c r="X75" s="2938"/>
      <c r="Y75" s="2938"/>
      <c r="Z75" s="2938"/>
      <c r="AA75" s="2938"/>
      <c r="AB75" s="2938"/>
      <c r="AC75" s="2938"/>
      <c r="AD75" s="2938"/>
    </row>
    <row r="76" spans="1:30" s="430" customFormat="1" ht="15.75" thickBot="1">
      <c r="A76" s="510"/>
      <c r="B76" s="500"/>
      <c r="C76" s="517"/>
      <c r="D76" s="517"/>
      <c r="E76" s="517"/>
      <c r="F76" s="517"/>
      <c r="G76" s="493"/>
      <c r="H76" s="493"/>
      <c r="I76" s="493"/>
      <c r="J76" s="493"/>
      <c r="K76" s="493"/>
      <c r="L76" s="493"/>
      <c r="M76" s="494"/>
      <c r="N76" s="2946"/>
      <c r="O76" s="2946"/>
      <c r="P76" s="2970"/>
      <c r="Q76" s="2937"/>
      <c r="R76" s="2938"/>
      <c r="S76" s="2938"/>
      <c r="T76" s="2938"/>
      <c r="U76" s="2938"/>
      <c r="V76" s="2938"/>
      <c r="W76" s="2938"/>
      <c r="X76" s="2938"/>
      <c r="Y76" s="2938"/>
      <c r="Z76" s="2938"/>
      <c r="AA76" s="2938"/>
      <c r="AB76" s="2938"/>
      <c r="AC76" s="2938"/>
      <c r="AD76" s="2938"/>
    </row>
    <row r="77" spans="1:30" ht="15" thickTop="1">
      <c r="A77" s="484" t="s">
        <v>2322</v>
      </c>
      <c r="B77" s="485" t="s">
        <v>2375</v>
      </c>
      <c r="C77" s="511"/>
      <c r="D77" s="511"/>
      <c r="E77" s="487"/>
      <c r="F77" s="487"/>
      <c r="G77" s="487"/>
      <c r="H77" s="487"/>
      <c r="I77" s="487"/>
      <c r="J77" s="487"/>
      <c r="K77" s="488"/>
      <c r="L77" s="489"/>
      <c r="M77" s="490"/>
      <c r="N77" s="2944"/>
      <c r="O77" s="2944"/>
      <c r="P77" s="2969"/>
      <c r="Q77" s="2930"/>
      <c r="R77" s="2916"/>
      <c r="S77" s="2916"/>
      <c r="T77" s="2916"/>
      <c r="U77" s="2916"/>
      <c r="V77" s="2916"/>
      <c r="W77" s="2916"/>
      <c r="X77" s="2916"/>
      <c r="Y77" s="2916"/>
      <c r="Z77" s="2916"/>
      <c r="AA77" s="2916"/>
      <c r="AB77" s="2916"/>
      <c r="AC77" s="2916"/>
      <c r="AD77" s="291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5"/>
      <c r="O78" s="2945"/>
      <c r="P78" s="2969"/>
      <c r="Q78" s="2930"/>
      <c r="R78" s="2916"/>
      <c r="S78" s="2916"/>
      <c r="T78" s="2916"/>
      <c r="U78" s="2916"/>
      <c r="V78" s="2916"/>
      <c r="W78" s="2916"/>
      <c r="X78" s="2916"/>
      <c r="Y78" s="2916"/>
      <c r="Z78" s="2916"/>
      <c r="AA78" s="2916"/>
      <c r="AB78" s="2916"/>
      <c r="AC78" s="2916"/>
      <c r="AD78" s="2916"/>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3"/>
      <c r="O79" s="2943"/>
      <c r="P79" s="2969"/>
      <c r="Q79" s="2930"/>
      <c r="R79" s="2916"/>
      <c r="S79" s="2916"/>
      <c r="T79" s="2916"/>
      <c r="U79" s="2916"/>
      <c r="V79" s="2916"/>
      <c r="W79" s="2916"/>
      <c r="X79" s="2916"/>
      <c r="Y79" s="2916"/>
      <c r="Z79" s="2916"/>
      <c r="AA79" s="2916"/>
      <c r="AB79" s="2916"/>
      <c r="AC79" s="2916"/>
      <c r="AD79" s="2916"/>
    </row>
    <row r="80" spans="1:30" ht="15">
      <c r="A80" s="491"/>
      <c r="B80" s="503"/>
      <c r="C80" s="560">
        <v>0.5</v>
      </c>
      <c r="D80" s="560">
        <v>0.6</v>
      </c>
      <c r="E80" s="560">
        <v>0.7</v>
      </c>
      <c r="F80" s="560">
        <v>0.8</v>
      </c>
      <c r="G80" s="560">
        <v>0.9</v>
      </c>
      <c r="H80" s="560">
        <v>1.0001</v>
      </c>
      <c r="I80" s="616"/>
      <c r="J80" s="616"/>
      <c r="K80" s="624"/>
      <c r="L80" s="625"/>
      <c r="M80" s="626"/>
      <c r="N80" s="2943"/>
      <c r="O80" s="2943"/>
      <c r="P80" s="2969"/>
      <c r="Q80" s="2930"/>
      <c r="R80" s="2916"/>
      <c r="S80" s="2916"/>
      <c r="T80" s="2916"/>
      <c r="U80" s="2916"/>
      <c r="V80" s="2916"/>
      <c r="W80" s="2916"/>
      <c r="X80" s="2916"/>
      <c r="Y80" s="2916"/>
      <c r="Z80" s="2916"/>
      <c r="AA80" s="2916"/>
      <c r="AB80" s="2916"/>
      <c r="AC80" s="2916"/>
      <c r="AD80" s="291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5"/>
      <c r="O81" s="2945"/>
      <c r="P81" s="2970"/>
      <c r="Q81" s="2937"/>
      <c r="R81" s="2938"/>
      <c r="S81" s="2938"/>
      <c r="T81" s="2938"/>
      <c r="U81" s="2938"/>
      <c r="V81" s="2938"/>
      <c r="W81" s="2938"/>
      <c r="X81" s="2938"/>
      <c r="Y81" s="2938"/>
      <c r="Z81" s="2938"/>
      <c r="AA81" s="2938"/>
      <c r="AB81" s="2938"/>
      <c r="AC81" s="2938"/>
      <c r="AD81" s="2938"/>
    </row>
    <row r="82" spans="1:30" ht="15" thickTop="1">
      <c r="A82" s="556"/>
      <c r="B82" s="503" t="s">
        <v>2492</v>
      </c>
      <c r="C82" s="511"/>
      <c r="D82" s="511"/>
      <c r="E82" s="540"/>
      <c r="F82" s="540"/>
      <c r="G82" s="540"/>
      <c r="H82" s="540"/>
      <c r="I82" s="540"/>
      <c r="J82" s="540"/>
      <c r="K82" s="541"/>
      <c r="L82" s="542"/>
      <c r="M82" s="543"/>
      <c r="N82" s="2944"/>
      <c r="O82" s="2944"/>
      <c r="P82" s="2969"/>
      <c r="Q82" s="2930"/>
      <c r="R82" s="2916"/>
      <c r="S82" s="2916"/>
      <c r="T82" s="2916"/>
      <c r="U82" s="2916"/>
      <c r="V82" s="2916"/>
      <c r="W82" s="2916"/>
      <c r="X82" s="2916"/>
      <c r="Y82" s="2916"/>
      <c r="Z82" s="2916"/>
      <c r="AA82" s="2916"/>
      <c r="AB82" s="2916"/>
      <c r="AC82" s="2916"/>
      <c r="AD82" s="291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5"/>
      <c r="O83" s="2945"/>
      <c r="P83" s="2969"/>
      <c r="Q83" s="2930"/>
      <c r="R83" s="2916"/>
      <c r="S83" s="2916"/>
      <c r="T83" s="2916"/>
      <c r="U83" s="2916"/>
      <c r="V83" s="2916"/>
      <c r="W83" s="2916"/>
      <c r="X83" s="2916"/>
      <c r="Y83" s="2916"/>
      <c r="Z83" s="2916"/>
      <c r="AA83" s="2916"/>
      <c r="AB83" s="2916"/>
      <c r="AC83" s="2916"/>
      <c r="AD83" s="2916"/>
    </row>
    <row r="84" spans="1:30" ht="15" thickTop="1">
      <c r="A84" s="556"/>
      <c r="B84" s="495" t="s">
        <v>2500</v>
      </c>
      <c r="C84" s="511"/>
      <c r="D84" s="511"/>
      <c r="E84" s="511"/>
      <c r="F84" s="511"/>
      <c r="G84" s="511"/>
      <c r="H84" s="511"/>
      <c r="I84" s="540"/>
      <c r="J84" s="540"/>
      <c r="K84" s="541"/>
      <c r="L84" s="542"/>
      <c r="M84" s="543"/>
      <c r="N84" s="2944"/>
      <c r="O84" s="2944"/>
      <c r="P84" s="2969"/>
      <c r="Q84" s="2930"/>
      <c r="R84" s="2916"/>
      <c r="S84" s="2916"/>
      <c r="T84" s="2916"/>
      <c r="U84" s="2916"/>
      <c r="V84" s="2916"/>
      <c r="W84" s="2916"/>
      <c r="X84" s="2916"/>
      <c r="Y84" s="2916"/>
      <c r="Z84" s="2916"/>
      <c r="AA84" s="2916"/>
      <c r="AB84" s="2916"/>
      <c r="AC84" s="2916"/>
      <c r="AD84" s="291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5"/>
      <c r="O85" s="2945"/>
      <c r="P85" s="2969"/>
      <c r="Q85" s="2930"/>
      <c r="R85" s="2916"/>
      <c r="S85" s="2916"/>
      <c r="T85" s="2916"/>
      <c r="U85" s="2916"/>
      <c r="V85" s="2916"/>
      <c r="W85" s="2916"/>
      <c r="X85" s="2916"/>
      <c r="Y85" s="2916"/>
      <c r="Z85" s="2916"/>
      <c r="AA85" s="2916"/>
      <c r="AB85" s="2916"/>
      <c r="AC85" s="2916"/>
      <c r="AD85" s="2916"/>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4"/>
      <c r="O86" s="2944"/>
      <c r="P86" s="2969"/>
      <c r="Q86" s="2930"/>
      <c r="R86" s="2916"/>
      <c r="S86" s="2916"/>
      <c r="T86" s="2916"/>
      <c r="U86" s="2916"/>
      <c r="V86" s="2916"/>
      <c r="W86" s="2916"/>
      <c r="X86" s="2916"/>
      <c r="Y86" s="2916"/>
      <c r="Z86" s="2916"/>
      <c r="AA86" s="2916"/>
      <c r="AB86" s="2916"/>
      <c r="AC86" s="2916"/>
      <c r="AD86" s="2916"/>
    </row>
    <row r="87" spans="1:30">
      <c r="A87" s="556"/>
      <c r="B87" s="503"/>
      <c r="C87" s="552"/>
      <c r="D87" s="552"/>
      <c r="E87" s="552"/>
      <c r="F87" s="552"/>
      <c r="G87" s="552"/>
      <c r="H87" s="552"/>
      <c r="I87" s="552"/>
      <c r="J87" s="553"/>
      <c r="K87" s="553"/>
      <c r="L87" s="554"/>
      <c r="M87" s="555"/>
      <c r="N87" s="2944"/>
      <c r="O87" s="2944"/>
      <c r="P87" s="2969"/>
      <c r="Q87" s="2930"/>
      <c r="R87" s="2916"/>
      <c r="S87" s="2916"/>
      <c r="T87" s="2916"/>
      <c r="U87" s="2916"/>
      <c r="V87" s="2916"/>
      <c r="W87" s="2916"/>
      <c r="X87" s="2916"/>
      <c r="Y87" s="2916"/>
      <c r="Z87" s="2916"/>
      <c r="AA87" s="2916"/>
      <c r="AB87" s="2916"/>
      <c r="AC87" s="2916"/>
      <c r="AD87" s="2916"/>
    </row>
    <row r="88" spans="1:30" ht="15.75" thickBot="1">
      <c r="A88" s="491"/>
      <c r="B88" s="500"/>
      <c r="C88" s="517"/>
      <c r="D88" s="493"/>
      <c r="E88" s="493"/>
      <c r="F88" s="493"/>
      <c r="G88" s="493"/>
      <c r="H88" s="493"/>
      <c r="I88" s="493"/>
      <c r="J88" s="493"/>
      <c r="K88" s="493"/>
      <c r="L88" s="493"/>
      <c r="M88" s="493"/>
      <c r="N88" s="2945"/>
      <c r="O88" s="2945"/>
      <c r="P88" s="2969"/>
      <c r="Q88" s="2930"/>
      <c r="R88" s="2916"/>
      <c r="S88" s="2916"/>
      <c r="T88" s="2916"/>
      <c r="U88" s="2916"/>
      <c r="V88" s="2916"/>
      <c r="W88" s="2916"/>
      <c r="X88" s="2916"/>
      <c r="Y88" s="2916"/>
      <c r="Z88" s="2916"/>
      <c r="AA88" s="2916"/>
      <c r="AB88" s="2916"/>
      <c r="AC88" s="2916"/>
      <c r="AD88" s="2916"/>
    </row>
    <row r="89" spans="1:30" s="430" customFormat="1" ht="15" thickTop="1">
      <c r="A89" s="550"/>
      <c r="B89" s="495" t="s">
        <v>2502</v>
      </c>
      <c r="C89" s="511"/>
      <c r="D89" s="511"/>
      <c r="E89" s="511"/>
      <c r="F89" s="511"/>
      <c r="G89" s="511"/>
      <c r="H89" s="511"/>
      <c r="I89" s="511"/>
      <c r="J89" s="511"/>
      <c r="K89" s="511"/>
      <c r="L89" s="511"/>
      <c r="M89" s="538"/>
      <c r="N89" s="2946"/>
      <c r="O89" s="2946"/>
      <c r="P89" s="2970"/>
      <c r="Q89" s="2937"/>
      <c r="R89" s="2938"/>
      <c r="S89" s="2938"/>
      <c r="T89" s="2938"/>
      <c r="U89" s="2938"/>
      <c r="V89" s="2938"/>
      <c r="W89" s="2938"/>
      <c r="X89" s="2938"/>
      <c r="Y89" s="2938"/>
      <c r="Z89" s="2938"/>
      <c r="AA89" s="2938"/>
      <c r="AB89" s="2938"/>
      <c r="AC89" s="2938"/>
      <c r="AD89" s="2938"/>
    </row>
    <row r="90" spans="1:30" s="430" customFormat="1" ht="15.75" thickBot="1">
      <c r="A90" s="510"/>
      <c r="B90" s="500"/>
      <c r="C90" s="517"/>
      <c r="D90" s="493"/>
      <c r="E90" s="493"/>
      <c r="F90" s="493"/>
      <c r="G90" s="493"/>
      <c r="H90" s="493"/>
      <c r="I90" s="493"/>
      <c r="J90" s="493"/>
      <c r="K90" s="493"/>
      <c r="L90" s="493"/>
      <c r="M90" s="494"/>
      <c r="N90" s="2946"/>
      <c r="O90" s="2946"/>
      <c r="P90" s="2970"/>
      <c r="Q90" s="2937"/>
      <c r="R90" s="2938"/>
      <c r="S90" s="2938"/>
      <c r="T90" s="2938"/>
      <c r="U90" s="2938"/>
      <c r="V90" s="2938"/>
      <c r="W90" s="2938"/>
      <c r="X90" s="2938"/>
      <c r="Y90" s="2938"/>
      <c r="Z90" s="2938"/>
      <c r="AA90" s="2938"/>
      <c r="AB90" s="2938"/>
      <c r="AC90" s="2938"/>
      <c r="AD90" s="2938"/>
    </row>
    <row r="91" spans="1:30" ht="15" thickTop="1">
      <c r="A91" s="556"/>
      <c r="B91" s="495">
        <f>B32</f>
        <v>111</v>
      </c>
      <c r="C91" s="506"/>
      <c r="D91" s="506"/>
      <c r="E91" s="506"/>
      <c r="F91" s="506"/>
      <c r="G91" s="511"/>
      <c r="H91" s="512"/>
      <c r="I91" s="512"/>
      <c r="J91" s="512"/>
      <c r="K91" s="512"/>
      <c r="L91" s="513"/>
      <c r="M91" s="514"/>
      <c r="N91" s="2944"/>
      <c r="O91" s="2944"/>
      <c r="P91" s="2969"/>
      <c r="Q91" s="2930"/>
      <c r="R91" s="2916"/>
      <c r="S91" s="2916"/>
      <c r="T91" s="2916"/>
      <c r="U91" s="2916"/>
      <c r="V91" s="2916"/>
      <c r="W91" s="2916"/>
      <c r="X91" s="2916"/>
      <c r="Y91" s="2916"/>
      <c r="Z91" s="2916"/>
      <c r="AA91" s="2916"/>
      <c r="AB91" s="2916"/>
      <c r="AC91" s="2916"/>
      <c r="AD91" s="2916"/>
    </row>
    <row r="92" spans="1:30" ht="15.75" thickBot="1">
      <c r="A92" s="491"/>
      <c r="B92" s="500"/>
      <c r="C92" s="517"/>
      <c r="D92" s="493"/>
      <c r="E92" s="493"/>
      <c r="F92" s="493"/>
      <c r="G92" s="517"/>
      <c r="H92" s="519"/>
      <c r="I92" s="519"/>
      <c r="J92" s="519"/>
      <c r="K92" s="519"/>
      <c r="L92" s="519"/>
      <c r="M92" s="520"/>
      <c r="N92" s="2945"/>
      <c r="O92" s="2945"/>
      <c r="P92" s="2969"/>
      <c r="Q92" s="2930"/>
      <c r="R92" s="2916"/>
      <c r="S92" s="2916"/>
      <c r="T92" s="2916"/>
      <c r="U92" s="2916"/>
      <c r="V92" s="2916"/>
      <c r="W92" s="2916"/>
      <c r="X92" s="2916"/>
      <c r="Y92" s="2916"/>
      <c r="Z92" s="2916"/>
      <c r="AA92" s="2916"/>
      <c r="AB92" s="2916"/>
      <c r="AC92" s="2916"/>
      <c r="AD92" s="2916"/>
    </row>
    <row r="93" spans="1:30" ht="15" thickTop="1">
      <c r="A93" s="556"/>
      <c r="B93" s="495">
        <f>B33</f>
        <v>111</v>
      </c>
      <c r="C93" s="506"/>
      <c r="D93" s="506"/>
      <c r="E93" s="506"/>
      <c r="F93" s="506"/>
      <c r="G93" s="511"/>
      <c r="H93" s="512"/>
      <c r="I93" s="512"/>
      <c r="J93" s="512"/>
      <c r="K93" s="512"/>
      <c r="L93" s="513"/>
      <c r="M93" s="514"/>
      <c r="N93" s="2944"/>
      <c r="O93" s="2944"/>
      <c r="P93" s="2969"/>
      <c r="Q93" s="2930"/>
      <c r="R93" s="2916"/>
      <c r="S93" s="2916"/>
      <c r="T93" s="2916"/>
      <c r="U93" s="2916"/>
      <c r="V93" s="2916"/>
      <c r="W93" s="2916"/>
      <c r="X93" s="2916"/>
      <c r="Y93" s="2916"/>
      <c r="Z93" s="2916"/>
      <c r="AA93" s="2916"/>
      <c r="AB93" s="2916"/>
      <c r="AC93" s="2916"/>
      <c r="AD93" s="2916"/>
    </row>
    <row r="94" spans="1:30" ht="15.75" thickBot="1">
      <c r="A94" s="491"/>
      <c r="B94" s="500"/>
      <c r="C94" s="517"/>
      <c r="D94" s="493"/>
      <c r="E94" s="493"/>
      <c r="F94" s="493"/>
      <c r="G94" s="517"/>
      <c r="H94" s="519"/>
      <c r="I94" s="519"/>
      <c r="J94" s="519"/>
      <c r="K94" s="519"/>
      <c r="L94" s="519"/>
      <c r="M94" s="520"/>
      <c r="N94" s="2945"/>
      <c r="O94" s="2945"/>
      <c r="P94" s="2969"/>
      <c r="Q94" s="2930"/>
      <c r="R94" s="2916"/>
      <c r="S94" s="2916"/>
      <c r="T94" s="2916"/>
      <c r="U94" s="2916"/>
      <c r="V94" s="2916"/>
      <c r="W94" s="2916"/>
      <c r="X94" s="2916"/>
      <c r="Y94" s="2916"/>
      <c r="Z94" s="2916"/>
      <c r="AA94" s="2916"/>
      <c r="AB94" s="2916"/>
      <c r="AC94" s="2916"/>
      <c r="AD94" s="2916"/>
    </row>
    <row r="95" spans="1:30" ht="15" thickTop="1">
      <c r="A95" s="556"/>
      <c r="B95" s="592">
        <f>B34</f>
        <v>111</v>
      </c>
      <c r="C95" s="506"/>
      <c r="D95" s="506"/>
      <c r="E95" s="506"/>
      <c r="F95" s="506"/>
      <c r="G95" s="511"/>
      <c r="H95" s="512"/>
      <c r="I95" s="512"/>
      <c r="J95" s="512"/>
      <c r="K95" s="512"/>
      <c r="L95" s="513"/>
      <c r="M95" s="514"/>
      <c r="N95" s="2945"/>
      <c r="O95" s="2945"/>
      <c r="P95" s="2972"/>
      <c r="Q95" s="2959"/>
      <c r="R95" s="2916"/>
      <c r="S95" s="2916"/>
      <c r="T95" s="2916"/>
      <c r="U95" s="2916"/>
      <c r="V95" s="2916"/>
      <c r="W95" s="2916"/>
      <c r="X95" s="2916"/>
      <c r="Y95" s="2916"/>
      <c r="Z95" s="2916"/>
      <c r="AA95" s="2916"/>
      <c r="AB95" s="2916"/>
      <c r="AC95" s="2916"/>
      <c r="AD95" s="2916"/>
    </row>
    <row r="96" spans="1:30" ht="15.75" thickBot="1">
      <c r="A96" s="491"/>
      <c r="B96" s="500"/>
      <c r="C96" s="517"/>
      <c r="D96" s="517"/>
      <c r="E96" s="517"/>
      <c r="F96" s="517"/>
      <c r="G96" s="517"/>
      <c r="H96" s="519"/>
      <c r="I96" s="519"/>
      <c r="J96" s="519"/>
      <c r="K96" s="519"/>
      <c r="L96" s="519"/>
      <c r="M96" s="520"/>
      <c r="N96" s="2945"/>
      <c r="O96" s="2945"/>
      <c r="P96" s="2969"/>
      <c r="Q96" s="2930"/>
      <c r="R96" s="2916"/>
      <c r="S96" s="2916"/>
      <c r="T96" s="2916"/>
      <c r="U96" s="2916"/>
      <c r="V96" s="2916"/>
      <c r="W96" s="2916"/>
      <c r="X96" s="2916"/>
      <c r="Y96" s="2916"/>
      <c r="Z96" s="2916"/>
      <c r="AA96" s="2916"/>
      <c r="AB96" s="2916"/>
      <c r="AC96" s="2916"/>
      <c r="AD96" s="2916"/>
    </row>
    <row r="97" spans="1:30" ht="15" thickTop="1">
      <c r="N97" s="2916"/>
      <c r="O97" s="2916"/>
      <c r="P97" s="2916"/>
      <c r="Q97" s="2916"/>
      <c r="R97" s="2916"/>
      <c r="S97" s="2916"/>
      <c r="T97" s="2916"/>
      <c r="U97" s="2916"/>
      <c r="V97" s="2916"/>
      <c r="W97" s="2916"/>
      <c r="X97" s="2916"/>
      <c r="Y97" s="2916"/>
      <c r="Z97" s="2916"/>
      <c r="AA97" s="2916"/>
      <c r="AB97" s="2916"/>
      <c r="AC97" s="2916"/>
      <c r="AD97" s="2916"/>
    </row>
    <row r="98" spans="1:30">
      <c r="A98" s="1063"/>
      <c r="B98" s="1063"/>
      <c r="C98" s="1063"/>
      <c r="D98" s="1063"/>
      <c r="E98" s="1063"/>
      <c r="F98" s="1063"/>
      <c r="G98" s="1063"/>
      <c r="H98" s="1063"/>
      <c r="I98" s="1063"/>
      <c r="J98" s="1063"/>
      <c r="K98" s="1064"/>
      <c r="L98" s="1065"/>
      <c r="M98" s="1063"/>
      <c r="N98" s="2916"/>
      <c r="O98" s="2916"/>
      <c r="P98" s="2916"/>
      <c r="Q98" s="2916"/>
      <c r="R98" s="2916"/>
      <c r="S98" s="2916"/>
      <c r="T98" s="2916"/>
      <c r="U98" s="2916"/>
      <c r="V98" s="2916"/>
      <c r="W98" s="2916"/>
      <c r="X98" s="2916"/>
      <c r="Y98" s="2916"/>
      <c r="Z98" s="2916"/>
      <c r="AA98" s="2916"/>
      <c r="AB98" s="2916"/>
      <c r="AC98" s="2916"/>
      <c r="AD98" s="2916"/>
    </row>
    <row r="99" spans="1:30">
      <c r="A99" s="1063"/>
      <c r="B99" s="1063"/>
      <c r="C99" s="1063"/>
      <c r="D99" s="1063"/>
      <c r="E99" s="1063"/>
      <c r="F99" s="1063"/>
      <c r="G99" s="1063"/>
      <c r="H99" s="1063"/>
      <c r="I99" s="1063"/>
      <c r="J99" s="1063"/>
      <c r="K99" s="1064"/>
      <c r="L99" s="1065"/>
      <c r="M99" s="1063"/>
      <c r="N99" s="2916"/>
      <c r="O99" s="2916"/>
      <c r="P99" s="2916"/>
      <c r="Q99" s="2916"/>
      <c r="R99" s="2916"/>
      <c r="S99" s="2916"/>
      <c r="T99" s="2916"/>
      <c r="U99" s="2916"/>
      <c r="V99" s="2916"/>
      <c r="W99" s="2916"/>
      <c r="X99" s="2916"/>
      <c r="Y99" s="2916"/>
      <c r="Z99" s="2916"/>
      <c r="AA99" s="2916"/>
      <c r="AB99" s="2916"/>
      <c r="AC99" s="2916"/>
      <c r="AD99" s="2916"/>
    </row>
    <row r="100" spans="1:30">
      <c r="A100" s="1063"/>
      <c r="B100" s="1063"/>
      <c r="C100" s="1063"/>
      <c r="D100" s="1063"/>
      <c r="E100" s="1063"/>
      <c r="F100" s="1063"/>
      <c r="G100" s="1063"/>
      <c r="H100" s="1063"/>
      <c r="I100" s="1063"/>
      <c r="J100" s="1063"/>
      <c r="K100" s="1064"/>
      <c r="L100" s="1065"/>
      <c r="M100" s="1063"/>
      <c r="N100" s="2916"/>
      <c r="O100" s="2916"/>
      <c r="P100" s="2916"/>
      <c r="Q100" s="2916"/>
      <c r="R100" s="2916"/>
      <c r="S100" s="2916"/>
      <c r="T100" s="2916"/>
      <c r="U100" s="2916"/>
      <c r="V100" s="2916"/>
      <c r="W100" s="2916"/>
      <c r="X100" s="2916"/>
      <c r="Y100" s="2916"/>
      <c r="Z100" s="2916"/>
      <c r="AA100" s="2916"/>
      <c r="AB100" s="2916"/>
      <c r="AC100" s="2916"/>
      <c r="AD100" s="2916"/>
    </row>
    <row r="101" spans="1:30">
      <c r="A101" s="1063"/>
      <c r="B101" s="1063"/>
      <c r="C101" s="1063"/>
      <c r="D101" s="1063"/>
      <c r="E101" s="1063"/>
      <c r="F101" s="1063"/>
      <c r="G101" s="1063"/>
      <c r="H101" s="1063"/>
      <c r="I101" s="1063"/>
      <c r="J101" s="1063"/>
      <c r="K101" s="1064"/>
      <c r="L101" s="1065"/>
      <c r="M101" s="1063"/>
      <c r="N101" s="2916"/>
      <c r="O101" s="2916"/>
      <c r="P101" s="2916"/>
      <c r="Q101" s="2916"/>
      <c r="R101" s="2916"/>
      <c r="S101" s="2916"/>
      <c r="T101" s="2916"/>
      <c r="U101" s="2916"/>
      <c r="V101" s="2916"/>
      <c r="W101" s="2916"/>
      <c r="X101" s="2916"/>
      <c r="Y101" s="2916"/>
      <c r="Z101" s="2916"/>
      <c r="AA101" s="2916"/>
      <c r="AB101" s="2916"/>
      <c r="AC101" s="2916"/>
      <c r="AD101" s="2916"/>
    </row>
    <row r="102" spans="1:30">
      <c r="A102" s="1063"/>
      <c r="B102" s="1063"/>
      <c r="C102" s="1063"/>
      <c r="D102" s="1063"/>
      <c r="E102" s="1063"/>
      <c r="F102" s="1063"/>
      <c r="G102" s="1063"/>
      <c r="H102" s="1063"/>
      <c r="I102" s="1063"/>
      <c r="J102" s="1063"/>
      <c r="K102" s="1064"/>
      <c r="L102" s="1065"/>
      <c r="M102" s="1063"/>
      <c r="N102" s="2916"/>
      <c r="O102" s="2916"/>
      <c r="P102" s="2916"/>
      <c r="Q102" s="2916"/>
      <c r="R102" s="2916"/>
      <c r="S102" s="2916"/>
      <c r="T102" s="2916"/>
      <c r="U102" s="2916"/>
      <c r="V102" s="2916"/>
      <c r="W102" s="2916"/>
      <c r="X102" s="2916"/>
      <c r="Y102" s="2916"/>
      <c r="Z102" s="2916"/>
      <c r="AA102" s="2916"/>
      <c r="AB102" s="2916"/>
      <c r="AC102" s="2916"/>
      <c r="AD102" s="2916"/>
    </row>
    <row r="103" spans="1:30">
      <c r="A103" s="1063"/>
      <c r="B103" s="1063"/>
      <c r="C103" s="1063"/>
      <c r="D103" s="1063"/>
      <c r="E103" s="1063"/>
      <c r="F103" s="1063"/>
      <c r="G103" s="1063"/>
      <c r="H103" s="1063"/>
      <c r="I103" s="1063"/>
      <c r="J103" s="1063"/>
      <c r="K103" s="1064"/>
      <c r="L103" s="1065"/>
      <c r="M103" s="1063"/>
      <c r="N103" s="1063"/>
      <c r="O103" s="1063"/>
      <c r="P103" s="2916"/>
      <c r="Q103" s="2916"/>
      <c r="R103" s="2916"/>
      <c r="S103" s="2916"/>
      <c r="T103" s="2916"/>
      <c r="U103" s="2916"/>
      <c r="V103" s="2916"/>
      <c r="W103" s="2916"/>
      <c r="X103" s="2916"/>
      <c r="Y103" s="2916"/>
      <c r="Z103" s="2916"/>
      <c r="AA103" s="2916"/>
      <c r="AB103" s="2916"/>
      <c r="AC103" s="2916"/>
      <c r="AD103" s="291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4"/>
      <c r="D2" s="1034"/>
      <c r="E2" s="1035"/>
      <c r="F2" s="1036"/>
      <c r="G2" s="1035"/>
      <c r="H2" s="1035"/>
      <c r="I2" s="1035"/>
      <c r="J2" s="1035"/>
      <c r="K2" s="1037"/>
      <c r="L2" s="2925"/>
      <c r="M2" s="2926"/>
      <c r="N2" s="2926"/>
      <c r="O2" s="2926"/>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2505</v>
      </c>
      <c r="D3" s="1323"/>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30"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61" t="s">
        <v>2406</v>
      </c>
      <c r="S4" s="3762"/>
      <c r="T4" s="3761" t="s">
        <v>2407</v>
      </c>
      <c r="U4" s="3762"/>
      <c r="V4" s="3767" t="s">
        <v>2408</v>
      </c>
      <c r="W4" s="3767"/>
      <c r="X4" s="1505"/>
      <c r="Y4" s="3761" t="s">
        <v>2410</v>
      </c>
      <c r="Z4" s="3762"/>
      <c r="AA4" s="3748" t="s">
        <v>2406</v>
      </c>
      <c r="AB4" s="3749" t="s">
        <v>2407</v>
      </c>
      <c r="AC4" s="3748" t="s">
        <v>2408</v>
      </c>
    </row>
    <row r="5" spans="1:30" ht="15">
      <c r="A5" s="364"/>
      <c r="B5" s="365"/>
      <c r="C5" s="3779" t="s">
        <v>2301</v>
      </c>
      <c r="D5" s="3771"/>
      <c r="E5" s="3780" t="s">
        <v>2302</v>
      </c>
      <c r="F5" s="3778"/>
      <c r="G5" s="3779" t="s">
        <v>2303</v>
      </c>
      <c r="H5" s="3771"/>
      <c r="I5" s="3779" t="s">
        <v>2304</v>
      </c>
      <c r="J5" s="3771"/>
      <c r="K5" s="567"/>
      <c r="L5" s="2906"/>
      <c r="M5" s="2907"/>
      <c r="N5" s="2907"/>
      <c r="O5" s="2907"/>
      <c r="P5" s="3757"/>
      <c r="Q5" s="3758"/>
      <c r="R5" s="3763"/>
      <c r="S5" s="3764"/>
      <c r="T5" s="3763"/>
      <c r="U5" s="3764"/>
      <c r="V5" s="3767"/>
      <c r="W5" s="3767"/>
      <c r="X5" s="1505"/>
      <c r="Y5" s="3763"/>
      <c r="Z5" s="3764"/>
      <c r="AA5" s="3749"/>
      <c r="AB5" s="3749"/>
      <c r="AC5" s="3749"/>
    </row>
    <row r="6" spans="1:30" ht="15.75" thickBot="1">
      <c r="A6" s="366"/>
      <c r="B6" s="367"/>
      <c r="C6" s="3768" t="s">
        <v>2305</v>
      </c>
      <c r="D6" s="3769"/>
      <c r="E6" s="3775" t="s">
        <v>2305</v>
      </c>
      <c r="F6" s="3776"/>
      <c r="G6" s="3768" t="s">
        <v>2305</v>
      </c>
      <c r="H6" s="3769"/>
      <c r="I6" s="3768" t="s">
        <v>2305</v>
      </c>
      <c r="J6" s="3769"/>
      <c r="K6" s="567" t="s">
        <v>2306</v>
      </c>
      <c r="L6" s="2906"/>
      <c r="M6" s="2907"/>
      <c r="N6" s="2907"/>
      <c r="O6" s="2907"/>
      <c r="P6" s="3759"/>
      <c r="Q6" s="3760"/>
      <c r="R6" s="3763"/>
      <c r="S6" s="3764"/>
      <c r="T6" s="3765"/>
      <c r="U6" s="3766"/>
      <c r="V6" s="3767"/>
      <c r="W6" s="3767"/>
      <c r="X6" s="1505"/>
      <c r="Y6" s="3765"/>
      <c r="Z6" s="3766"/>
      <c r="AA6" s="3750"/>
      <c r="AB6" s="3750"/>
      <c r="AC6" s="3750"/>
    </row>
    <row r="7" spans="1:30" s="113" customFormat="1" ht="15.75" thickBot="1">
      <c r="A7" s="368" t="s">
        <v>2307</v>
      </c>
      <c r="B7" s="369"/>
      <c r="C7" s="370">
        <f>'数据-取费表'!B2</f>
        <v>44652</v>
      </c>
      <c r="D7" s="371">
        <v>100</v>
      </c>
      <c r="E7" s="372"/>
      <c r="F7" s="373">
        <f>SUMIF(70:70,YEAR(E7)&amp;"-"&amp;INT((MONTH(E7)+2)/3),71:71)</f>
        <v>0</v>
      </c>
      <c r="G7" s="2123"/>
      <c r="H7" s="371">
        <f>SUMIF(70:70,YEAR(G7)&amp;"-"&amp;INT((MONTH(G7)+2)/3),71:71)</f>
        <v>0</v>
      </c>
      <c r="I7" s="2123"/>
      <c r="J7" s="371">
        <f>SUMIF(70:70,YEAR(I7)&amp;"-"&amp;INT((MONTH(I7)+2)/3),71:71)</f>
        <v>0</v>
      </c>
      <c r="K7" s="568"/>
      <c r="L7" s="2908"/>
      <c r="M7" s="2909"/>
      <c r="N7" s="2909"/>
      <c r="O7" s="2909"/>
      <c r="P7" s="3772" t="s">
        <v>2308</v>
      </c>
      <c r="Q7" s="3774"/>
      <c r="R7" s="710" t="s">
        <v>17</v>
      </c>
      <c r="S7" s="711">
        <f t="shared" ref="S7:S15" si="0">F7</f>
        <v>0</v>
      </c>
      <c r="T7" s="710" t="s">
        <v>17</v>
      </c>
      <c r="U7" s="711">
        <f t="shared" ref="U7:U15" si="1">H7</f>
        <v>0</v>
      </c>
      <c r="V7" s="710" t="s">
        <v>17</v>
      </c>
      <c r="W7" s="711">
        <f t="shared" ref="W7:W15" si="2">J7</f>
        <v>0</v>
      </c>
      <c r="X7" s="712"/>
      <c r="Y7" s="3772" t="s">
        <v>2308</v>
      </c>
      <c r="Z7" s="3773"/>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08"/>
      <c r="M8" s="2909"/>
      <c r="N8" s="2909"/>
      <c r="O8" s="2909"/>
      <c r="P8" s="3772" t="s">
        <v>2311</v>
      </c>
      <c r="Q8" s="3773"/>
      <c r="R8" s="710" t="s">
        <v>17</v>
      </c>
      <c r="S8" s="711">
        <f t="shared" si="0"/>
        <v>0</v>
      </c>
      <c r="T8" s="710" t="s">
        <v>17</v>
      </c>
      <c r="U8" s="711">
        <f t="shared" si="1"/>
        <v>0</v>
      </c>
      <c r="V8" s="710" t="s">
        <v>17</v>
      </c>
      <c r="W8" s="711">
        <f t="shared" si="2"/>
        <v>0</v>
      </c>
      <c r="X8" s="712"/>
      <c r="Y8" s="3772" t="s">
        <v>2311</v>
      </c>
      <c r="Z8" s="3773"/>
      <c r="AA8" s="713" t="e">
        <f t="shared" ref="AA8:AA45" si="3">D8/F8</f>
        <v>#DIV/0!</v>
      </c>
      <c r="AB8" s="713" t="e">
        <f t="shared" ref="AB8:AB45" si="4">D8/H8</f>
        <v>#DIV/0!</v>
      </c>
      <c r="AC8" s="713" t="e">
        <f t="shared" ref="AC8:AC45" si="5">D8/J8</f>
        <v>#DIV/0!</v>
      </c>
    </row>
    <row r="9" spans="1:30" s="113" customFormat="1">
      <c r="A9" s="375" t="s">
        <v>2312</v>
      </c>
      <c r="B9" s="67" t="s">
        <v>2313</v>
      </c>
      <c r="C9" s="2126"/>
      <c r="D9" s="131">
        <v>100</v>
      </c>
      <c r="E9" s="2126"/>
      <c r="F9" s="131">
        <f>SUMIF(75:75,E9,76:76)-SUMIF(75:75,C9,76:76)+100</f>
        <v>100</v>
      </c>
      <c r="G9" s="2126"/>
      <c r="H9" s="131">
        <f>SUMIF(75:75,G9,76:76)-SUMIF(75:75,C9,76:76)+100</f>
        <v>100</v>
      </c>
      <c r="I9" s="2126"/>
      <c r="J9" s="131">
        <f>SUMIF(75:75,I9,76:76)-SUMIF(75:75,C9,76:76)+100</f>
        <v>100</v>
      </c>
      <c r="K9" s="568"/>
      <c r="L9" s="2908"/>
      <c r="M9" s="2909"/>
      <c r="N9" s="2909"/>
      <c r="O9" s="2963"/>
      <c r="P9" s="3736" t="s">
        <v>2314</v>
      </c>
      <c r="Q9" s="1493" t="str">
        <f t="shared" ref="Q9:Q15" si="6">B9</f>
        <v>用途</v>
      </c>
      <c r="R9" s="710" t="s">
        <v>17</v>
      </c>
      <c r="S9" s="711">
        <f t="shared" si="0"/>
        <v>100</v>
      </c>
      <c r="T9" s="710" t="s">
        <v>17</v>
      </c>
      <c r="U9" s="711">
        <f t="shared" si="1"/>
        <v>100</v>
      </c>
      <c r="V9" s="710" t="s">
        <v>17</v>
      </c>
      <c r="W9" s="711">
        <f t="shared" si="2"/>
        <v>100</v>
      </c>
      <c r="X9" s="712"/>
      <c r="Y9" s="3608"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104</v>
      </c>
      <c r="G10" s="422"/>
      <c r="H10" s="132">
        <f>ROUND(100/'数据-取费表'!G16,0)</f>
        <v>104</v>
      </c>
      <c r="I10" s="422"/>
      <c r="J10" s="132">
        <f>ROUND(100/'数据-取费表'!G16,0)</f>
        <v>104</v>
      </c>
      <c r="K10" s="628"/>
      <c r="L10" s="2910"/>
      <c r="M10" s="2911"/>
      <c r="N10" s="2911"/>
      <c r="O10" s="2964"/>
      <c r="P10" s="3736"/>
      <c r="Q10" s="1493" t="str">
        <f t="shared" si="6"/>
        <v>土地使用年限（年）</v>
      </c>
      <c r="R10" s="710" t="s">
        <v>17</v>
      </c>
      <c r="S10" s="711">
        <f t="shared" si="0"/>
        <v>104</v>
      </c>
      <c r="T10" s="710" t="s">
        <v>17</v>
      </c>
      <c r="U10" s="711">
        <f t="shared" si="1"/>
        <v>104</v>
      </c>
      <c r="V10" s="710" t="s">
        <v>17</v>
      </c>
      <c r="W10" s="711">
        <f t="shared" si="2"/>
        <v>104</v>
      </c>
      <c r="X10" s="712"/>
      <c r="Y10" s="3608"/>
      <c r="Z10" s="55" t="str">
        <f t="shared" si="7"/>
        <v>土地使用年限（年）</v>
      </c>
      <c r="AA10" s="713">
        <f t="shared" si="3"/>
        <v>0.96153846153846156</v>
      </c>
      <c r="AB10" s="713">
        <f t="shared" si="4"/>
        <v>0.96153846153846156</v>
      </c>
      <c r="AC10" s="713">
        <f t="shared" si="5"/>
        <v>0.96153846153846156</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2"/>
      <c r="M11" s="2907"/>
      <c r="N11" s="2907"/>
      <c r="O11" s="2965"/>
      <c r="P11" s="3736"/>
      <c r="Q11" s="1493" t="str">
        <f t="shared" si="6"/>
        <v>容积率</v>
      </c>
      <c r="R11" s="710" t="s">
        <v>17</v>
      </c>
      <c r="S11" s="711" t="e">
        <f t="shared" si="0"/>
        <v>#N/A</v>
      </c>
      <c r="T11" s="710" t="s">
        <v>17</v>
      </c>
      <c r="U11" s="711" t="e">
        <f t="shared" si="1"/>
        <v>#N/A</v>
      </c>
      <c r="V11" s="710" t="s">
        <v>17</v>
      </c>
      <c r="W11" s="711" t="e">
        <f t="shared" si="2"/>
        <v>#N/A</v>
      </c>
      <c r="X11" s="712"/>
      <c r="Y11" s="3608"/>
      <c r="Z11" s="55" t="str">
        <f t="shared" si="7"/>
        <v>容积率</v>
      </c>
      <c r="AA11" s="713" t="e">
        <f t="shared" si="3"/>
        <v>#N/A</v>
      </c>
      <c r="AB11" s="713" t="e">
        <f t="shared" si="4"/>
        <v>#N/A</v>
      </c>
      <c r="AC11" s="713" t="e">
        <f t="shared" si="5"/>
        <v>#N/A</v>
      </c>
    </row>
    <row r="12" spans="1:30" s="113" customFormat="1" ht="15">
      <c r="A12" s="390"/>
      <c r="B12" s="2044" t="s">
        <v>2506</v>
      </c>
      <c r="C12" s="391"/>
      <c r="D12" s="392">
        <v>100</v>
      </c>
      <c r="E12" s="424"/>
      <c r="F12" s="132">
        <f>SUMIF(82:82,E12,83:83)-SUMIF(82:82,C12,83:83)+100</f>
        <v>100</v>
      </c>
      <c r="G12" s="422"/>
      <c r="H12" s="132">
        <f>SUMIF(82:82,G12,83:83)-SUMIF(82:82,C12,83:83)+100</f>
        <v>100</v>
      </c>
      <c r="I12" s="424"/>
      <c r="J12" s="132">
        <f>SUMIF(82:82,I12,83:83)-SUMIF(82:82,C12,83:83)+100</f>
        <v>100</v>
      </c>
      <c r="K12" s="628"/>
      <c r="L12" s="2908"/>
      <c r="M12" s="2909"/>
      <c r="N12" s="2909"/>
      <c r="O12" s="2963"/>
      <c r="P12" s="3736"/>
      <c r="Q12" s="1493" t="str">
        <f t="shared" si="6"/>
        <v>配建</v>
      </c>
      <c r="R12" s="710" t="s">
        <v>17</v>
      </c>
      <c r="S12" s="711">
        <f t="shared" si="0"/>
        <v>100</v>
      </c>
      <c r="T12" s="710" t="s">
        <v>17</v>
      </c>
      <c r="U12" s="711">
        <f t="shared" si="1"/>
        <v>100</v>
      </c>
      <c r="V12" s="710" t="s">
        <v>17</v>
      </c>
      <c r="W12" s="711">
        <f t="shared" si="2"/>
        <v>100</v>
      </c>
      <c r="X12" s="712"/>
      <c r="Y12" s="3608"/>
      <c r="Z12" s="55" t="str">
        <f t="shared" si="7"/>
        <v>配建</v>
      </c>
      <c r="AA12" s="713">
        <f>D12/F12</f>
        <v>1</v>
      </c>
      <c r="AB12" s="713">
        <f>D12/H12</f>
        <v>1</v>
      </c>
      <c r="AC12" s="713">
        <f>D12/J12</f>
        <v>1</v>
      </c>
    </row>
    <row r="13" spans="1:30" ht="15">
      <c r="A13" s="387"/>
      <c r="B13" s="2044">
        <v>111</v>
      </c>
      <c r="C13" s="393"/>
      <c r="D13" s="394">
        <v>100</v>
      </c>
      <c r="E13" s="506"/>
      <c r="F13" s="132">
        <f>SUMIF(84:84,E13,85:85)-SUMIF(84:84,C13,85:85)+100</f>
        <v>100</v>
      </c>
      <c r="G13" s="630"/>
      <c r="H13" s="394">
        <f>SUMIF(84:84,G13,85:85)-SUMIF(84:84,C13,85:85)+100</f>
        <v>100</v>
      </c>
      <c r="I13" s="630"/>
      <c r="J13" s="394">
        <f>SUMIF(84:84,I13,85:85)-SUMIF(84:84,C13,85:85)+100</f>
        <v>100</v>
      </c>
      <c r="K13" s="628"/>
      <c r="L13" s="2913"/>
      <c r="M13" s="2907"/>
      <c r="N13" s="2907"/>
      <c r="O13" s="2965"/>
      <c r="P13" s="3736"/>
      <c r="Q13" s="1493">
        <f t="shared" si="6"/>
        <v>111</v>
      </c>
      <c r="R13" s="710" t="s">
        <v>17</v>
      </c>
      <c r="S13" s="711">
        <f t="shared" si="0"/>
        <v>100</v>
      </c>
      <c r="T13" s="710" t="s">
        <v>17</v>
      </c>
      <c r="U13" s="711">
        <f t="shared" si="1"/>
        <v>100</v>
      </c>
      <c r="V13" s="710" t="s">
        <v>17</v>
      </c>
      <c r="W13" s="711">
        <f t="shared" si="2"/>
        <v>100</v>
      </c>
      <c r="X13" s="712"/>
      <c r="Y13" s="3608"/>
      <c r="Z13" s="55">
        <f t="shared" si="7"/>
        <v>111</v>
      </c>
      <c r="AA13" s="713">
        <f>D13/F13</f>
        <v>1</v>
      </c>
      <c r="AB13" s="713">
        <f>D13/H13</f>
        <v>1</v>
      </c>
      <c r="AC13" s="713">
        <f>D13/J13</f>
        <v>1</v>
      </c>
    </row>
    <row r="14" spans="1:30" ht="15.75" thickBot="1">
      <c r="A14" s="395"/>
      <c r="B14" s="2046">
        <v>111</v>
      </c>
      <c r="C14" s="396"/>
      <c r="D14" s="397">
        <v>100</v>
      </c>
      <c r="E14" s="506"/>
      <c r="F14" s="397">
        <f>SUMIF(86:86,E14,87:87)-SUMIF(86:86,C14,87:87)+100</f>
        <v>100</v>
      </c>
      <c r="G14" s="630"/>
      <c r="H14" s="397">
        <f>SUMIF(86:86,G14,87:87)-SUMIF(86:86,C14,87:87)+100</f>
        <v>100</v>
      </c>
      <c r="I14" s="630"/>
      <c r="J14" s="397">
        <f>SUMIF(86:86,I14,87:87)-SUMIF(86:86,C14,87:87)+100</f>
        <v>100</v>
      </c>
      <c r="K14" s="628"/>
      <c r="L14" s="2913"/>
      <c r="M14" s="2907"/>
      <c r="N14" s="2907"/>
      <c r="O14" s="2965"/>
      <c r="P14" s="3736"/>
      <c r="Q14" s="1493">
        <f t="shared" si="6"/>
        <v>111</v>
      </c>
      <c r="R14" s="710" t="s">
        <v>17</v>
      </c>
      <c r="S14" s="711">
        <f t="shared" si="0"/>
        <v>100</v>
      </c>
      <c r="T14" s="710" t="s">
        <v>17</v>
      </c>
      <c r="U14" s="711">
        <f t="shared" si="1"/>
        <v>100</v>
      </c>
      <c r="V14" s="710" t="s">
        <v>17</v>
      </c>
      <c r="W14" s="711">
        <f t="shared" si="2"/>
        <v>100</v>
      </c>
      <c r="X14" s="712"/>
      <c r="Y14" s="3608"/>
      <c r="Z14" s="55">
        <f t="shared" si="7"/>
        <v>111</v>
      </c>
      <c r="AA14" s="713">
        <f>D14/F14</f>
        <v>1</v>
      </c>
      <c r="AB14" s="713">
        <f>D14/H14</f>
        <v>1</v>
      </c>
      <c r="AC14" s="713">
        <f>D14/J14</f>
        <v>1</v>
      </c>
    </row>
    <row r="15" spans="1:30" ht="171">
      <c r="A15" s="399" t="s">
        <v>2318</v>
      </c>
      <c r="B15" s="65" t="s">
        <v>1882</v>
      </c>
      <c r="C15" s="2047" t="str">
        <f>估价对象房地状况!C15</f>
        <v>周边2公里内有南平里、南平东里、南竺园、天竺家园、蓝海苑、蓝天苑、燕翔西里等居住项目项目，房屋出租使用率较高，居住环境、小区规模较适宜，居住社区成熟度较好。</v>
      </c>
      <c r="D15" s="400">
        <v>100</v>
      </c>
      <c r="E15" s="401"/>
      <c r="F15" s="400">
        <f>SUMIF(88:88,E16,89:89)-SUMIF(88:88,C16,89:89)+100</f>
        <v>100</v>
      </c>
      <c r="G15" s="401"/>
      <c r="H15" s="400">
        <f>SUMIF(88:88,G16,89:89)-SUMIF(88:88,C16,89:89)+100</f>
        <v>100</v>
      </c>
      <c r="I15" s="403"/>
      <c r="J15" s="400">
        <f>SUMIF(88:88,I16,89:89)-SUMIF(88:88,C16,89:89)+100</f>
        <v>100</v>
      </c>
      <c r="K15" s="629"/>
      <c r="L15" s="2913"/>
      <c r="M15" s="2907"/>
      <c r="N15" s="2907"/>
      <c r="O15" s="2965"/>
      <c r="P15" s="3738" t="s">
        <v>2319</v>
      </c>
      <c r="Q15" s="1502" t="str">
        <f t="shared" si="6"/>
        <v>居住社区成熟度</v>
      </c>
      <c r="R15" s="714" t="s">
        <v>17</v>
      </c>
      <c r="S15" s="715">
        <f t="shared" si="0"/>
        <v>100</v>
      </c>
      <c r="T15" s="714" t="s">
        <v>17</v>
      </c>
      <c r="U15" s="715">
        <f t="shared" si="1"/>
        <v>100</v>
      </c>
      <c r="V15" s="714" t="s">
        <v>17</v>
      </c>
      <c r="W15" s="715">
        <f t="shared" si="2"/>
        <v>100</v>
      </c>
      <c r="X15" s="1505"/>
      <c r="Y15" s="3738" t="s">
        <v>2319</v>
      </c>
      <c r="Z15" s="1506" t="str">
        <f t="shared" si="7"/>
        <v>居住社区成熟度</v>
      </c>
      <c r="AA15" s="1503">
        <f t="shared" si="3"/>
        <v>1</v>
      </c>
      <c r="AB15" s="1503">
        <f t="shared" si="4"/>
        <v>1</v>
      </c>
      <c r="AC15" s="1503">
        <f t="shared" si="5"/>
        <v>1</v>
      </c>
    </row>
    <row r="16" spans="1:30" ht="15">
      <c r="A16" s="387"/>
      <c r="B16" s="405"/>
      <c r="C16" s="406"/>
      <c r="D16" s="407"/>
      <c r="E16" s="2049"/>
      <c r="F16" s="407"/>
      <c r="G16" s="2049"/>
      <c r="H16" s="409"/>
      <c r="I16" s="2048"/>
      <c r="J16" s="407"/>
      <c r="K16" s="628"/>
      <c r="L16" s="2913"/>
      <c r="M16" s="2907"/>
      <c r="N16" s="2907"/>
      <c r="O16" s="2965"/>
      <c r="P16" s="3739"/>
      <c r="Q16" s="1502"/>
      <c r="R16" s="714"/>
      <c r="S16" s="715"/>
      <c r="T16" s="714"/>
      <c r="U16" s="715"/>
      <c r="V16" s="714"/>
      <c r="W16" s="715"/>
      <c r="X16" s="1505"/>
      <c r="Y16" s="3739"/>
      <c r="Z16" s="1506"/>
      <c r="AA16" s="1503">
        <v>1</v>
      </c>
      <c r="AB16" s="1503">
        <v>1</v>
      </c>
      <c r="AC16" s="1503">
        <v>1</v>
      </c>
    </row>
    <row r="17" spans="1:29" ht="71.25">
      <c r="A17" s="387"/>
      <c r="B17" s="410" t="s">
        <v>2412</v>
      </c>
      <c r="C17" s="2104"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3"/>
      <c r="M17" s="2907"/>
      <c r="N17" s="2907"/>
      <c r="O17" s="2965"/>
      <c r="P17" s="3739"/>
      <c r="Q17" s="1502" t="str">
        <f>B17</f>
        <v>商业繁华度</v>
      </c>
      <c r="R17" s="714" t="s">
        <v>17</v>
      </c>
      <c r="S17" s="715">
        <f>F17</f>
        <v>100</v>
      </c>
      <c r="T17" s="714" t="s">
        <v>17</v>
      </c>
      <c r="U17" s="715">
        <f>H17</f>
        <v>100</v>
      </c>
      <c r="V17" s="714" t="s">
        <v>17</v>
      </c>
      <c r="W17" s="715">
        <f>J17</f>
        <v>100</v>
      </c>
      <c r="X17" s="1505"/>
      <c r="Y17" s="3739"/>
      <c r="Z17" s="1506" t="str">
        <f>Q17</f>
        <v>商业繁华度</v>
      </c>
      <c r="AA17" s="1503">
        <f t="shared" si="3"/>
        <v>1</v>
      </c>
      <c r="AB17" s="1503">
        <f t="shared" si="4"/>
        <v>1</v>
      </c>
      <c r="AC17" s="1503">
        <f t="shared" si="5"/>
        <v>1</v>
      </c>
    </row>
    <row r="18" spans="1:29" ht="15">
      <c r="A18" s="387"/>
      <c r="B18" s="415"/>
      <c r="C18" s="2052"/>
      <c r="D18" s="409"/>
      <c r="E18" s="2054"/>
      <c r="F18" s="409"/>
      <c r="G18" s="2054"/>
      <c r="H18" s="407"/>
      <c r="I18" s="2053"/>
      <c r="J18" s="407"/>
      <c r="K18" s="628"/>
      <c r="L18" s="2913"/>
      <c r="M18" s="2907"/>
      <c r="N18" s="2907"/>
      <c r="O18" s="2965"/>
      <c r="P18" s="3739"/>
      <c r="Q18" s="1502"/>
      <c r="R18" s="714"/>
      <c r="S18" s="715"/>
      <c r="T18" s="714"/>
      <c r="U18" s="715"/>
      <c r="V18" s="714"/>
      <c r="W18" s="715"/>
      <c r="X18" s="1505"/>
      <c r="Y18" s="3739"/>
      <c r="Z18" s="1506"/>
      <c r="AA18" s="1503">
        <v>1</v>
      </c>
      <c r="AB18" s="1503">
        <v>1</v>
      </c>
      <c r="AC18" s="1503">
        <v>1</v>
      </c>
    </row>
    <row r="19" spans="1:29" ht="71.25">
      <c r="A19" s="387"/>
      <c r="B19" s="410" t="s">
        <v>2446</v>
      </c>
      <c r="C19" s="2104"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3"/>
      <c r="M19" s="2907"/>
      <c r="N19" s="2907"/>
      <c r="O19" s="2965"/>
      <c r="P19" s="3739"/>
      <c r="Q19" s="1502" t="str">
        <f>B19</f>
        <v>办公集聚程度</v>
      </c>
      <c r="R19" s="714" t="s">
        <v>17</v>
      </c>
      <c r="S19" s="715">
        <f>F19</f>
        <v>100</v>
      </c>
      <c r="T19" s="714" t="s">
        <v>17</v>
      </c>
      <c r="U19" s="715">
        <f>H19</f>
        <v>100</v>
      </c>
      <c r="V19" s="714" t="s">
        <v>17</v>
      </c>
      <c r="W19" s="715">
        <f>J19</f>
        <v>100</v>
      </c>
      <c r="X19" s="1505"/>
      <c r="Y19" s="3739"/>
      <c r="Z19" s="1506" t="str">
        <f>Q19</f>
        <v>办公集聚程度</v>
      </c>
      <c r="AA19" s="1503">
        <f t="shared" si="3"/>
        <v>1</v>
      </c>
      <c r="AB19" s="1503">
        <f t="shared" si="4"/>
        <v>1</v>
      </c>
      <c r="AC19" s="1503">
        <f t="shared" si="5"/>
        <v>1</v>
      </c>
    </row>
    <row r="20" spans="1:29" ht="15">
      <c r="A20" s="387"/>
      <c r="B20" s="415"/>
      <c r="C20" s="406"/>
      <c r="D20" s="407"/>
      <c r="E20" s="2049"/>
      <c r="F20" s="407"/>
      <c r="G20" s="2049"/>
      <c r="H20" s="407"/>
      <c r="I20" s="2048"/>
      <c r="J20" s="407"/>
      <c r="K20" s="628"/>
      <c r="L20" s="2913"/>
      <c r="M20" s="2907"/>
      <c r="N20" s="2907"/>
      <c r="O20" s="2965"/>
      <c r="P20" s="3739"/>
      <c r="Q20" s="1502"/>
      <c r="R20" s="714"/>
      <c r="S20" s="715"/>
      <c r="T20" s="714"/>
      <c r="U20" s="715"/>
      <c r="V20" s="714"/>
      <c r="W20" s="715"/>
      <c r="X20" s="1505"/>
      <c r="Y20" s="3739"/>
      <c r="Z20" s="1506"/>
      <c r="AA20" s="1503">
        <v>1</v>
      </c>
      <c r="AB20" s="1503">
        <v>1</v>
      </c>
      <c r="AC20" s="1503">
        <v>1</v>
      </c>
    </row>
    <row r="21" spans="1:29" ht="199.5">
      <c r="A21" s="387"/>
      <c r="B21" s="410" t="s">
        <v>2468</v>
      </c>
      <c r="C21" s="2051" t="str">
        <f>估价对象房地状况!C18</f>
        <v>估价对象紧邻城市支路，周边有空港1路、空港10路、顺22路、顺42路、640路、850路、955路等多条公交线路，距离地铁机场线直线3号航站楼距离约1.6公里，距离北京首都国际机场约1.5公里，交通便捷度一般。</v>
      </c>
      <c r="D21" s="409">
        <v>100</v>
      </c>
      <c r="E21" s="411"/>
      <c r="F21" s="414">
        <f>SUMIF(94:94,E22,95:95)-SUMIF(94:94,C22,95:95)+100</f>
        <v>100</v>
      </c>
      <c r="G21" s="411"/>
      <c r="H21" s="409">
        <f>SUMIF(94:94,G22,95:95)-SUMIF(94:94,C22,95:95)+100</f>
        <v>100</v>
      </c>
      <c r="I21" s="413"/>
      <c r="J21" s="409">
        <f>SUMIF(94:94,I22,95:95)-SUMIF(94:94,C22,95:95)+100</f>
        <v>100</v>
      </c>
      <c r="K21" s="629"/>
      <c r="L21" s="2913"/>
      <c r="M21" s="2907"/>
      <c r="N21" s="2907"/>
      <c r="O21" s="2965"/>
      <c r="P21" s="3739"/>
      <c r="Q21" s="1502" t="str">
        <f>B21</f>
        <v>交通便捷度</v>
      </c>
      <c r="R21" s="714" t="s">
        <v>17</v>
      </c>
      <c r="S21" s="715">
        <f>F21</f>
        <v>100</v>
      </c>
      <c r="T21" s="714" t="s">
        <v>17</v>
      </c>
      <c r="U21" s="715">
        <f>H21</f>
        <v>100</v>
      </c>
      <c r="V21" s="714" t="s">
        <v>17</v>
      </c>
      <c r="W21" s="715">
        <f>J21</f>
        <v>100</v>
      </c>
      <c r="X21" s="1505"/>
      <c r="Y21" s="3739"/>
      <c r="Z21" s="1506" t="str">
        <f>Q21</f>
        <v>交通便捷度</v>
      </c>
      <c r="AA21" s="1503">
        <f t="shared" si="3"/>
        <v>1</v>
      </c>
      <c r="AB21" s="1503">
        <f t="shared" si="4"/>
        <v>1</v>
      </c>
      <c r="AC21" s="1503">
        <f t="shared" si="5"/>
        <v>1</v>
      </c>
    </row>
    <row r="22" spans="1:29" ht="15">
      <c r="A22" s="387"/>
      <c r="B22" s="1261"/>
      <c r="C22" s="406"/>
      <c r="D22" s="409"/>
      <c r="E22" s="2049"/>
      <c r="F22" s="407"/>
      <c r="G22" s="2049"/>
      <c r="H22" s="407"/>
      <c r="I22" s="2048"/>
      <c r="J22" s="407"/>
      <c r="K22" s="628"/>
      <c r="L22" s="2913"/>
      <c r="M22" s="2907"/>
      <c r="N22" s="2907"/>
      <c r="O22" s="2965"/>
      <c r="P22" s="3739"/>
      <c r="Q22" s="1502"/>
      <c r="R22" s="714"/>
      <c r="S22" s="715"/>
      <c r="T22" s="714"/>
      <c r="U22" s="715"/>
      <c r="V22" s="714"/>
      <c r="W22" s="715"/>
      <c r="X22" s="1505"/>
      <c r="Y22" s="3739"/>
      <c r="Z22" s="1506"/>
      <c r="AA22" s="1503">
        <v>1</v>
      </c>
      <c r="AB22" s="1503">
        <v>1</v>
      </c>
      <c r="AC22" s="1503">
        <v>1</v>
      </c>
    </row>
    <row r="23" spans="1:29" ht="15">
      <c r="A23" s="364"/>
      <c r="B23" s="410" t="s">
        <v>2507</v>
      </c>
      <c r="C23" s="126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3"/>
      <c r="M23" s="2907"/>
      <c r="N23" s="2907"/>
      <c r="O23" s="2965"/>
      <c r="P23" s="3739"/>
      <c r="Q23" s="1502" t="str">
        <f t="shared" ref="Q23:Q37" si="8">B23</f>
        <v>区域土地利用方向</v>
      </c>
      <c r="R23" s="714" t="s">
        <v>17</v>
      </c>
      <c r="S23" s="715">
        <f>F23</f>
        <v>100</v>
      </c>
      <c r="T23" s="714" t="s">
        <v>17</v>
      </c>
      <c r="U23" s="715">
        <f>H23</f>
        <v>100</v>
      </c>
      <c r="V23" s="714" t="s">
        <v>17</v>
      </c>
      <c r="W23" s="715">
        <f>J23</f>
        <v>100</v>
      </c>
      <c r="X23" s="1505"/>
      <c r="Y23" s="3739"/>
      <c r="Z23" s="1506" t="str">
        <f>Q23</f>
        <v>区域土地利用方向</v>
      </c>
      <c r="AA23" s="1503">
        <f t="shared" si="3"/>
        <v>1</v>
      </c>
      <c r="AB23" s="1503">
        <f t="shared" si="4"/>
        <v>1</v>
      </c>
      <c r="AC23" s="1503">
        <f t="shared" si="5"/>
        <v>1</v>
      </c>
    </row>
    <row r="24" spans="1:29" ht="15">
      <c r="A24" s="364"/>
      <c r="B24" s="415"/>
      <c r="C24" s="573"/>
      <c r="D24" s="407"/>
      <c r="E24" s="2049"/>
      <c r="F24" s="407"/>
      <c r="G24" s="2048"/>
      <c r="H24" s="407"/>
      <c r="I24" s="2048"/>
      <c r="J24" s="407"/>
      <c r="K24" s="747"/>
      <c r="L24" s="2913"/>
      <c r="M24" s="2907"/>
      <c r="N24" s="2907"/>
      <c r="O24" s="2965"/>
      <c r="P24" s="3739"/>
      <c r="Q24" s="1502"/>
      <c r="R24" s="714"/>
      <c r="S24" s="715"/>
      <c r="T24" s="714"/>
      <c r="U24" s="715"/>
      <c r="V24" s="714"/>
      <c r="W24" s="715"/>
      <c r="X24" s="1505"/>
      <c r="Y24" s="3739"/>
      <c r="Z24" s="1506"/>
      <c r="AA24" s="1503"/>
      <c r="AB24" s="1503"/>
      <c r="AC24" s="1503"/>
    </row>
    <row r="25" spans="1:29" ht="128.25">
      <c r="A25" s="364"/>
      <c r="B25" s="1261" t="s">
        <v>2508</v>
      </c>
      <c r="C25" s="2104" t="str">
        <f>估价对象房地状况!C20</f>
        <v>自然环境有西湖园、社区文化公园等自然景观；人文环境无；距离北京首都国际机场1.5公里，机场噪音大，综合评价环境状况较差。</v>
      </c>
      <c r="D25" s="409">
        <v>100</v>
      </c>
      <c r="E25" s="411"/>
      <c r="F25" s="409">
        <f>SUMIF(98:98,E26,99:99)-SUMIF(98:98,C26,99:99)+100</f>
        <v>100</v>
      </c>
      <c r="G25" s="411"/>
      <c r="H25" s="409">
        <f>SUMIF(98:98,G26,99:99)-SUMIF(98:98,C26,99:99)+100</f>
        <v>100</v>
      </c>
      <c r="I25" s="413"/>
      <c r="J25" s="409">
        <f>SUMIF(98:98,I26,99:99)-SUMIF(98:98,C26,99:99)+100</f>
        <v>100</v>
      </c>
      <c r="K25" s="629"/>
      <c r="L25" s="2913"/>
      <c r="M25" s="2907"/>
      <c r="N25" s="2907"/>
      <c r="O25" s="2965"/>
      <c r="P25" s="3739"/>
      <c r="Q25" s="1502" t="str">
        <f t="shared" si="8"/>
        <v>自然及人文环境状况</v>
      </c>
      <c r="R25" s="714" t="s">
        <v>17</v>
      </c>
      <c r="S25" s="715">
        <f>F25</f>
        <v>100</v>
      </c>
      <c r="T25" s="714" t="s">
        <v>17</v>
      </c>
      <c r="U25" s="715">
        <f>H25</f>
        <v>100</v>
      </c>
      <c r="V25" s="714" t="s">
        <v>17</v>
      </c>
      <c r="W25" s="715">
        <f>J25</f>
        <v>100</v>
      </c>
      <c r="X25" s="1505"/>
      <c r="Y25" s="3739"/>
      <c r="Z25" s="1506" t="str">
        <f>Q25</f>
        <v>自然及人文环境状况</v>
      </c>
      <c r="AA25" s="1503">
        <f t="shared" si="3"/>
        <v>1</v>
      </c>
      <c r="AB25" s="1503">
        <f t="shared" si="4"/>
        <v>1</v>
      </c>
      <c r="AC25" s="1503">
        <f t="shared" si="5"/>
        <v>1</v>
      </c>
    </row>
    <row r="26" spans="1:29" ht="15">
      <c r="A26" s="364"/>
      <c r="B26" s="415"/>
      <c r="C26" s="406"/>
      <c r="D26" s="407"/>
      <c r="E26" s="2055"/>
      <c r="F26" s="407"/>
      <c r="G26" s="2055"/>
      <c r="H26" s="407"/>
      <c r="I26" s="406"/>
      <c r="J26" s="407"/>
      <c r="K26" s="628"/>
      <c r="L26" s="2913"/>
      <c r="M26" s="2907"/>
      <c r="N26" s="2907"/>
      <c r="O26" s="2965"/>
      <c r="P26" s="3739"/>
      <c r="Q26" s="1502"/>
      <c r="R26" s="714"/>
      <c r="S26" s="715"/>
      <c r="T26" s="714"/>
      <c r="U26" s="715"/>
      <c r="V26" s="714"/>
      <c r="W26" s="715"/>
      <c r="X26" s="1505"/>
      <c r="Y26" s="3739"/>
      <c r="Z26" s="1506"/>
      <c r="AA26" s="1503">
        <v>1</v>
      </c>
      <c r="AB26" s="1503">
        <v>1</v>
      </c>
      <c r="AC26" s="1503">
        <v>1</v>
      </c>
    </row>
    <row r="27" spans="1:29" s="113" customFormat="1" ht="356.25">
      <c r="A27" s="605"/>
      <c r="B27" s="1261" t="s">
        <v>2413</v>
      </c>
      <c r="C27" s="2051"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8"/>
      <c r="M27" s="2909"/>
      <c r="N27" s="2909"/>
      <c r="O27" s="2963"/>
      <c r="P27" s="3739"/>
      <c r="Q27" s="1493" t="str">
        <f t="shared" si="8"/>
        <v>公共配套设施</v>
      </c>
      <c r="R27" s="710" t="s">
        <v>17</v>
      </c>
      <c r="S27" s="711">
        <f>F27</f>
        <v>100</v>
      </c>
      <c r="T27" s="710" t="s">
        <v>17</v>
      </c>
      <c r="U27" s="711">
        <f>H27</f>
        <v>100</v>
      </c>
      <c r="V27" s="710" t="s">
        <v>17</v>
      </c>
      <c r="W27" s="711">
        <f>J27</f>
        <v>100</v>
      </c>
      <c r="X27" s="712"/>
      <c r="Y27" s="3739"/>
      <c r="Z27" s="55" t="str">
        <f>Q27</f>
        <v>公共配套设施</v>
      </c>
      <c r="AA27" s="1503">
        <f>D27/F27</f>
        <v>1</v>
      </c>
      <c r="AB27" s="1503">
        <f>D27/H27</f>
        <v>1</v>
      </c>
      <c r="AC27" s="1503">
        <f>D27/J27</f>
        <v>1</v>
      </c>
    </row>
    <row r="28" spans="1:29" s="113" customFormat="1" ht="15">
      <c r="A28" s="605"/>
      <c r="B28" s="415"/>
      <c r="C28" s="2127"/>
      <c r="D28" s="407"/>
      <c r="E28" s="2055"/>
      <c r="F28" s="407"/>
      <c r="G28" s="2055"/>
      <c r="H28" s="407"/>
      <c r="I28" s="406"/>
      <c r="J28" s="407"/>
      <c r="K28" s="628"/>
      <c r="L28" s="2908"/>
      <c r="M28" s="2909"/>
      <c r="N28" s="2909"/>
      <c r="O28" s="2963"/>
      <c r="P28" s="3739"/>
      <c r="Q28" s="1493"/>
      <c r="R28" s="710"/>
      <c r="S28" s="711"/>
      <c r="T28" s="710"/>
      <c r="U28" s="711"/>
      <c r="V28" s="710"/>
      <c r="W28" s="711"/>
      <c r="X28" s="712"/>
      <c r="Y28" s="3739"/>
      <c r="Z28" s="55"/>
      <c r="AA28" s="1503">
        <v>1</v>
      </c>
      <c r="AB28" s="1503">
        <v>1</v>
      </c>
      <c r="AC28" s="1503">
        <v>1</v>
      </c>
    </row>
    <row r="29" spans="1:29" s="113" customFormat="1" ht="28.5">
      <c r="A29" s="605"/>
      <c r="B29" s="1261" t="s">
        <v>2414</v>
      </c>
      <c r="C29" s="2051"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8"/>
      <c r="M29" s="2909"/>
      <c r="N29" s="2909"/>
      <c r="O29" s="2963"/>
      <c r="P29" s="3739"/>
      <c r="Q29" s="1493" t="str">
        <f t="shared" ref="Q29" si="9">B29</f>
        <v>基础设施水平</v>
      </c>
      <c r="R29" s="710" t="s">
        <v>17</v>
      </c>
      <c r="S29" s="711">
        <f>F29</f>
        <v>100</v>
      </c>
      <c r="T29" s="710" t="s">
        <v>17</v>
      </c>
      <c r="U29" s="711">
        <f>H29</f>
        <v>100</v>
      </c>
      <c r="V29" s="710" t="s">
        <v>17</v>
      </c>
      <c r="W29" s="711">
        <f>J29</f>
        <v>100</v>
      </c>
      <c r="X29" s="712"/>
      <c r="Y29" s="3739"/>
      <c r="Z29" s="55" t="str">
        <f>Q29</f>
        <v>基础设施水平</v>
      </c>
      <c r="AA29" s="1503">
        <f>D29/F29</f>
        <v>1</v>
      </c>
      <c r="AB29" s="1503">
        <f>D29/H29</f>
        <v>1</v>
      </c>
      <c r="AC29" s="1503">
        <f>D29/J29</f>
        <v>1</v>
      </c>
    </row>
    <row r="30" spans="1:29" s="113" customFormat="1" ht="15">
      <c r="A30" s="605"/>
      <c r="B30" s="415"/>
      <c r="C30" s="2127"/>
      <c r="D30" s="407"/>
      <c r="E30" s="2128"/>
      <c r="F30" s="407"/>
      <c r="G30" s="2128"/>
      <c r="H30" s="407"/>
      <c r="I30" s="2128"/>
      <c r="J30" s="407"/>
      <c r="K30" s="628"/>
      <c r="L30" s="2908"/>
      <c r="M30" s="2909"/>
      <c r="N30" s="2909"/>
      <c r="O30" s="2963"/>
      <c r="P30" s="3739"/>
      <c r="Q30" s="1493"/>
      <c r="R30" s="710"/>
      <c r="S30" s="711"/>
      <c r="T30" s="710"/>
      <c r="U30" s="711"/>
      <c r="V30" s="710"/>
      <c r="W30" s="711"/>
      <c r="X30" s="712"/>
      <c r="Y30" s="3739"/>
      <c r="Z30" s="55"/>
      <c r="AA30" s="1503">
        <v>1</v>
      </c>
      <c r="AB30" s="1503">
        <v>1</v>
      </c>
      <c r="AC30" s="1503">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3"/>
      <c r="M31" s="2907"/>
      <c r="N31" s="2907"/>
      <c r="O31" s="2965"/>
      <c r="P31" s="3739"/>
      <c r="Q31" s="1502" t="str">
        <f t="shared" si="8"/>
        <v>临街状况</v>
      </c>
      <c r="R31" s="714" t="s">
        <v>17</v>
      </c>
      <c r="S31" s="715">
        <f t="shared" ref="S31:S45" si="10">F31</f>
        <v>100</v>
      </c>
      <c r="T31" s="714" t="s">
        <v>17</v>
      </c>
      <c r="U31" s="715">
        <f t="shared" ref="U31:U45" si="11">H31</f>
        <v>100</v>
      </c>
      <c r="V31" s="714" t="s">
        <v>17</v>
      </c>
      <c r="W31" s="715">
        <f t="shared" ref="W31:W45" si="12">J31</f>
        <v>100</v>
      </c>
      <c r="X31" s="1505"/>
      <c r="Y31" s="3739"/>
      <c r="Z31" s="1506" t="str">
        <f t="shared" ref="Z31:Z45" si="13">Q31</f>
        <v>临街状况</v>
      </c>
      <c r="AA31" s="1503">
        <f t="shared" si="3"/>
        <v>1</v>
      </c>
      <c r="AB31" s="1503">
        <f t="shared" si="4"/>
        <v>1</v>
      </c>
      <c r="AC31" s="1503">
        <f t="shared" si="5"/>
        <v>1</v>
      </c>
    </row>
    <row r="32" spans="1:29" ht="27">
      <c r="A32" s="387"/>
      <c r="B32" s="1261"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3"/>
      <c r="M32" s="2907"/>
      <c r="N32" s="2907"/>
      <c r="O32" s="2965"/>
      <c r="P32" s="3739"/>
      <c r="Q32" s="1502" t="str">
        <f t="shared" si="8"/>
        <v>毗邻道路的类型与等级</v>
      </c>
      <c r="R32" s="714" t="s">
        <v>17</v>
      </c>
      <c r="S32" s="715">
        <f t="shared" si="10"/>
        <v>100</v>
      </c>
      <c r="T32" s="714" t="s">
        <v>17</v>
      </c>
      <c r="U32" s="715">
        <f t="shared" si="11"/>
        <v>100</v>
      </c>
      <c r="V32" s="714" t="s">
        <v>17</v>
      </c>
      <c r="W32" s="715">
        <f t="shared" si="12"/>
        <v>100</v>
      </c>
      <c r="X32" s="1505"/>
      <c r="Y32" s="3739"/>
      <c r="Z32" s="1506" t="str">
        <f t="shared" si="13"/>
        <v>毗邻道路的类型与等级</v>
      </c>
      <c r="AA32" s="1503">
        <f t="shared" si="3"/>
        <v>1</v>
      </c>
      <c r="AB32" s="1503">
        <f t="shared" si="4"/>
        <v>1</v>
      </c>
      <c r="AC32" s="1503">
        <f t="shared" si="5"/>
        <v>1</v>
      </c>
    </row>
    <row r="33" spans="1:29" ht="15">
      <c r="A33" s="387"/>
      <c r="B33" s="415"/>
      <c r="C33" s="406"/>
      <c r="D33" s="407"/>
      <c r="E33" s="2055"/>
      <c r="F33" s="407"/>
      <c r="G33" s="2055"/>
      <c r="H33" s="407"/>
      <c r="I33" s="406"/>
      <c r="J33" s="407"/>
      <c r="K33" s="570"/>
      <c r="L33" s="2913"/>
      <c r="M33" s="2907"/>
      <c r="N33" s="2907"/>
      <c r="O33" s="2965"/>
      <c r="P33" s="3739"/>
      <c r="Q33" s="1502"/>
      <c r="R33" s="714"/>
      <c r="S33" s="715"/>
      <c r="T33" s="714"/>
      <c r="U33" s="715"/>
      <c r="V33" s="714"/>
      <c r="W33" s="715"/>
      <c r="X33" s="1505"/>
      <c r="Y33" s="3739"/>
      <c r="Z33" s="1506"/>
      <c r="AA33" s="1503">
        <v>1</v>
      </c>
      <c r="AB33" s="1503">
        <v>1</v>
      </c>
      <c r="AC33" s="1503">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3"/>
      <c r="M34" s="2907"/>
      <c r="N34" s="2907"/>
      <c r="O34" s="2965"/>
      <c r="P34" s="3739"/>
      <c r="Q34" s="1502" t="str">
        <f t="shared" si="8"/>
        <v>土地级别</v>
      </c>
      <c r="R34" s="714" t="s">
        <v>17</v>
      </c>
      <c r="S34" s="715">
        <f t="shared" si="10"/>
        <v>100</v>
      </c>
      <c r="T34" s="714" t="s">
        <v>17</v>
      </c>
      <c r="U34" s="715">
        <f t="shared" si="11"/>
        <v>100</v>
      </c>
      <c r="V34" s="714" t="s">
        <v>17</v>
      </c>
      <c r="W34" s="715">
        <f t="shared" si="12"/>
        <v>100</v>
      </c>
      <c r="X34" s="1505"/>
      <c r="Y34" s="3739"/>
      <c r="Z34" s="1506" t="str">
        <f t="shared" si="13"/>
        <v>土地级别</v>
      </c>
      <c r="AA34" s="1503">
        <f t="shared" si="3"/>
        <v>1</v>
      </c>
      <c r="AB34" s="1503">
        <f t="shared" si="4"/>
        <v>1</v>
      </c>
      <c r="AC34" s="1503">
        <f t="shared" si="5"/>
        <v>1</v>
      </c>
    </row>
    <row r="35" spans="1:29" ht="15">
      <c r="A35" s="364"/>
      <c r="B35" s="126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3"/>
      <c r="M35" s="2907"/>
      <c r="N35" s="2907"/>
      <c r="O35" s="2965"/>
      <c r="P35" s="3739"/>
      <c r="Q35" s="1502">
        <f t="shared" si="8"/>
        <v>111</v>
      </c>
      <c r="R35" s="714" t="s">
        <v>17</v>
      </c>
      <c r="S35" s="715">
        <f t="shared" si="10"/>
        <v>100</v>
      </c>
      <c r="T35" s="714" t="s">
        <v>17</v>
      </c>
      <c r="U35" s="715">
        <f t="shared" si="11"/>
        <v>100</v>
      </c>
      <c r="V35" s="714" t="s">
        <v>17</v>
      </c>
      <c r="W35" s="715">
        <f t="shared" si="12"/>
        <v>100</v>
      </c>
      <c r="X35" s="1505"/>
      <c r="Y35" s="3739"/>
      <c r="Z35" s="1506">
        <f t="shared" si="13"/>
        <v>111</v>
      </c>
      <c r="AA35" s="1503">
        <f t="shared" si="3"/>
        <v>1</v>
      </c>
      <c r="AB35" s="1503">
        <f t="shared" si="4"/>
        <v>1</v>
      </c>
      <c r="AC35" s="1503">
        <f t="shared" si="5"/>
        <v>1</v>
      </c>
    </row>
    <row r="36" spans="1:29" ht="15">
      <c r="A36" s="631"/>
      <c r="B36" s="126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3"/>
      <c r="M36" s="2907"/>
      <c r="N36" s="2907"/>
      <c r="O36" s="2965"/>
      <c r="P36" s="3796" t="s">
        <v>2324</v>
      </c>
      <c r="Q36" s="1502">
        <f t="shared" si="8"/>
        <v>111</v>
      </c>
      <c r="R36" s="714" t="s">
        <v>17</v>
      </c>
      <c r="S36" s="715">
        <f t="shared" si="10"/>
        <v>100</v>
      </c>
      <c r="T36" s="714" t="s">
        <v>17</v>
      </c>
      <c r="U36" s="715">
        <f t="shared" si="11"/>
        <v>100</v>
      </c>
      <c r="V36" s="714" t="s">
        <v>17</v>
      </c>
      <c r="W36" s="715">
        <f t="shared" si="12"/>
        <v>100</v>
      </c>
      <c r="X36" s="1505"/>
      <c r="Y36" s="3743" t="s">
        <v>2324</v>
      </c>
      <c r="Z36" s="1506">
        <f t="shared" si="13"/>
        <v>111</v>
      </c>
      <c r="AA36" s="1503">
        <f t="shared" si="3"/>
        <v>1</v>
      </c>
      <c r="AB36" s="1503">
        <f t="shared" si="4"/>
        <v>1</v>
      </c>
      <c r="AC36" s="1503">
        <f t="shared" si="5"/>
        <v>1</v>
      </c>
    </row>
    <row r="37" spans="1:29" s="430" customFormat="1" ht="15.75" thickBot="1">
      <c r="A37" s="632"/>
      <c r="B37" s="126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2"/>
      <c r="M37" s="2914"/>
      <c r="N37" s="2914"/>
      <c r="O37" s="2966"/>
      <c r="P37" s="3743"/>
      <c r="Q37" s="1502">
        <f t="shared" si="8"/>
        <v>111</v>
      </c>
      <c r="R37" s="717" t="s">
        <v>17</v>
      </c>
      <c r="S37" s="718">
        <f t="shared" si="10"/>
        <v>100</v>
      </c>
      <c r="T37" s="717" t="s">
        <v>17</v>
      </c>
      <c r="U37" s="718">
        <f t="shared" si="11"/>
        <v>100</v>
      </c>
      <c r="V37" s="717" t="s">
        <v>17</v>
      </c>
      <c r="W37" s="718">
        <f t="shared" si="12"/>
        <v>100</v>
      </c>
      <c r="X37" s="719"/>
      <c r="Y37" s="3743"/>
      <c r="Z37" s="720">
        <f t="shared" si="13"/>
        <v>111</v>
      </c>
      <c r="AA37" s="1503">
        <f t="shared" si="3"/>
        <v>1</v>
      </c>
      <c r="AB37" s="1503">
        <f t="shared" si="4"/>
        <v>1</v>
      </c>
      <c r="AC37" s="1503">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3"/>
      <c r="M38" s="2907"/>
      <c r="N38" s="2907"/>
      <c r="O38" s="2965"/>
      <c r="P38" s="3743"/>
      <c r="Q38" s="1502" t="str">
        <f>B38</f>
        <v>宗地面积</v>
      </c>
      <c r="R38" s="714" t="s">
        <v>17</v>
      </c>
      <c r="S38" s="715" t="e">
        <f t="shared" si="10"/>
        <v>#N/A</v>
      </c>
      <c r="T38" s="714" t="s">
        <v>17</v>
      </c>
      <c r="U38" s="715" t="e">
        <f t="shared" si="11"/>
        <v>#N/A</v>
      </c>
      <c r="V38" s="714" t="s">
        <v>17</v>
      </c>
      <c r="W38" s="715" t="e">
        <f t="shared" si="12"/>
        <v>#N/A</v>
      </c>
      <c r="X38" s="1505"/>
      <c r="Y38" s="3743"/>
      <c r="Z38" s="1506" t="str">
        <f t="shared" si="13"/>
        <v>宗地面积</v>
      </c>
      <c r="AA38" s="1503" t="e">
        <f t="shared" si="3"/>
        <v>#N/A</v>
      </c>
      <c r="AB38" s="1503" t="e">
        <f t="shared" si="4"/>
        <v>#N/A</v>
      </c>
      <c r="AC38" s="1503" t="e">
        <f t="shared" si="5"/>
        <v>#N/A</v>
      </c>
    </row>
    <row r="39" spans="1:29" ht="15">
      <c r="A39" s="431"/>
      <c r="B39" s="381" t="s">
        <v>2511</v>
      </c>
      <c r="C39" s="2057"/>
      <c r="D39" s="394">
        <v>100</v>
      </c>
      <c r="E39" s="2057"/>
      <c r="F39" s="394">
        <f>SUMIF(119:119,E39,120:120)-SUMIF(119:119,C39,120:120)+100</f>
        <v>100</v>
      </c>
      <c r="G39" s="2057"/>
      <c r="H39" s="394">
        <f>SUMIF(119:119,G39,120:120)-SUMIF(119:119,C39,120:120)+100</f>
        <v>100</v>
      </c>
      <c r="I39" s="2057"/>
      <c r="J39" s="394">
        <f>SUMIF(119:119,I39,120:120)-SUMIF(119:119,C39,120:120)+100</f>
        <v>100</v>
      </c>
      <c r="K39" s="569"/>
      <c r="L39" s="2913"/>
      <c r="M39" s="2907"/>
      <c r="N39" s="2907"/>
      <c r="O39" s="2965"/>
      <c r="P39" s="3743"/>
      <c r="Q39" s="1502" t="str">
        <f t="shared" ref="Q39:Q45" si="14">B39</f>
        <v>宗地形状</v>
      </c>
      <c r="R39" s="714" t="s">
        <v>17</v>
      </c>
      <c r="S39" s="715">
        <f t="shared" si="10"/>
        <v>100</v>
      </c>
      <c r="T39" s="714" t="s">
        <v>17</v>
      </c>
      <c r="U39" s="715">
        <f t="shared" si="11"/>
        <v>100</v>
      </c>
      <c r="V39" s="714" t="s">
        <v>17</v>
      </c>
      <c r="W39" s="715">
        <f t="shared" si="12"/>
        <v>100</v>
      </c>
      <c r="X39" s="1505"/>
      <c r="Y39" s="3743"/>
      <c r="Z39" s="1506" t="str">
        <f t="shared" si="13"/>
        <v>宗地形状</v>
      </c>
      <c r="AA39" s="1503">
        <f t="shared" si="3"/>
        <v>1</v>
      </c>
      <c r="AB39" s="1503">
        <f t="shared" si="4"/>
        <v>1</v>
      </c>
      <c r="AC39" s="1503">
        <f t="shared" si="5"/>
        <v>1</v>
      </c>
    </row>
    <row r="40" spans="1:29" ht="15">
      <c r="A40" s="431"/>
      <c r="B40" s="381" t="s">
        <v>2512</v>
      </c>
      <c r="C40" s="2057"/>
      <c r="D40" s="394">
        <v>100</v>
      </c>
      <c r="E40" s="2057"/>
      <c r="F40" s="394">
        <f>SUMIF(121:121,E40,122:122)-SUMIF(121:121,C40,122:122)+100</f>
        <v>100</v>
      </c>
      <c r="G40" s="2057"/>
      <c r="H40" s="394">
        <f>SUMIF(121:121,G40,122:122)-SUMIF(121:121,C40,122:122)+100</f>
        <v>100</v>
      </c>
      <c r="I40" s="2057"/>
      <c r="J40" s="394">
        <f>SUMIF(121:121,I40,122:122)-SUMIF(121:121,C40,122:122)+100</f>
        <v>100</v>
      </c>
      <c r="K40" s="569"/>
      <c r="L40" s="2913"/>
      <c r="M40" s="2907"/>
      <c r="N40" s="2907"/>
      <c r="O40" s="2965"/>
      <c r="P40" s="3743"/>
      <c r="Q40" s="1502" t="str">
        <f t="shared" si="14"/>
        <v>临街宽度及深度</v>
      </c>
      <c r="R40" s="714" t="s">
        <v>17</v>
      </c>
      <c r="S40" s="715">
        <f t="shared" si="10"/>
        <v>100</v>
      </c>
      <c r="T40" s="714" t="s">
        <v>17</v>
      </c>
      <c r="U40" s="715">
        <f t="shared" si="11"/>
        <v>100</v>
      </c>
      <c r="V40" s="714" t="s">
        <v>17</v>
      </c>
      <c r="W40" s="715">
        <f t="shared" si="12"/>
        <v>100</v>
      </c>
      <c r="X40" s="1505"/>
      <c r="Y40" s="3743"/>
      <c r="Z40" s="1506" t="str">
        <f t="shared" si="13"/>
        <v>临街宽度及深度</v>
      </c>
      <c r="AA40" s="1503">
        <f t="shared" si="3"/>
        <v>1</v>
      </c>
      <c r="AB40" s="1503">
        <f t="shared" si="4"/>
        <v>1</v>
      </c>
      <c r="AC40" s="1503">
        <f t="shared" si="5"/>
        <v>1</v>
      </c>
    </row>
    <row r="41" spans="1:29" s="113" customFormat="1" ht="15">
      <c r="A41" s="432"/>
      <c r="B41" s="381" t="s">
        <v>2513</v>
      </c>
      <c r="C41" s="2129"/>
      <c r="D41" s="132">
        <v>100</v>
      </c>
      <c r="E41" s="2129"/>
      <c r="F41" s="394">
        <f>SUMIF(123:123,E41,124:124)-SUMIF(123:123,C41,124:124)+100</f>
        <v>100</v>
      </c>
      <c r="G41" s="2129"/>
      <c r="H41" s="394">
        <f>SUMIF(123:123,G41,124:124)-SUMIF(123:123,C41,124:124)+100</f>
        <v>100</v>
      </c>
      <c r="I41" s="2129"/>
      <c r="J41" s="394">
        <f>SUMIF(123:123,I41,124:124)-SUMIF(123:123,C41,124:124)+100</f>
        <v>100</v>
      </c>
      <c r="K41" s="569"/>
      <c r="L41" s="2908"/>
      <c r="M41" s="2909"/>
      <c r="N41" s="2909"/>
      <c r="O41" s="2963"/>
      <c r="P41" s="3743"/>
      <c r="Q41" s="1502" t="str">
        <f t="shared" si="14"/>
        <v>宗地开发程度</v>
      </c>
      <c r="R41" s="710" t="s">
        <v>17</v>
      </c>
      <c r="S41" s="711">
        <f t="shared" si="10"/>
        <v>100</v>
      </c>
      <c r="T41" s="710" t="s">
        <v>17</v>
      </c>
      <c r="U41" s="711">
        <f t="shared" si="11"/>
        <v>100</v>
      </c>
      <c r="V41" s="710" t="s">
        <v>17</v>
      </c>
      <c r="W41" s="711">
        <f t="shared" si="12"/>
        <v>100</v>
      </c>
      <c r="X41" s="712"/>
      <c r="Y41" s="3743"/>
      <c r="Z41" s="55" t="str">
        <f t="shared" si="13"/>
        <v>宗地开发程度</v>
      </c>
      <c r="AA41" s="713">
        <f t="shared" si="3"/>
        <v>1</v>
      </c>
      <c r="AB41" s="713">
        <f t="shared" si="4"/>
        <v>1</v>
      </c>
      <c r="AC41" s="713">
        <f t="shared" si="5"/>
        <v>1</v>
      </c>
    </row>
    <row r="42" spans="1:29" ht="15">
      <c r="A42" s="431"/>
      <c r="B42" s="381" t="s">
        <v>2514</v>
      </c>
      <c r="C42" s="2057"/>
      <c r="D42" s="394">
        <v>100</v>
      </c>
      <c r="E42" s="2057"/>
      <c r="F42" s="394">
        <f>SUMIF(125:125,E42,126:126)-SUMIF(125:125,C42,126:126)+100</f>
        <v>100</v>
      </c>
      <c r="G42" s="2057"/>
      <c r="H42" s="394">
        <f>SUMIF(125:125,G42,126:126)-SUMIF(125:125,C42,126:126)+100</f>
        <v>100</v>
      </c>
      <c r="I42" s="2057"/>
      <c r="J42" s="394">
        <f>SUMIF(125:125,I42,126:126)-SUMIF(125:125,C42,126:126)+100</f>
        <v>100</v>
      </c>
      <c r="K42" s="569"/>
      <c r="L42" s="2913"/>
      <c r="M42" s="2907"/>
      <c r="N42" s="2907"/>
      <c r="O42" s="2965"/>
      <c r="P42" s="3743" t="s">
        <v>2324</v>
      </c>
      <c r="Q42" s="1502" t="str">
        <f t="shared" si="14"/>
        <v>工程地质条件</v>
      </c>
      <c r="R42" s="714" t="s">
        <v>17</v>
      </c>
      <c r="S42" s="715">
        <f t="shared" si="10"/>
        <v>100</v>
      </c>
      <c r="T42" s="714" t="s">
        <v>17</v>
      </c>
      <c r="U42" s="715">
        <f t="shared" si="11"/>
        <v>100</v>
      </c>
      <c r="V42" s="714" t="s">
        <v>17</v>
      </c>
      <c r="W42" s="715">
        <f t="shared" si="12"/>
        <v>100</v>
      </c>
      <c r="X42" s="1505"/>
      <c r="Y42" s="3743" t="s">
        <v>2324</v>
      </c>
      <c r="Z42" s="1506" t="str">
        <f t="shared" si="13"/>
        <v>工程地质条件</v>
      </c>
      <c r="AA42" s="1503">
        <f t="shared" si="3"/>
        <v>1</v>
      </c>
      <c r="AB42" s="1503">
        <f t="shared" si="4"/>
        <v>1</v>
      </c>
      <c r="AC42" s="1503">
        <f t="shared" si="5"/>
        <v>1</v>
      </c>
    </row>
    <row r="43" spans="1:29" ht="15">
      <c r="A43" s="431"/>
      <c r="B43" s="126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3"/>
      <c r="M43" s="2907"/>
      <c r="N43" s="2907"/>
      <c r="O43" s="2965"/>
      <c r="P43" s="3743"/>
      <c r="Q43" s="1502">
        <f t="shared" si="14"/>
        <v>111</v>
      </c>
      <c r="R43" s="714" t="s">
        <v>17</v>
      </c>
      <c r="S43" s="715">
        <f t="shared" si="10"/>
        <v>100</v>
      </c>
      <c r="T43" s="714" t="s">
        <v>17</v>
      </c>
      <c r="U43" s="715">
        <f t="shared" si="11"/>
        <v>100</v>
      </c>
      <c r="V43" s="714" t="s">
        <v>17</v>
      </c>
      <c r="W43" s="715">
        <f t="shared" si="12"/>
        <v>100</v>
      </c>
      <c r="X43" s="1505"/>
      <c r="Y43" s="3743"/>
      <c r="Z43" s="1506">
        <f t="shared" si="13"/>
        <v>111</v>
      </c>
      <c r="AA43" s="1503">
        <f t="shared" si="3"/>
        <v>1</v>
      </c>
      <c r="AB43" s="1503">
        <f t="shared" si="4"/>
        <v>1</v>
      </c>
      <c r="AC43" s="1503">
        <f t="shared" si="5"/>
        <v>1</v>
      </c>
    </row>
    <row r="44" spans="1:29" ht="15">
      <c r="A44" s="431"/>
      <c r="B44" s="126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3"/>
      <c r="M44" s="2907"/>
      <c r="N44" s="2907"/>
      <c r="O44" s="2965"/>
      <c r="P44" s="3743"/>
      <c r="Q44" s="1502">
        <f t="shared" si="14"/>
        <v>111</v>
      </c>
      <c r="R44" s="714" t="s">
        <v>17</v>
      </c>
      <c r="S44" s="715">
        <f t="shared" si="10"/>
        <v>100</v>
      </c>
      <c r="T44" s="714" t="s">
        <v>17</v>
      </c>
      <c r="U44" s="715">
        <f t="shared" si="11"/>
        <v>100</v>
      </c>
      <c r="V44" s="714" t="s">
        <v>17</v>
      </c>
      <c r="W44" s="715">
        <f t="shared" si="12"/>
        <v>100</v>
      </c>
      <c r="X44" s="1505"/>
      <c r="Y44" s="3743"/>
      <c r="Z44" s="1506">
        <f t="shared" si="13"/>
        <v>111</v>
      </c>
      <c r="AA44" s="1503">
        <f t="shared" si="3"/>
        <v>1</v>
      </c>
      <c r="AB44" s="1503">
        <f t="shared" si="4"/>
        <v>1</v>
      </c>
      <c r="AC44" s="1503">
        <f t="shared" si="5"/>
        <v>1</v>
      </c>
    </row>
    <row r="45" spans="1:29" s="430" customFormat="1" ht="15.75" thickBot="1">
      <c r="A45" s="427"/>
      <c r="B45" s="1264">
        <v>111</v>
      </c>
      <c r="C45" s="2130"/>
      <c r="D45" s="636">
        <v>100</v>
      </c>
      <c r="E45" s="630"/>
      <c r="F45" s="397">
        <f>SUMIF(131:131,E45,132:132)-SUMIF(131:131,C45,132:132)+100</f>
        <v>100</v>
      </c>
      <c r="G45" s="630"/>
      <c r="H45" s="397">
        <f>SUMIF(131:131,G45,132:132)-SUMIF(131:131,C45,132:132)+100</f>
        <v>100</v>
      </c>
      <c r="I45" s="630"/>
      <c r="J45" s="397">
        <f>SUMIF(131:131,I45,132:132)-SUMIF(131:131,C45,132:132)+100</f>
        <v>100</v>
      </c>
      <c r="K45" s="637"/>
      <c r="L45" s="2912"/>
      <c r="M45" s="2914"/>
      <c r="N45" s="2914"/>
      <c r="O45" s="2966"/>
      <c r="P45" s="3743"/>
      <c r="Q45" s="1502">
        <f t="shared" si="14"/>
        <v>111</v>
      </c>
      <c r="R45" s="717" t="s">
        <v>17</v>
      </c>
      <c r="S45" s="718">
        <f t="shared" si="10"/>
        <v>100</v>
      </c>
      <c r="T45" s="717" t="s">
        <v>17</v>
      </c>
      <c r="U45" s="718">
        <f t="shared" si="11"/>
        <v>100</v>
      </c>
      <c r="V45" s="717" t="s">
        <v>17</v>
      </c>
      <c r="W45" s="718">
        <f t="shared" si="12"/>
        <v>100</v>
      </c>
      <c r="X45" s="719"/>
      <c r="Y45" s="3743"/>
      <c r="Z45" s="720">
        <f t="shared" si="13"/>
        <v>111</v>
      </c>
      <c r="AA45" s="1503">
        <f t="shared" si="3"/>
        <v>1</v>
      </c>
      <c r="AB45" s="1503">
        <f t="shared" si="4"/>
        <v>1</v>
      </c>
      <c r="AC45" s="1503">
        <f t="shared" si="5"/>
        <v>1</v>
      </c>
    </row>
    <row r="46" spans="1:29" ht="15">
      <c r="A46" s="438" t="s">
        <v>2479</v>
      </c>
      <c r="B46" s="2131" t="s">
        <v>2515</v>
      </c>
      <c r="C46" s="638" t="s">
        <v>1</v>
      </c>
      <c r="D46" s="440"/>
      <c r="E46" s="441"/>
      <c r="F46" s="442"/>
      <c r="G46" s="443"/>
      <c r="H46" s="444"/>
      <c r="I46" s="441"/>
      <c r="J46" s="444"/>
      <c r="K46" s="723"/>
      <c r="L46" s="2915"/>
      <c r="M46" s="2916"/>
      <c r="N46" s="2907"/>
      <c r="O46" s="2916"/>
      <c r="P46" s="3736" t="str">
        <f>A46</f>
        <v>成交单价</v>
      </c>
      <c r="Q46" s="3736"/>
      <c r="R46" s="3767">
        <f>E46</f>
        <v>0</v>
      </c>
      <c r="S46" s="3767"/>
      <c r="T46" s="3767">
        <f>G46</f>
        <v>0</v>
      </c>
      <c r="U46" s="3767"/>
      <c r="V46" s="3767">
        <f>I46</f>
        <v>0</v>
      </c>
      <c r="W46" s="3767"/>
      <c r="X46" s="699"/>
      <c r="Y46" s="721"/>
      <c r="Z46" s="699"/>
      <c r="AA46" s="699"/>
      <c r="AB46" s="699"/>
      <c r="AC46" s="699"/>
    </row>
    <row r="47" spans="1:29" ht="15.75" thickBot="1">
      <c r="A47" s="445" t="s">
        <v>2428</v>
      </c>
      <c r="B47" s="639"/>
      <c r="C47" s="448" t="e">
        <f>R48</f>
        <v>#DIV/0!</v>
      </c>
      <c r="D47" s="2501" t="s">
        <v>2819</v>
      </c>
      <c r="E47" s="448" t="e">
        <f>R47</f>
        <v>#DIV/0!</v>
      </c>
      <c r="F47" s="2502"/>
      <c r="G47" s="447" t="e">
        <f>T47</f>
        <v>#DIV/0!</v>
      </c>
      <c r="H47" s="2502"/>
      <c r="I47" s="448" t="e">
        <f>V47</f>
        <v>#DIV/0!</v>
      </c>
      <c r="J47" s="2502"/>
      <c r="K47" s="2504">
        <f>F47+H47+J47</f>
        <v>0</v>
      </c>
      <c r="L47" s="2915"/>
      <c r="M47" s="2916"/>
      <c r="N47" s="2916"/>
      <c r="O47" s="2916"/>
      <c r="P47" s="3736" t="str">
        <f>A47</f>
        <v>比较价值（元/平方米）</v>
      </c>
      <c r="Q47" s="3736"/>
      <c r="R47" s="3798" t="e">
        <f>ROUND(PRODUCT(R46,AA7:AA45),0)</f>
        <v>#DIV/0!</v>
      </c>
      <c r="S47" s="3798"/>
      <c r="T47" s="3798" t="e">
        <f>ROUND(PRODUCT(T46,AB7:AB45),0)</f>
        <v>#DIV/0!</v>
      </c>
      <c r="U47" s="3798"/>
      <c r="V47" s="3798" t="e">
        <f>ROUND(PRODUCT(V46,AC7:AC45),0)</f>
        <v>#DIV/0!</v>
      </c>
      <c r="W47" s="3798"/>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15"/>
      <c r="M48" s="2916"/>
      <c r="N48" s="2916"/>
      <c r="O48" s="2916"/>
      <c r="P48" s="3733" t="str">
        <f>A48</f>
        <v>估价对象XX用房的比较价值（楼面单价，元/平方米）</v>
      </c>
      <c r="Q48" s="3734"/>
      <c r="R48" s="3799" t="e">
        <f>ROUND(IF(D47="简单平均",AVERAGE(R47:W47),R47*F47+T47*H47+V47*J47),0)</f>
        <v>#DIV/0!</v>
      </c>
      <c r="S48" s="3799"/>
      <c r="T48" s="3799"/>
      <c r="U48" s="3799"/>
      <c r="V48" s="3799"/>
      <c r="W48" s="3799"/>
      <c r="X48" s="699"/>
      <c r="Y48" s="699"/>
      <c r="Z48" s="699"/>
      <c r="AA48" s="699"/>
      <c r="AB48" s="699"/>
      <c r="AC48" s="699"/>
    </row>
    <row r="49" spans="1:29">
      <c r="A49" s="2916"/>
      <c r="B49" s="2916"/>
      <c r="C49" s="2916"/>
      <c r="D49" s="2916"/>
      <c r="E49" s="2916"/>
      <c r="F49" s="2916"/>
      <c r="G49" s="2920"/>
      <c r="H49" s="2916"/>
      <c r="I49" s="2916"/>
      <c r="J49" s="2916"/>
      <c r="K49" s="2921"/>
      <c r="L49" s="2917"/>
      <c r="M49" s="2916"/>
      <c r="N49" s="2916"/>
      <c r="O49" s="2916"/>
      <c r="P49" s="2916"/>
      <c r="Q49" s="2916"/>
      <c r="R49" s="2916"/>
      <c r="S49" s="2916"/>
      <c r="T49" s="2916"/>
      <c r="U49" s="2916"/>
      <c r="V49" s="2916"/>
      <c r="W49" s="2916"/>
      <c r="X49" s="2916"/>
      <c r="Y49" s="2916"/>
      <c r="Z49" s="2916"/>
      <c r="AA49" s="2916"/>
      <c r="AB49" s="2916"/>
      <c r="AC49" s="2916"/>
    </row>
    <row r="50" spans="1:29">
      <c r="A50" s="2916"/>
      <c r="B50" s="2916"/>
      <c r="C50" s="2916"/>
      <c r="D50" s="2916"/>
      <c r="E50" s="2916"/>
      <c r="F50" s="2916"/>
      <c r="G50" s="2916"/>
      <c r="H50" s="2916"/>
      <c r="I50" s="2916"/>
      <c r="J50" s="2916"/>
      <c r="K50" s="2921"/>
      <c r="L50" s="2917"/>
      <c r="M50" s="2916"/>
      <c r="N50" s="2916"/>
      <c r="O50" s="2916"/>
      <c r="P50" s="2916"/>
      <c r="Q50" s="2916"/>
      <c r="R50" s="2916"/>
      <c r="S50" s="2916"/>
      <c r="T50" s="2916"/>
      <c r="U50" s="2916"/>
      <c r="V50" s="2916"/>
      <c r="W50" s="2916"/>
      <c r="X50" s="2916"/>
      <c r="Y50" s="2916"/>
      <c r="Z50" s="2916"/>
      <c r="AA50" s="2916"/>
      <c r="AB50" s="2916"/>
      <c r="AC50" s="2916"/>
    </row>
    <row r="51" spans="1:29" ht="13.5" customHeight="1">
      <c r="A51" s="2916"/>
      <c r="B51" s="2916"/>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1"/>
      <c r="L51" s="2917"/>
      <c r="M51" s="2916"/>
      <c r="N51" s="2916"/>
      <c r="O51" s="2916"/>
      <c r="P51" s="2916"/>
      <c r="Q51" s="2916"/>
      <c r="R51" s="2916"/>
      <c r="S51" s="2916"/>
      <c r="T51" s="2916"/>
      <c r="U51" s="2916"/>
      <c r="V51" s="2916"/>
      <c r="W51" s="2916"/>
      <c r="X51" s="2916"/>
      <c r="Y51" s="2916"/>
      <c r="Z51" s="2916"/>
      <c r="AA51" s="2916"/>
      <c r="AB51" s="2916"/>
      <c r="AC51" s="2916"/>
    </row>
    <row r="52" spans="1:29" ht="13.5" customHeight="1">
      <c r="A52" s="2916"/>
      <c r="B52" s="2916"/>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1"/>
      <c r="L52" s="2917"/>
      <c r="M52" s="2916"/>
      <c r="N52" s="2916"/>
      <c r="O52" s="2916"/>
      <c r="P52" s="2916"/>
      <c r="Q52" s="2916"/>
      <c r="R52" s="2916"/>
      <c r="S52" s="2916"/>
      <c r="T52" s="2916"/>
      <c r="U52" s="2916"/>
      <c r="V52" s="2916"/>
      <c r="W52" s="2916"/>
      <c r="X52" s="2916"/>
      <c r="Y52" s="2916"/>
      <c r="Z52" s="2916"/>
      <c r="AA52" s="2916"/>
      <c r="AB52" s="2916"/>
      <c r="AC52" s="2916"/>
    </row>
    <row r="53" spans="1:29" s="459" customFormat="1" ht="13.5" customHeight="1">
      <c r="A53" s="2919"/>
      <c r="B53" s="2919"/>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4"/>
      <c r="L53" s="2918"/>
      <c r="M53" s="2919"/>
      <c r="N53" s="2919"/>
      <c r="O53" s="2919"/>
      <c r="P53" s="2919"/>
      <c r="Q53" s="2919"/>
      <c r="R53" s="2919"/>
      <c r="S53" s="2919"/>
      <c r="T53" s="2919"/>
      <c r="U53" s="2919"/>
      <c r="V53" s="2919"/>
      <c r="W53" s="2919"/>
      <c r="X53" s="2919"/>
      <c r="Y53" s="2919"/>
      <c r="Z53" s="2919"/>
      <c r="AA53" s="2919"/>
      <c r="AB53" s="2919"/>
      <c r="AC53" s="2919"/>
    </row>
    <row r="54" spans="1:29" s="459" customFormat="1" ht="15" thickBot="1">
      <c r="A54" s="2919"/>
      <c r="B54" s="2922"/>
      <c r="C54" s="702"/>
      <c r="D54" s="700"/>
      <c r="E54" s="700"/>
      <c r="F54" s="700"/>
      <c r="G54" s="700"/>
      <c r="H54" s="700"/>
      <c r="I54" s="700"/>
      <c r="J54" s="700"/>
      <c r="K54" s="2924"/>
      <c r="L54" s="2918"/>
      <c r="M54" s="2919"/>
      <c r="N54" s="2919"/>
      <c r="O54" s="2919"/>
      <c r="P54" s="2919"/>
      <c r="Q54" s="2919"/>
      <c r="R54" s="2919"/>
      <c r="S54" s="2919"/>
      <c r="T54" s="2919"/>
      <c r="U54" s="2919"/>
      <c r="V54" s="2919"/>
      <c r="W54" s="2919"/>
      <c r="X54" s="2919"/>
      <c r="Y54" s="2919"/>
      <c r="Z54" s="2919"/>
      <c r="AA54" s="2919"/>
      <c r="AB54" s="2919"/>
      <c r="AC54" s="2919"/>
    </row>
    <row r="55" spans="1:29" ht="27" customHeight="1">
      <c r="A55" s="640" t="s">
        <v>2517</v>
      </c>
      <c r="B55" s="641" t="s">
        <v>2518</v>
      </c>
      <c r="C55" s="2132" t="s">
        <v>2519</v>
      </c>
      <c r="D55" s="2133" t="s">
        <v>2520</v>
      </c>
      <c r="E55" s="642" t="s">
        <v>2521</v>
      </c>
      <c r="F55" s="1017" t="s">
        <v>2522</v>
      </c>
      <c r="G55" s="3751" t="s">
        <v>2523</v>
      </c>
      <c r="H55" s="3800"/>
      <c r="I55" s="140" t="s">
        <v>2524</v>
      </c>
      <c r="J55" s="2134">
        <f>项目基本情况!F35</f>
        <v>0</v>
      </c>
      <c r="K55" s="2135" t="s">
        <v>2525</v>
      </c>
      <c r="L55" s="2917"/>
      <c r="M55" s="2916"/>
      <c r="N55" s="2916"/>
      <c r="O55" s="2916"/>
      <c r="P55" s="2916"/>
      <c r="Q55" s="2916"/>
      <c r="R55" s="2916"/>
      <c r="S55" s="2916"/>
      <c r="T55" s="2916"/>
      <c r="U55" s="2916"/>
      <c r="V55" s="2916"/>
      <c r="W55" s="2916"/>
      <c r="X55" s="2916"/>
      <c r="Y55" s="2916"/>
      <c r="Z55" s="2916"/>
      <c r="AA55" s="2916"/>
      <c r="AB55" s="2916"/>
      <c r="AC55" s="2916"/>
    </row>
    <row r="56" spans="1:29" s="648" customFormat="1">
      <c r="A56" s="644" t="s">
        <v>2526</v>
      </c>
      <c r="B56" s="645" t="e">
        <f>C48</f>
        <v>#DIV/0!</v>
      </c>
      <c r="C56" s="646">
        <v>1</v>
      </c>
      <c r="D56" s="1071">
        <v>1</v>
      </c>
      <c r="E56" s="646">
        <f>'数据-汇总表'!E8+'数据-汇总表'!E9</f>
        <v>63823.659999999953</v>
      </c>
      <c r="F56" s="1013" t="e">
        <f t="shared" ref="F56:F65" si="15">ROUND(B56*E56/10000,0)</f>
        <v>#DIV/0!</v>
      </c>
      <c r="G56" s="3747"/>
      <c r="H56" s="3736"/>
      <c r="I56" s="1018">
        <v>1</v>
      </c>
      <c r="J56" s="1021">
        <v>1</v>
      </c>
      <c r="K56" s="2919"/>
      <c r="L56" s="2973"/>
      <c r="M56" s="2973"/>
      <c r="N56" s="2973"/>
      <c r="O56" s="2973"/>
      <c r="P56" s="2973"/>
      <c r="Q56" s="2973"/>
      <c r="R56" s="2973"/>
      <c r="S56" s="2973"/>
      <c r="T56" s="2973"/>
      <c r="U56" s="2973"/>
      <c r="V56" s="2973"/>
      <c r="W56" s="2973"/>
      <c r="X56" s="2973"/>
      <c r="Y56" s="2973"/>
      <c r="Z56" s="2973"/>
      <c r="AA56" s="2973"/>
      <c r="AB56" s="2973"/>
      <c r="AC56" s="2973"/>
    </row>
    <row r="57" spans="1:29" s="648" customFormat="1">
      <c r="A57" s="649" t="s">
        <v>2527</v>
      </c>
      <c r="B57" s="224" t="e">
        <f>ROUND($C$48*C57*D57,0)</f>
        <v>#DIV/0!</v>
      </c>
      <c r="C57" s="176">
        <f t="shared" ref="C57:C65" si="16">IF($C$55="北京市系数",I57,J57)</f>
        <v>0.7</v>
      </c>
      <c r="D57" s="1072">
        <v>0.25</v>
      </c>
      <c r="E57" s="650"/>
      <c r="F57" s="1013" t="e">
        <f t="shared" si="15"/>
        <v>#DIV/0!</v>
      </c>
      <c r="G57" s="3801" t="s">
        <v>2528</v>
      </c>
      <c r="H57" s="1014" t="str">
        <f>项目基本情况!B37</f>
        <v>七级</v>
      </c>
      <c r="I57" s="1018">
        <f>SUMIF(修正!A45:A56,H57,修正!B45:B56)</f>
        <v>0.7</v>
      </c>
      <c r="J57" s="1022"/>
      <c r="K57" s="2916"/>
      <c r="L57" s="2973"/>
      <c r="M57" s="2973"/>
      <c r="N57" s="2973"/>
      <c r="O57" s="2973"/>
      <c r="P57" s="2973"/>
      <c r="Q57" s="2973"/>
      <c r="R57" s="2973"/>
      <c r="S57" s="2973"/>
      <c r="T57" s="2973"/>
      <c r="U57" s="2973"/>
      <c r="V57" s="2973"/>
      <c r="W57" s="2973"/>
      <c r="X57" s="2973"/>
      <c r="Y57" s="2973"/>
      <c r="Z57" s="2973"/>
      <c r="AA57" s="2973"/>
      <c r="AB57" s="2973"/>
      <c r="AC57" s="2973"/>
    </row>
    <row r="58" spans="1:29" s="648" customFormat="1">
      <c r="A58" s="649" t="s">
        <v>2529</v>
      </c>
      <c r="B58" s="224" t="e">
        <f t="shared" ref="B58:B65" si="17">ROUND($C$48*C58*D58,0)</f>
        <v>#DIV/0!</v>
      </c>
      <c r="C58" s="176">
        <f t="shared" si="16"/>
        <v>0.4</v>
      </c>
      <c r="D58" s="1072">
        <v>0.25</v>
      </c>
      <c r="E58" s="650"/>
      <c r="F58" s="1013" t="e">
        <f t="shared" si="15"/>
        <v>#DIV/0!</v>
      </c>
      <c r="G58" s="3801"/>
      <c r="H58" s="1014" t="str">
        <f>项目基本情况!B37</f>
        <v>七级</v>
      </c>
      <c r="I58" s="1018">
        <f>SUMIF(修正!A45:A56,H58,修正!C45:C56)</f>
        <v>0.4</v>
      </c>
      <c r="J58" s="1022"/>
      <c r="K58" s="2919"/>
      <c r="L58" s="2973"/>
      <c r="M58" s="2973"/>
      <c r="N58" s="2973"/>
      <c r="O58" s="2973"/>
      <c r="P58" s="2973"/>
      <c r="Q58" s="2973"/>
      <c r="R58" s="2973"/>
      <c r="S58" s="2973"/>
      <c r="T58" s="2973"/>
      <c r="U58" s="2973"/>
      <c r="V58" s="2973"/>
      <c r="W58" s="2973"/>
      <c r="X58" s="2973"/>
      <c r="Y58" s="2973"/>
      <c r="Z58" s="2973"/>
      <c r="AA58" s="2973"/>
      <c r="AB58" s="2973"/>
      <c r="AC58" s="2973"/>
    </row>
    <row r="59" spans="1:29" s="648" customFormat="1">
      <c r="A59" s="649" t="s">
        <v>2530</v>
      </c>
      <c r="B59" s="224" t="e">
        <f t="shared" si="17"/>
        <v>#DIV/0!</v>
      </c>
      <c r="C59" s="176">
        <f t="shared" si="16"/>
        <v>0.28000000000000003</v>
      </c>
      <c r="D59" s="1072">
        <v>0.25</v>
      </c>
      <c r="E59" s="650"/>
      <c r="F59" s="1013" t="e">
        <f t="shared" si="15"/>
        <v>#DIV/0!</v>
      </c>
      <c r="G59" s="3801"/>
      <c r="H59" s="1014" t="str">
        <f>项目基本情况!B37</f>
        <v>七级</v>
      </c>
      <c r="I59" s="1018">
        <f>SUMIF(修正!A45:A56,H59,修正!D45:D56)</f>
        <v>0.28000000000000003</v>
      </c>
      <c r="J59" s="1022"/>
      <c r="K59" s="2916"/>
      <c r="L59" s="2973"/>
      <c r="M59" s="2973"/>
      <c r="N59" s="2973"/>
      <c r="O59" s="2973"/>
      <c r="P59" s="2973"/>
      <c r="Q59" s="2973"/>
      <c r="R59" s="2973"/>
      <c r="S59" s="2973"/>
      <c r="T59" s="2973"/>
      <c r="U59" s="2973"/>
      <c r="V59" s="2973"/>
      <c r="W59" s="2973"/>
      <c r="X59" s="2973"/>
      <c r="Y59" s="2973"/>
      <c r="Z59" s="2973"/>
      <c r="AA59" s="2973"/>
      <c r="AB59" s="2973"/>
      <c r="AC59" s="2973"/>
    </row>
    <row r="60" spans="1:29" s="648" customFormat="1">
      <c r="A60" s="649" t="s">
        <v>2531</v>
      </c>
      <c r="B60" s="224" t="e">
        <f t="shared" si="17"/>
        <v>#DIV/0!</v>
      </c>
      <c r="C60" s="176">
        <f t="shared" si="16"/>
        <v>0.25</v>
      </c>
      <c r="D60" s="1072">
        <v>0.25</v>
      </c>
      <c r="E60" s="650"/>
      <c r="F60" s="1013" t="e">
        <f t="shared" si="15"/>
        <v>#DIV/0!</v>
      </c>
      <c r="G60" s="3801"/>
      <c r="H60" s="1014" t="str">
        <f>项目基本情况!B37</f>
        <v>七级</v>
      </c>
      <c r="I60" s="1018">
        <f>SUMIF(修正!A45:A56,H60,修正!E45:E56)</f>
        <v>0.25</v>
      </c>
      <c r="J60" s="1022"/>
      <c r="K60" s="2919"/>
      <c r="L60" s="2973"/>
      <c r="M60" s="2973"/>
      <c r="N60" s="2973"/>
      <c r="O60" s="2973"/>
      <c r="P60" s="2973"/>
      <c r="Q60" s="2973"/>
      <c r="R60" s="2973"/>
      <c r="S60" s="2973"/>
      <c r="T60" s="2973"/>
      <c r="U60" s="2973"/>
      <c r="V60" s="2973"/>
      <c r="W60" s="2973"/>
      <c r="X60" s="2973"/>
      <c r="Y60" s="2973"/>
      <c r="Z60" s="2973"/>
      <c r="AA60" s="2973"/>
      <c r="AB60" s="2973"/>
      <c r="AC60" s="2973"/>
    </row>
    <row r="61" spans="1:29" s="648" customFormat="1">
      <c r="A61" s="649" t="s">
        <v>2532</v>
      </c>
      <c r="B61" s="224" t="e">
        <f t="shared" si="17"/>
        <v>#DIV/0!</v>
      </c>
      <c r="C61" s="176">
        <f t="shared" si="16"/>
        <v>0.25</v>
      </c>
      <c r="D61" s="1072">
        <v>0.25</v>
      </c>
      <c r="E61" s="223">
        <f>'数据-汇总表'!E11</f>
        <v>0</v>
      </c>
      <c r="F61" s="1013" t="e">
        <f t="shared" si="15"/>
        <v>#DIV/0!</v>
      </c>
      <c r="G61" s="2136" t="s">
        <v>2533</v>
      </c>
      <c r="H61" s="1014" t="str">
        <f>项目基本情况!C37</f>
        <v>七级</v>
      </c>
      <c r="I61" s="1018">
        <f>SUMIF(修正!A45:A56,H61,修正!F45:F56)</f>
        <v>0.25</v>
      </c>
      <c r="J61" s="1022"/>
      <c r="K61" s="2916"/>
      <c r="L61" s="2973"/>
      <c r="M61" s="2973"/>
      <c r="N61" s="2973"/>
      <c r="O61" s="2973"/>
      <c r="P61" s="2973"/>
      <c r="Q61" s="2973"/>
      <c r="R61" s="2973"/>
      <c r="S61" s="2973"/>
      <c r="T61" s="2973"/>
      <c r="U61" s="2973"/>
      <c r="V61" s="2973"/>
      <c r="W61" s="2973"/>
      <c r="X61" s="2973"/>
      <c r="Y61" s="2973"/>
      <c r="Z61" s="2973"/>
      <c r="AA61" s="2973"/>
      <c r="AB61" s="2973"/>
      <c r="AC61" s="2973"/>
    </row>
    <row r="62" spans="1:29" s="648" customFormat="1">
      <c r="A62" s="649" t="s">
        <v>2534</v>
      </c>
      <c r="B62" s="224" t="e">
        <f t="shared" si="17"/>
        <v>#DIV/0!</v>
      </c>
      <c r="C62" s="176">
        <f t="shared" si="16"/>
        <v>0.25</v>
      </c>
      <c r="D62" s="1072">
        <v>0.25</v>
      </c>
      <c r="E62" s="223">
        <f>'数据-汇总表'!E12</f>
        <v>0</v>
      </c>
      <c r="F62" s="1013" t="e">
        <f t="shared" si="15"/>
        <v>#DIV/0!</v>
      </c>
      <c r="G62" s="1019" t="s">
        <v>2535</v>
      </c>
      <c r="H62" s="1014" t="str">
        <f>IF(G62="商业",项目基本情况!B37,IF(G62="办公",项目基本情况!C37,IF(G62="住宅",项目基本情况!D37,项目基本情况!E37)))</f>
        <v>七级</v>
      </c>
      <c r="I62" s="1018">
        <f>SUMIF(修正!A45:A56,H62,修正!G45:G56)</f>
        <v>0.25</v>
      </c>
      <c r="J62" s="1022"/>
      <c r="K62" s="2919"/>
      <c r="L62" s="2973"/>
      <c r="M62" s="2973"/>
      <c r="N62" s="2973"/>
      <c r="O62" s="2973"/>
      <c r="P62" s="2973"/>
      <c r="Q62" s="2973"/>
      <c r="R62" s="2973"/>
      <c r="S62" s="2973"/>
      <c r="T62" s="2973"/>
      <c r="U62" s="2973"/>
      <c r="V62" s="2973"/>
      <c r="W62" s="2973"/>
      <c r="X62" s="2973"/>
      <c r="Y62" s="2973"/>
      <c r="Z62" s="2973"/>
      <c r="AA62" s="2973"/>
      <c r="AB62" s="2973"/>
      <c r="AC62" s="2973"/>
    </row>
    <row r="63" spans="1:29" s="648" customFormat="1">
      <c r="A63" s="649" t="s">
        <v>2536</v>
      </c>
      <c r="B63" s="224" t="e">
        <f t="shared" si="17"/>
        <v>#DIV/0!</v>
      </c>
      <c r="C63" s="176">
        <f t="shared" si="16"/>
        <v>0</v>
      </c>
      <c r="D63" s="1072">
        <v>0.25</v>
      </c>
      <c r="E63" s="223">
        <f>'数据-汇总表'!E13</f>
        <v>0</v>
      </c>
      <c r="F63" s="1013" t="e">
        <f t="shared" si="15"/>
        <v>#DIV/0!</v>
      </c>
      <c r="G63" s="1019" t="s">
        <v>2537</v>
      </c>
      <c r="H63" s="1014">
        <f>IF(G63="商业",项目基本情况!B37,IF(G63="办公",项目基本情况!C37,IF(G63="住宅",项目基本情况!D37,项目基本情况!E37)))</f>
        <v>0</v>
      </c>
      <c r="I63" s="1018">
        <f>SUMIF(修正!A45:A56,H63,修正!H45:H56)</f>
        <v>0</v>
      </c>
      <c r="J63" s="1022"/>
      <c r="K63" s="2916"/>
      <c r="L63" s="2973"/>
      <c r="M63" s="2973"/>
      <c r="N63" s="2973"/>
      <c r="O63" s="2973"/>
      <c r="P63" s="2973"/>
      <c r="Q63" s="2973"/>
      <c r="R63" s="2973"/>
      <c r="S63" s="2973"/>
      <c r="T63" s="2973"/>
      <c r="U63" s="2973"/>
      <c r="V63" s="2973"/>
      <c r="W63" s="2973"/>
      <c r="X63" s="2973"/>
      <c r="Y63" s="2973"/>
      <c r="Z63" s="2973"/>
      <c r="AA63" s="2973"/>
      <c r="AB63" s="2973"/>
      <c r="AC63" s="2973"/>
    </row>
    <row r="64" spans="1:29" s="648" customFormat="1">
      <c r="A64" s="649" t="s">
        <v>2538</v>
      </c>
      <c r="B64" s="224" t="e">
        <f t="shared" si="17"/>
        <v>#DIV/0!</v>
      </c>
      <c r="C64" s="176">
        <f t="shared" si="16"/>
        <v>0.2</v>
      </c>
      <c r="D64" s="1072">
        <v>0.25</v>
      </c>
      <c r="E64" s="223">
        <f>'数据-汇总表'!E14</f>
        <v>0</v>
      </c>
      <c r="F64" s="1013" t="e">
        <f t="shared" si="15"/>
        <v>#DIV/0!</v>
      </c>
      <c r="G64" s="2136" t="s">
        <v>2528</v>
      </c>
      <c r="H64" s="1014" t="str">
        <f>项目基本情况!B37</f>
        <v>七级</v>
      </c>
      <c r="I64" s="1018">
        <f>SUMIF(修正!A45:A56,H64,修正!H45:H56)</f>
        <v>0.2</v>
      </c>
      <c r="J64" s="1022"/>
      <c r="K64" s="2919"/>
      <c r="L64" s="2973"/>
      <c r="M64" s="2973"/>
      <c r="N64" s="2973"/>
      <c r="O64" s="2973"/>
      <c r="P64" s="2973"/>
      <c r="Q64" s="2973"/>
      <c r="R64" s="2973"/>
      <c r="S64" s="2973"/>
      <c r="T64" s="2973"/>
      <c r="U64" s="2973"/>
      <c r="V64" s="2973"/>
      <c r="W64" s="2973"/>
      <c r="X64" s="2973"/>
      <c r="Y64" s="2973"/>
      <c r="Z64" s="2973"/>
      <c r="AA64" s="2973"/>
      <c r="AB64" s="2973"/>
      <c r="AC64" s="2973"/>
    </row>
    <row r="65" spans="1:29" s="648" customFormat="1" ht="15" thickBot="1">
      <c r="A65" s="649" t="s">
        <v>2539</v>
      </c>
      <c r="B65" s="224" t="e">
        <f t="shared" si="17"/>
        <v>#DIV/0!</v>
      </c>
      <c r="C65" s="176">
        <f t="shared" si="16"/>
        <v>0.2</v>
      </c>
      <c r="D65" s="1072">
        <v>0.25</v>
      </c>
      <c r="E65" s="223">
        <f>'数据-汇总表'!E15</f>
        <v>0</v>
      </c>
      <c r="F65" s="1013" t="e">
        <f t="shared" si="15"/>
        <v>#DIV/0!</v>
      </c>
      <c r="G65" s="2137" t="s">
        <v>2533</v>
      </c>
      <c r="H65" s="1024" t="str">
        <f>项目基本情况!C37</f>
        <v>七级</v>
      </c>
      <c r="I65" s="1020">
        <f>SUMIF(修正!A45:A56,H65,修正!H45:H56)</f>
        <v>0.2</v>
      </c>
      <c r="J65" s="1023"/>
      <c r="K65" s="2916"/>
      <c r="L65" s="2973"/>
      <c r="M65" s="2973"/>
      <c r="N65" s="2973"/>
      <c r="O65" s="2973"/>
      <c r="P65" s="2973"/>
      <c r="Q65" s="2973"/>
      <c r="R65" s="2973"/>
      <c r="S65" s="2973"/>
      <c r="T65" s="2973"/>
      <c r="U65" s="2973"/>
      <c r="V65" s="2973"/>
      <c r="W65" s="2973"/>
      <c r="X65" s="2973"/>
      <c r="Y65" s="2973"/>
      <c r="Z65" s="2973"/>
      <c r="AA65" s="2973"/>
      <c r="AB65" s="2973"/>
      <c r="AC65" s="2973"/>
    </row>
    <row r="66" spans="1:29" s="648" customFormat="1" ht="13.5" thickBot="1">
      <c r="A66" s="651" t="s">
        <v>2540</v>
      </c>
      <c r="B66" s="652" t="s">
        <v>28</v>
      </c>
      <c r="C66" s="652" t="s">
        <v>29</v>
      </c>
      <c r="D66" s="652" t="s">
        <v>997</v>
      </c>
      <c r="E66" s="652">
        <f>IF(B46="楼面地价",SUM(E56:E65),'数据-汇总表'!D3)</f>
        <v>63823.659999999953</v>
      </c>
      <c r="F66" s="653" t="e">
        <f>IF(B46="楼面地价",SUM(F56:F65),ROUND(C48*E66/10000,0))</f>
        <v>#DIV/0!</v>
      </c>
      <c r="G66" s="726"/>
      <c r="H66" s="726"/>
      <c r="I66" s="726"/>
      <c r="J66" s="726"/>
      <c r="K66" s="2974"/>
      <c r="L66" s="2973"/>
      <c r="M66" s="2973"/>
      <c r="N66" s="2973"/>
      <c r="O66" s="2973"/>
      <c r="P66" s="2973"/>
      <c r="Q66" s="2973"/>
      <c r="R66" s="2973"/>
      <c r="S66" s="2973"/>
      <c r="T66" s="2973"/>
      <c r="U66" s="2973"/>
      <c r="V66" s="2973"/>
      <c r="W66" s="2973"/>
      <c r="X66" s="2973"/>
      <c r="Y66" s="2973"/>
      <c r="Z66" s="2973"/>
      <c r="AA66" s="2973"/>
      <c r="AB66" s="2973"/>
      <c r="AC66" s="2973"/>
    </row>
    <row r="67" spans="1:29">
      <c r="A67" s="699"/>
      <c r="B67" s="701"/>
      <c r="C67" s="702"/>
      <c r="D67" s="699"/>
      <c r="E67" s="699"/>
      <c r="F67" s="699"/>
      <c r="G67" s="699"/>
      <c r="H67" s="699"/>
      <c r="I67" s="699"/>
      <c r="J67" s="1054"/>
      <c r="K67" s="1015"/>
      <c r="L67" s="1016"/>
      <c r="M67" s="1054"/>
      <c r="N67" s="1054"/>
      <c r="O67" s="1054"/>
      <c r="P67" s="2916"/>
      <c r="Q67" s="2916"/>
      <c r="R67" s="2916"/>
      <c r="S67" s="2916"/>
      <c r="T67" s="2916"/>
      <c r="U67" s="2916"/>
      <c r="V67" s="2916"/>
      <c r="W67" s="2916"/>
      <c r="X67" s="2916"/>
      <c r="Y67" s="2916"/>
      <c r="Z67" s="2916"/>
      <c r="AA67" s="2916"/>
      <c r="AB67" s="2916"/>
      <c r="AC67" s="2916"/>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6"/>
      <c r="Q68" s="2916"/>
      <c r="R68" s="2916"/>
      <c r="S68" s="2916"/>
      <c r="T68" s="2916"/>
      <c r="U68" s="2916"/>
      <c r="V68" s="2916"/>
      <c r="W68" s="2916"/>
      <c r="X68" s="2916"/>
      <c r="Y68" s="2916"/>
      <c r="Z68" s="2916"/>
      <c r="AA68" s="2916"/>
      <c r="AB68" s="2916"/>
      <c r="AC68" s="2916"/>
    </row>
    <row r="69" spans="1:29" ht="21.75" thickBot="1">
      <c r="A69" s="703" t="s">
        <v>2433</v>
      </c>
      <c r="B69" s="699"/>
      <c r="C69" s="704"/>
      <c r="D69" s="704"/>
      <c r="E69" s="704"/>
      <c r="F69" s="705"/>
      <c r="G69" s="705"/>
      <c r="H69" s="704"/>
      <c r="I69" s="704"/>
      <c r="J69" s="1067"/>
      <c r="K69" s="1068"/>
      <c r="L69" s="1069"/>
      <c r="M69" s="1067"/>
      <c r="N69" s="2960"/>
      <c r="O69" s="2960"/>
      <c r="P69" s="2960"/>
      <c r="Q69" s="2930"/>
      <c r="R69" s="2916"/>
      <c r="S69" s="2916"/>
      <c r="T69" s="2916"/>
      <c r="U69" s="2916"/>
      <c r="V69" s="2916"/>
      <c r="W69" s="2916"/>
      <c r="X69" s="2916"/>
      <c r="Y69" s="2916"/>
      <c r="Z69" s="2916"/>
      <c r="AA69" s="2916"/>
      <c r="AB69" s="2916"/>
      <c r="AC69" s="2916"/>
    </row>
    <row r="70" spans="1:29" s="465" customFormat="1" ht="15">
      <c r="A70" s="2138" t="s">
        <v>2541</v>
      </c>
      <c r="B70" s="1237"/>
      <c r="C70" s="1312" t="str">
        <f>YEAR(C68)&amp;"-"&amp;ROUNDUP(MONTH(C68)/3,0)</f>
        <v>2022-2</v>
      </c>
      <c r="D70" s="1312" t="str">
        <f>YEAR(D68)&amp;"-"&amp;ROUNDUP(MONTH(D68)/3,0)</f>
        <v>2022-1</v>
      </c>
      <c r="E70" s="1312" t="str">
        <f t="shared" ref="E70:O70" si="19">YEAR(E68)&amp;"-"&amp;ROUNDUP(MONTH(E68)/3,0)</f>
        <v>2021-4</v>
      </c>
      <c r="F70" s="1312" t="str">
        <f t="shared" si="19"/>
        <v>2021-3</v>
      </c>
      <c r="G70" s="1312" t="str">
        <f t="shared" si="19"/>
        <v>2021-2</v>
      </c>
      <c r="H70" s="1312" t="str">
        <f t="shared" si="19"/>
        <v>2021-1</v>
      </c>
      <c r="I70" s="1312" t="str">
        <f t="shared" si="19"/>
        <v>2020-4</v>
      </c>
      <c r="J70" s="1312" t="str">
        <f t="shared" si="19"/>
        <v>2020-3</v>
      </c>
      <c r="K70" s="1312" t="str">
        <f t="shared" si="19"/>
        <v>2020-2</v>
      </c>
      <c r="L70" s="1312" t="str">
        <f t="shared" si="19"/>
        <v>2020-1</v>
      </c>
      <c r="M70" s="1312" t="str">
        <f t="shared" si="19"/>
        <v>2019-4</v>
      </c>
      <c r="N70" s="1312" t="str">
        <f t="shared" si="19"/>
        <v>2019-3</v>
      </c>
      <c r="O70" s="1312" t="str">
        <f t="shared" si="19"/>
        <v>2019-2</v>
      </c>
      <c r="P70" s="2967"/>
      <c r="Q70" s="2932"/>
      <c r="R70" s="2932"/>
      <c r="S70" s="2932"/>
      <c r="T70" s="2932"/>
      <c r="U70" s="2932"/>
      <c r="V70" s="2932"/>
      <c r="W70" s="2932"/>
      <c r="X70" s="2932"/>
      <c r="Y70" s="2932"/>
      <c r="Z70" s="2932"/>
      <c r="AA70" s="2932"/>
      <c r="AB70" s="2932"/>
      <c r="AC70" s="2932"/>
    </row>
    <row r="71" spans="1:29" s="113" customFormat="1" ht="30" customHeight="1">
      <c r="A71" s="2139" t="s">
        <v>2542</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08"/>
      <c r="N71" s="552"/>
      <c r="O71" s="1309"/>
      <c r="P71" s="2930"/>
      <c r="Q71" s="2850"/>
      <c r="R71" s="2850"/>
      <c r="S71" s="2850"/>
      <c r="T71" s="2850"/>
      <c r="U71" s="2850"/>
      <c r="V71" s="2850"/>
      <c r="W71" s="2850"/>
      <c r="X71" s="2850"/>
      <c r="Y71" s="2850"/>
      <c r="Z71" s="2850"/>
      <c r="AA71" s="2850"/>
      <c r="AB71" s="2850"/>
      <c r="AC71" s="2850"/>
    </row>
    <row r="72" spans="1:29" s="113" customFormat="1" ht="15.75" thickBot="1">
      <c r="A72" s="472" t="s">
        <v>2344</v>
      </c>
      <c r="B72" s="473"/>
      <c r="C72" s="474"/>
      <c r="D72" s="475"/>
      <c r="E72" s="475"/>
      <c r="F72" s="475"/>
      <c r="G72" s="475"/>
      <c r="H72" s="475"/>
      <c r="I72" s="475"/>
      <c r="J72" s="475"/>
      <c r="K72" s="475"/>
      <c r="L72" s="475"/>
      <c r="M72" s="476"/>
      <c r="N72" s="475"/>
      <c r="O72" s="1070"/>
      <c r="P72" s="2930"/>
      <c r="Q72" s="2930"/>
      <c r="R72" s="2850"/>
      <c r="S72" s="2850"/>
      <c r="T72" s="2850"/>
      <c r="U72" s="2850"/>
      <c r="V72" s="2850"/>
      <c r="W72" s="2850"/>
      <c r="X72" s="2850"/>
      <c r="Y72" s="2850"/>
      <c r="Z72" s="2850"/>
      <c r="AA72" s="2850"/>
      <c r="AB72" s="2850"/>
      <c r="AC72" s="2850"/>
    </row>
    <row r="73" spans="1:29" s="113" customFormat="1" ht="15">
      <c r="A73" s="478" t="s">
        <v>2309</v>
      </c>
      <c r="B73" s="467"/>
      <c r="C73" s="479" t="s">
        <v>2411</v>
      </c>
      <c r="D73" s="480"/>
      <c r="E73" s="480"/>
      <c r="F73" s="480"/>
      <c r="G73" s="480"/>
      <c r="H73" s="480"/>
      <c r="I73" s="480"/>
      <c r="J73" s="480"/>
      <c r="K73" s="480"/>
      <c r="L73" s="481"/>
      <c r="M73" s="482"/>
      <c r="N73" s="2943"/>
      <c r="O73" s="2943"/>
      <c r="P73" s="2968"/>
      <c r="Q73" s="2930"/>
      <c r="R73" s="2850"/>
      <c r="S73" s="2850"/>
      <c r="T73" s="2850"/>
      <c r="U73" s="2850"/>
      <c r="V73" s="2850"/>
      <c r="W73" s="2850"/>
      <c r="X73" s="2850"/>
      <c r="Y73" s="2850"/>
      <c r="Z73" s="2850"/>
      <c r="AA73" s="2850"/>
      <c r="AB73" s="2850"/>
      <c r="AC73" s="2850"/>
    </row>
    <row r="74" spans="1:29" s="113" customFormat="1" ht="15.75" thickBot="1">
      <c r="A74" s="478"/>
      <c r="B74" s="467"/>
      <c r="C74" s="595">
        <v>100</v>
      </c>
      <c r="D74" s="469"/>
      <c r="E74" s="469"/>
      <c r="F74" s="469"/>
      <c r="G74" s="469"/>
      <c r="H74" s="469"/>
      <c r="I74" s="469"/>
      <c r="J74" s="469"/>
      <c r="K74" s="469"/>
      <c r="L74" s="469"/>
      <c r="M74" s="471"/>
      <c r="N74" s="2943"/>
      <c r="O74" s="2943"/>
      <c r="P74" s="2930"/>
      <c r="Q74" s="2930"/>
      <c r="R74" s="2850"/>
      <c r="S74" s="2850"/>
      <c r="T74" s="2850"/>
      <c r="U74" s="2850"/>
      <c r="V74" s="2850"/>
      <c r="W74" s="2850"/>
      <c r="X74" s="2850"/>
      <c r="Y74" s="2850"/>
      <c r="Z74" s="2850"/>
      <c r="AA74" s="2850"/>
      <c r="AB74" s="2850"/>
      <c r="AC74" s="2850"/>
    </row>
    <row r="75" spans="1:29">
      <c r="A75" s="484" t="s">
        <v>2347</v>
      </c>
      <c r="B75" s="485" t="s">
        <v>2313</v>
      </c>
      <c r="C75" s="487"/>
      <c r="D75" s="487"/>
      <c r="E75" s="487"/>
      <c r="F75" s="487"/>
      <c r="G75" s="487"/>
      <c r="H75" s="487"/>
      <c r="I75" s="487"/>
      <c r="J75" s="487"/>
      <c r="K75" s="488"/>
      <c r="L75" s="489"/>
      <c r="M75" s="490"/>
      <c r="N75" s="2944"/>
      <c r="O75" s="2944"/>
      <c r="P75" s="2969"/>
      <c r="Q75" s="2930"/>
      <c r="R75" s="2916"/>
      <c r="S75" s="2916"/>
      <c r="T75" s="2916"/>
      <c r="U75" s="2916"/>
      <c r="V75" s="2916"/>
      <c r="W75" s="2916"/>
      <c r="X75" s="2916"/>
      <c r="Y75" s="2916"/>
      <c r="Z75" s="2916"/>
      <c r="AA75" s="2916"/>
      <c r="AB75" s="2916"/>
      <c r="AC75" s="2916"/>
    </row>
    <row r="76" spans="1:29" ht="15.75" thickBot="1">
      <c r="A76" s="491"/>
      <c r="B76" s="492"/>
      <c r="C76" s="493"/>
      <c r="D76" s="493"/>
      <c r="E76" s="493"/>
      <c r="F76" s="493"/>
      <c r="G76" s="493"/>
      <c r="H76" s="493"/>
      <c r="I76" s="493"/>
      <c r="J76" s="493"/>
      <c r="K76" s="493"/>
      <c r="L76" s="493"/>
      <c r="M76" s="494"/>
      <c r="N76" s="2945"/>
      <c r="O76" s="2945"/>
      <c r="P76" s="2969"/>
      <c r="Q76" s="2930"/>
      <c r="R76" s="2916"/>
      <c r="S76" s="2916"/>
      <c r="T76" s="2916"/>
      <c r="U76" s="2916"/>
      <c r="V76" s="2916"/>
      <c r="W76" s="2916"/>
      <c r="X76" s="2916"/>
      <c r="Y76" s="2916"/>
      <c r="Z76" s="2916"/>
      <c r="AA76" s="2916"/>
      <c r="AB76" s="2916"/>
      <c r="AC76" s="2916"/>
    </row>
    <row r="77" spans="1:29" ht="27.75" thickTop="1">
      <c r="A77" s="491"/>
      <c r="B77" s="495" t="s">
        <v>2316</v>
      </c>
      <c r="C77" s="496"/>
      <c r="D77" s="496"/>
      <c r="E77" s="496"/>
      <c r="F77" s="496"/>
      <c r="G77" s="496"/>
      <c r="H77" s="496"/>
      <c r="I77" s="496"/>
      <c r="J77" s="496"/>
      <c r="K77" s="497"/>
      <c r="L77" s="498"/>
      <c r="M77" s="499"/>
      <c r="N77" s="2944"/>
      <c r="O77" s="2944"/>
      <c r="P77" s="2969"/>
      <c r="Q77" s="2930"/>
      <c r="R77" s="2916"/>
      <c r="S77" s="2916"/>
      <c r="T77" s="2916"/>
      <c r="U77" s="2916"/>
      <c r="V77" s="2916"/>
      <c r="W77" s="2916"/>
      <c r="X77" s="2916"/>
      <c r="Y77" s="2916"/>
      <c r="Z77" s="2916"/>
      <c r="AA77" s="2916"/>
      <c r="AB77" s="2916"/>
      <c r="AC77" s="2916"/>
    </row>
    <row r="78" spans="1:29" ht="15.75" thickBot="1">
      <c r="A78" s="491"/>
      <c r="B78" s="500"/>
      <c r="C78" s="501"/>
      <c r="D78" s="501"/>
      <c r="E78" s="501"/>
      <c r="F78" s="501"/>
      <c r="G78" s="501"/>
      <c r="H78" s="501"/>
      <c r="I78" s="501"/>
      <c r="J78" s="501"/>
      <c r="K78" s="501"/>
      <c r="L78" s="501"/>
      <c r="M78" s="502"/>
      <c r="N78" s="2945"/>
      <c r="O78" s="2945"/>
      <c r="P78" s="2969"/>
      <c r="Q78" s="2930"/>
      <c r="R78" s="2916"/>
      <c r="S78" s="2916"/>
      <c r="T78" s="2916"/>
      <c r="U78" s="2916"/>
      <c r="V78" s="2916"/>
      <c r="W78" s="2916"/>
      <c r="X78" s="2916"/>
      <c r="Y78" s="2916"/>
      <c r="Z78" s="2916"/>
      <c r="AA78" s="2916"/>
      <c r="AB78" s="2916"/>
      <c r="AC78" s="2916"/>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5"/>
      <c r="O79" s="2945"/>
      <c r="P79" s="2969"/>
      <c r="Q79" s="2930"/>
      <c r="R79" s="2916"/>
      <c r="S79" s="2916"/>
      <c r="T79" s="2916"/>
      <c r="U79" s="2916"/>
      <c r="V79" s="2916"/>
      <c r="W79" s="2916"/>
      <c r="X79" s="2916"/>
      <c r="Y79" s="2916"/>
      <c r="Z79" s="2916"/>
      <c r="AA79" s="2916"/>
      <c r="AB79" s="2916"/>
      <c r="AC79" s="2916"/>
    </row>
    <row r="80" spans="1:29" ht="15">
      <c r="A80" s="491"/>
      <c r="B80" s="505"/>
      <c r="C80" s="506"/>
      <c r="D80" s="506"/>
      <c r="E80" s="506"/>
      <c r="F80" s="506"/>
      <c r="G80" s="506"/>
      <c r="H80" s="506"/>
      <c r="I80" s="506"/>
      <c r="J80" s="506"/>
      <c r="K80" s="507"/>
      <c r="L80" s="508"/>
      <c r="M80" s="509"/>
      <c r="N80" s="2944"/>
      <c r="O80" s="2944"/>
      <c r="P80" s="2969"/>
      <c r="Q80" s="2930"/>
      <c r="R80" s="2916"/>
      <c r="S80" s="2916"/>
      <c r="T80" s="2916"/>
      <c r="U80" s="2916"/>
      <c r="V80" s="2916"/>
      <c r="W80" s="2916"/>
      <c r="X80" s="2916"/>
      <c r="Y80" s="2916"/>
      <c r="Z80" s="2916"/>
      <c r="AA80" s="2916"/>
      <c r="AB80" s="2916"/>
      <c r="AC80" s="291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5"/>
      <c r="O81" s="2945"/>
      <c r="P81" s="2969"/>
      <c r="Q81" s="2930"/>
      <c r="R81" s="2916"/>
      <c r="S81" s="2916"/>
      <c r="T81" s="2916"/>
      <c r="U81" s="2916"/>
      <c r="V81" s="2916"/>
      <c r="W81" s="2916"/>
      <c r="X81" s="2916"/>
      <c r="Y81" s="2916"/>
      <c r="Z81" s="2916"/>
      <c r="AA81" s="2916"/>
      <c r="AB81" s="2916"/>
      <c r="AC81" s="2916"/>
    </row>
    <row r="82" spans="1:29" s="430" customFormat="1" ht="15.75" thickTop="1">
      <c r="A82" s="510"/>
      <c r="B82" s="495" t="str">
        <f>B12</f>
        <v>配建</v>
      </c>
      <c r="C82" s="511"/>
      <c r="D82" s="511"/>
      <c r="E82" s="511"/>
      <c r="F82" s="511"/>
      <c r="G82" s="511"/>
      <c r="H82" s="512"/>
      <c r="I82" s="512"/>
      <c r="J82" s="512"/>
      <c r="K82" s="512"/>
      <c r="L82" s="513"/>
      <c r="M82" s="514"/>
      <c r="N82" s="2946"/>
      <c r="O82" s="2946"/>
      <c r="P82" s="2970"/>
      <c r="Q82" s="2937"/>
      <c r="R82" s="2938"/>
      <c r="S82" s="2938"/>
      <c r="T82" s="2938"/>
      <c r="U82" s="2938"/>
      <c r="V82" s="2938"/>
      <c r="W82" s="2938"/>
      <c r="X82" s="2938"/>
      <c r="Y82" s="2938"/>
      <c r="Z82" s="2938"/>
      <c r="AA82" s="2938"/>
      <c r="AB82" s="2938"/>
      <c r="AC82" s="2938"/>
    </row>
    <row r="83" spans="1:29" s="430" customFormat="1" ht="15.75" thickBot="1">
      <c r="A83" s="510"/>
      <c r="B83" s="500"/>
      <c r="C83" s="517"/>
      <c r="D83" s="493"/>
      <c r="E83" s="493"/>
      <c r="F83" s="493"/>
      <c r="G83" s="493"/>
      <c r="H83" s="493"/>
      <c r="I83" s="493"/>
      <c r="J83" s="493"/>
      <c r="K83" s="493"/>
      <c r="L83" s="493"/>
      <c r="M83" s="494"/>
      <c r="N83" s="2945"/>
      <c r="O83" s="2945"/>
      <c r="P83" s="2970"/>
      <c r="Q83" s="2937"/>
      <c r="R83" s="2938"/>
      <c r="S83" s="2938"/>
      <c r="T83" s="2938"/>
      <c r="U83" s="2938"/>
      <c r="V83" s="2938"/>
      <c r="W83" s="2938"/>
      <c r="X83" s="2938"/>
      <c r="Y83" s="2938"/>
      <c r="Z83" s="2938"/>
      <c r="AA83" s="2938"/>
      <c r="AB83" s="2938"/>
      <c r="AC83" s="2938"/>
    </row>
    <row r="84" spans="1:29" s="430" customFormat="1" ht="15.75" thickTop="1">
      <c r="A84" s="510"/>
      <c r="B84" s="495">
        <f>B13</f>
        <v>111</v>
      </c>
      <c r="C84" s="511"/>
      <c r="D84" s="511"/>
      <c r="E84" s="511"/>
      <c r="F84" s="511"/>
      <c r="G84" s="511"/>
      <c r="H84" s="512"/>
      <c r="I84" s="512"/>
      <c r="J84" s="512"/>
      <c r="K84" s="512"/>
      <c r="L84" s="513"/>
      <c r="M84" s="514"/>
      <c r="N84" s="2946"/>
      <c r="O84" s="2946"/>
      <c r="P84" s="2914"/>
      <c r="Q84" s="2940"/>
      <c r="R84" s="2938"/>
      <c r="S84" s="2938"/>
      <c r="T84" s="2938"/>
      <c r="U84" s="2938"/>
      <c r="V84" s="2938"/>
      <c r="W84" s="2938"/>
      <c r="X84" s="2938"/>
      <c r="Y84" s="2938"/>
      <c r="Z84" s="2938"/>
      <c r="AA84" s="2938"/>
      <c r="AB84" s="2938"/>
      <c r="AC84" s="2938"/>
    </row>
    <row r="85" spans="1:29" s="430" customFormat="1" ht="15.75" thickBot="1">
      <c r="A85" s="510"/>
      <c r="B85" s="500"/>
      <c r="C85" s="517"/>
      <c r="D85" s="517"/>
      <c r="E85" s="517"/>
      <c r="F85" s="517"/>
      <c r="G85" s="517"/>
      <c r="H85" s="519"/>
      <c r="I85" s="519"/>
      <c r="J85" s="519"/>
      <c r="K85" s="519"/>
      <c r="L85" s="519"/>
      <c r="M85" s="520"/>
      <c r="N85" s="2946"/>
      <c r="O85" s="2946"/>
      <c r="P85" s="2970"/>
      <c r="Q85" s="2937"/>
      <c r="R85" s="2938"/>
      <c r="S85" s="2938"/>
      <c r="T85" s="2938"/>
      <c r="U85" s="2938"/>
      <c r="V85" s="2938"/>
      <c r="W85" s="2938"/>
      <c r="X85" s="2938"/>
      <c r="Y85" s="2938"/>
      <c r="Z85" s="2938"/>
      <c r="AA85" s="2938"/>
      <c r="AB85" s="2938"/>
      <c r="AC85" s="2938"/>
    </row>
    <row r="86" spans="1:29" s="430" customFormat="1" ht="15.75" thickTop="1">
      <c r="A86" s="510"/>
      <c r="B86" s="503">
        <f>B14</f>
        <v>111</v>
      </c>
      <c r="C86" s="480"/>
      <c r="D86" s="480"/>
      <c r="E86" s="480"/>
      <c r="F86" s="480"/>
      <c r="G86" s="480"/>
      <c r="H86" s="521"/>
      <c r="I86" s="521"/>
      <c r="J86" s="521"/>
      <c r="K86" s="521"/>
      <c r="L86" s="522"/>
      <c r="M86" s="523"/>
      <c r="N86" s="2946"/>
      <c r="O86" s="2946"/>
      <c r="P86" s="2975"/>
      <c r="Q86" s="2937"/>
      <c r="R86" s="2938"/>
      <c r="S86" s="2938"/>
      <c r="T86" s="2938"/>
      <c r="U86" s="2938"/>
      <c r="V86" s="2938"/>
      <c r="W86" s="2938"/>
      <c r="X86" s="2938"/>
      <c r="Y86" s="2938"/>
      <c r="Z86" s="2938"/>
      <c r="AA86" s="2938"/>
      <c r="AB86" s="2938"/>
      <c r="AC86" s="2938"/>
    </row>
    <row r="87" spans="1:29" s="430" customFormat="1" ht="15.75" thickBot="1">
      <c r="A87" s="525"/>
      <c r="B87" s="526"/>
      <c r="C87" s="527"/>
      <c r="D87" s="527"/>
      <c r="E87" s="527"/>
      <c r="F87" s="527"/>
      <c r="G87" s="527"/>
      <c r="H87" s="528"/>
      <c r="I87" s="528"/>
      <c r="J87" s="528"/>
      <c r="K87" s="528"/>
      <c r="L87" s="528"/>
      <c r="M87" s="529"/>
      <c r="N87" s="2946"/>
      <c r="O87" s="2946"/>
      <c r="P87" s="2970"/>
      <c r="Q87" s="2937"/>
      <c r="R87" s="2938"/>
      <c r="S87" s="2938"/>
      <c r="T87" s="2938"/>
      <c r="U87" s="2938"/>
      <c r="V87" s="2938"/>
      <c r="W87" s="2938"/>
      <c r="X87" s="2938"/>
      <c r="Y87" s="2938"/>
      <c r="Z87" s="2938"/>
      <c r="AA87" s="2938"/>
      <c r="AB87" s="2938"/>
      <c r="AC87" s="2938"/>
    </row>
    <row r="88" spans="1:29">
      <c r="A88" s="484" t="s">
        <v>2318</v>
      </c>
      <c r="B88" s="485" t="s">
        <v>2355</v>
      </c>
      <c r="C88" s="530" t="s">
        <v>2356</v>
      </c>
      <c r="D88" s="530" t="s">
        <v>2357</v>
      </c>
      <c r="E88" s="530" t="s">
        <v>2358</v>
      </c>
      <c r="F88" s="530" t="s">
        <v>2359</v>
      </c>
      <c r="G88" s="530" t="s">
        <v>2360</v>
      </c>
      <c r="H88" s="486"/>
      <c r="I88" s="486"/>
      <c r="J88" s="486"/>
      <c r="K88" s="531"/>
      <c r="L88" s="532"/>
      <c r="M88" s="533"/>
      <c r="N88" s="2944"/>
      <c r="O88" s="2944"/>
      <c r="P88" s="2971"/>
      <c r="Q88" s="2930"/>
      <c r="R88" s="2916"/>
      <c r="S88" s="2916"/>
      <c r="T88" s="2916"/>
      <c r="U88" s="2916"/>
      <c r="V88" s="2916"/>
      <c r="W88" s="2916"/>
      <c r="X88" s="2916"/>
      <c r="Y88" s="2916"/>
      <c r="Z88" s="2916"/>
      <c r="AA88" s="2916"/>
      <c r="AB88" s="2916"/>
      <c r="AC88" s="291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5"/>
      <c r="O89" s="2945"/>
      <c r="P89" s="2969"/>
      <c r="Q89" s="2930"/>
      <c r="R89" s="2916"/>
      <c r="S89" s="2916"/>
      <c r="T89" s="2916"/>
      <c r="U89" s="2916"/>
      <c r="V89" s="2916"/>
      <c r="W89" s="2916"/>
      <c r="X89" s="2916"/>
      <c r="Y89" s="2916"/>
      <c r="Z89" s="2916"/>
      <c r="AA89" s="2916"/>
      <c r="AB89" s="2916"/>
      <c r="AC89" s="2916"/>
    </row>
    <row r="90" spans="1:29" ht="15.75" thickTop="1">
      <c r="A90" s="491"/>
      <c r="B90" s="495" t="s">
        <v>2543</v>
      </c>
      <c r="C90" s="535" t="s">
        <v>2356</v>
      </c>
      <c r="D90" s="535" t="s">
        <v>2357</v>
      </c>
      <c r="E90" s="535" t="s">
        <v>2358</v>
      </c>
      <c r="F90" s="535" t="s">
        <v>2359</v>
      </c>
      <c r="G90" s="535" t="s">
        <v>2360</v>
      </c>
      <c r="H90" s="496"/>
      <c r="I90" s="496"/>
      <c r="J90" s="496"/>
      <c r="K90" s="497"/>
      <c r="L90" s="498"/>
      <c r="M90" s="499"/>
      <c r="N90" s="2944"/>
      <c r="O90" s="2944"/>
      <c r="P90" s="2969"/>
      <c r="Q90" s="2930"/>
      <c r="R90" s="2916"/>
      <c r="S90" s="2916"/>
      <c r="T90" s="2916"/>
      <c r="U90" s="2916"/>
      <c r="V90" s="2916"/>
      <c r="W90" s="2916"/>
      <c r="X90" s="2916"/>
      <c r="Y90" s="2916"/>
      <c r="Z90" s="2916"/>
      <c r="AA90" s="2916"/>
      <c r="AB90" s="2916"/>
      <c r="AC90" s="291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5"/>
      <c r="O91" s="2945"/>
      <c r="P91" s="2969"/>
      <c r="Q91" s="2930"/>
      <c r="R91" s="2916"/>
      <c r="S91" s="2916"/>
      <c r="T91" s="2916"/>
      <c r="U91" s="2916"/>
      <c r="V91" s="2916"/>
      <c r="W91" s="2916"/>
      <c r="X91" s="2916"/>
      <c r="Y91" s="2916"/>
      <c r="Z91" s="2916"/>
      <c r="AA91" s="2916"/>
      <c r="AB91" s="2916"/>
      <c r="AC91" s="2916"/>
    </row>
    <row r="92" spans="1:29" ht="15.75" thickTop="1">
      <c r="A92" s="491"/>
      <c r="B92" s="495" t="s">
        <v>2456</v>
      </c>
      <c r="C92" s="535" t="s">
        <v>2356</v>
      </c>
      <c r="D92" s="535" t="s">
        <v>2357</v>
      </c>
      <c r="E92" s="535" t="s">
        <v>2358</v>
      </c>
      <c r="F92" s="535" t="s">
        <v>2359</v>
      </c>
      <c r="G92" s="535" t="s">
        <v>2360</v>
      </c>
      <c r="H92" s="496"/>
      <c r="I92" s="496"/>
      <c r="J92" s="496"/>
      <c r="K92" s="497"/>
      <c r="L92" s="498"/>
      <c r="M92" s="499"/>
      <c r="N92" s="2944"/>
      <c r="O92" s="2944"/>
      <c r="P92" s="2969"/>
      <c r="Q92" s="2930"/>
      <c r="R92" s="2916"/>
      <c r="S92" s="2916"/>
      <c r="T92" s="2916"/>
      <c r="U92" s="2916"/>
      <c r="V92" s="2916"/>
      <c r="W92" s="2916"/>
      <c r="X92" s="2916"/>
      <c r="Y92" s="2916"/>
      <c r="Z92" s="2916"/>
      <c r="AA92" s="2916"/>
      <c r="AB92" s="2916"/>
      <c r="AC92" s="291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5"/>
      <c r="O93" s="2945"/>
      <c r="P93" s="2969"/>
      <c r="Q93" s="2930"/>
      <c r="R93" s="2916"/>
      <c r="S93" s="2916"/>
      <c r="T93" s="2916"/>
      <c r="U93" s="2916"/>
      <c r="V93" s="2916"/>
      <c r="W93" s="2916"/>
      <c r="X93" s="2916"/>
      <c r="Y93" s="2916"/>
      <c r="Z93" s="2916"/>
      <c r="AA93" s="2916"/>
      <c r="AB93" s="2916"/>
      <c r="AC93" s="2916"/>
    </row>
    <row r="94" spans="1:29" ht="15.75" thickTop="1">
      <c r="A94" s="491"/>
      <c r="B94" s="495" t="s">
        <v>2361</v>
      </c>
      <c r="C94" s="535" t="s">
        <v>2356</v>
      </c>
      <c r="D94" s="535" t="s">
        <v>2357</v>
      </c>
      <c r="E94" s="535" t="s">
        <v>2358</v>
      </c>
      <c r="F94" s="535" t="s">
        <v>2359</v>
      </c>
      <c r="G94" s="535" t="s">
        <v>2360</v>
      </c>
      <c r="H94" s="496"/>
      <c r="I94" s="496"/>
      <c r="J94" s="496"/>
      <c r="K94" s="497"/>
      <c r="L94" s="498"/>
      <c r="M94" s="499"/>
      <c r="N94" s="2944"/>
      <c r="O94" s="2944"/>
      <c r="P94" s="2969"/>
      <c r="Q94" s="2930"/>
      <c r="R94" s="2916"/>
      <c r="S94" s="2916"/>
      <c r="T94" s="2916"/>
      <c r="U94" s="2916"/>
      <c r="V94" s="2916"/>
      <c r="W94" s="2916"/>
      <c r="X94" s="2916"/>
      <c r="Y94" s="2916"/>
      <c r="Z94" s="2916"/>
      <c r="AA94" s="2916"/>
      <c r="AB94" s="2916"/>
      <c r="AC94" s="291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5"/>
      <c r="O95" s="2945"/>
      <c r="P95" s="2969"/>
      <c r="Q95" s="2930"/>
      <c r="R95" s="2916"/>
      <c r="S95" s="2916"/>
      <c r="T95" s="2916"/>
      <c r="U95" s="2916"/>
      <c r="V95" s="2916"/>
      <c r="W95" s="2916"/>
      <c r="X95" s="2916"/>
      <c r="Y95" s="2916"/>
      <c r="Z95" s="2916"/>
      <c r="AA95" s="2916"/>
      <c r="AB95" s="2916"/>
      <c r="AC95" s="2916"/>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3"/>
      <c r="O96" s="2943"/>
      <c r="P96" s="2969"/>
      <c r="Q96" s="2930"/>
      <c r="R96" s="2850"/>
      <c r="S96" s="2850"/>
      <c r="T96" s="2850"/>
      <c r="U96" s="2850"/>
      <c r="V96" s="2850"/>
      <c r="W96" s="2850"/>
      <c r="X96" s="2850"/>
      <c r="Y96" s="2850"/>
      <c r="Z96" s="2850"/>
      <c r="AA96" s="2850"/>
      <c r="AB96" s="2850"/>
      <c r="AC96" s="285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5"/>
      <c r="O97" s="2945"/>
      <c r="P97" s="2969"/>
      <c r="Q97" s="2930"/>
      <c r="R97" s="2850"/>
      <c r="S97" s="2850"/>
      <c r="T97" s="2850"/>
      <c r="U97" s="2850"/>
      <c r="V97" s="2850"/>
      <c r="W97" s="2850"/>
      <c r="X97" s="2850"/>
      <c r="Y97" s="2850"/>
      <c r="Z97" s="2850"/>
      <c r="AA97" s="2850"/>
      <c r="AB97" s="2850"/>
      <c r="AC97" s="2850"/>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3"/>
      <c r="O98" s="2943"/>
      <c r="P98" s="2969"/>
      <c r="Q98" s="2930"/>
      <c r="R98" s="2850"/>
      <c r="S98" s="2850"/>
      <c r="T98" s="2850"/>
      <c r="U98" s="2850"/>
      <c r="V98" s="2850"/>
      <c r="W98" s="2850"/>
      <c r="X98" s="2850"/>
      <c r="Y98" s="2850"/>
      <c r="Z98" s="2850"/>
      <c r="AA98" s="2850"/>
      <c r="AB98" s="2850"/>
      <c r="AC98" s="285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5"/>
      <c r="O99" s="2945"/>
      <c r="P99" s="2969"/>
      <c r="Q99" s="2930"/>
      <c r="R99" s="2850"/>
      <c r="S99" s="2850"/>
      <c r="T99" s="2850"/>
      <c r="U99" s="2850"/>
      <c r="V99" s="2850"/>
      <c r="W99" s="2850"/>
      <c r="X99" s="2850"/>
      <c r="Y99" s="2850"/>
      <c r="Z99" s="2850"/>
      <c r="AA99" s="2850"/>
      <c r="AB99" s="2850"/>
      <c r="AC99" s="2850"/>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46"/>
      <c r="O100" s="2946"/>
      <c r="P100" s="2970"/>
      <c r="Q100" s="2937"/>
      <c r="R100" s="2938"/>
      <c r="S100" s="2938"/>
      <c r="T100" s="2938"/>
      <c r="U100" s="2938"/>
      <c r="V100" s="2938"/>
      <c r="W100" s="2938"/>
      <c r="X100" s="2938"/>
      <c r="Y100" s="2938"/>
      <c r="Z100" s="2938"/>
      <c r="AA100" s="2938"/>
      <c r="AB100" s="2938"/>
      <c r="AC100" s="293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6"/>
      <c r="O101" s="2946"/>
      <c r="P101" s="2970"/>
      <c r="Q101" s="2937"/>
      <c r="R101" s="2938"/>
      <c r="S101" s="2938"/>
      <c r="T101" s="2938"/>
      <c r="U101" s="2938"/>
      <c r="V101" s="2938"/>
      <c r="W101" s="2938"/>
      <c r="X101" s="2938"/>
      <c r="Y101" s="2938"/>
      <c r="Z101" s="2938"/>
      <c r="AA101" s="2938"/>
      <c r="AB101" s="2938"/>
      <c r="AC101" s="2938"/>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2"/>
      <c r="N102" s="2946"/>
      <c r="O102" s="2946"/>
      <c r="P102" s="2970"/>
      <c r="Q102" s="2937"/>
      <c r="R102" s="2938"/>
      <c r="S102" s="2938"/>
      <c r="T102" s="2938"/>
      <c r="U102" s="2938"/>
      <c r="V102" s="2938"/>
      <c r="W102" s="2938"/>
      <c r="X102" s="2938"/>
      <c r="Y102" s="2938"/>
      <c r="Z102" s="2938"/>
      <c r="AA102" s="2938"/>
      <c r="AB102" s="2938"/>
      <c r="AC102" s="293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2"/>
      <c r="N103" s="2946"/>
      <c r="O103" s="2946"/>
      <c r="P103" s="2970"/>
      <c r="Q103" s="2937"/>
      <c r="R103" s="2938"/>
      <c r="S103" s="2938"/>
      <c r="T103" s="2938"/>
      <c r="U103" s="2938"/>
      <c r="V103" s="2938"/>
      <c r="W103" s="2938"/>
      <c r="X103" s="2938"/>
      <c r="Y103" s="2938"/>
      <c r="Z103" s="2938"/>
      <c r="AA103" s="2938"/>
      <c r="AB103" s="2938"/>
      <c r="AC103" s="2938"/>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4"/>
      <c r="O104" s="2944"/>
      <c r="P104" s="2969"/>
      <c r="Q104" s="2930"/>
      <c r="R104" s="2916"/>
      <c r="S104" s="2916"/>
      <c r="T104" s="2916"/>
      <c r="U104" s="2916"/>
      <c r="V104" s="2916"/>
      <c r="W104" s="2916"/>
      <c r="X104" s="2916"/>
      <c r="Y104" s="2916"/>
      <c r="Z104" s="2916"/>
      <c r="AA104" s="2916"/>
      <c r="AB104" s="2916"/>
      <c r="AC104" s="291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5"/>
      <c r="O105" s="2945"/>
      <c r="P105" s="2969"/>
      <c r="Q105" s="2930"/>
      <c r="R105" s="2916"/>
      <c r="S105" s="2916"/>
      <c r="T105" s="2916"/>
      <c r="U105" s="2916"/>
      <c r="V105" s="2916"/>
      <c r="W105" s="2916"/>
      <c r="X105" s="2916"/>
      <c r="Y105" s="2916"/>
      <c r="Z105" s="2916"/>
      <c r="AA105" s="2916"/>
      <c r="AB105" s="2916"/>
      <c r="AC105" s="2916"/>
    </row>
    <row r="106" spans="1:29" ht="27.75" thickTop="1">
      <c r="A106" s="491"/>
      <c r="B106" s="495" t="s">
        <v>2450</v>
      </c>
      <c r="C106" s="511"/>
      <c r="D106" s="511"/>
      <c r="E106" s="511"/>
      <c r="F106" s="511"/>
      <c r="G106" s="511"/>
      <c r="H106" s="540"/>
      <c r="I106" s="540"/>
      <c r="J106" s="540"/>
      <c r="K106" s="541"/>
      <c r="L106" s="542"/>
      <c r="M106" s="543"/>
      <c r="N106" s="2944"/>
      <c r="O106" s="2944"/>
      <c r="P106" s="2969"/>
      <c r="Q106" s="2930"/>
      <c r="R106" s="2916"/>
      <c r="S106" s="2916"/>
      <c r="T106" s="2916"/>
      <c r="U106" s="2916"/>
      <c r="V106" s="2916"/>
      <c r="W106" s="2916"/>
      <c r="X106" s="2916"/>
      <c r="Y106" s="2916"/>
      <c r="Z106" s="2916"/>
      <c r="AA106" s="2916"/>
      <c r="AB106" s="2916"/>
      <c r="AC106" s="291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5"/>
      <c r="O107" s="2945"/>
      <c r="P107" s="2969"/>
      <c r="Q107" s="2930"/>
      <c r="R107" s="2916"/>
      <c r="S107" s="2916"/>
      <c r="T107" s="2916"/>
      <c r="U107" s="2916"/>
      <c r="V107" s="2916"/>
      <c r="W107" s="2916"/>
      <c r="X107" s="2916"/>
      <c r="Y107" s="2916"/>
      <c r="Z107" s="2916"/>
      <c r="AA107" s="2916"/>
      <c r="AB107" s="2916"/>
      <c r="AC107" s="2916"/>
    </row>
    <row r="108" spans="1:29" ht="15.75" thickTop="1">
      <c r="A108" s="491"/>
      <c r="B108" s="495" t="s">
        <v>2509</v>
      </c>
      <c r="C108" s="540"/>
      <c r="D108" s="540"/>
      <c r="E108" s="540"/>
      <c r="F108" s="540"/>
      <c r="G108" s="540"/>
      <c r="H108" s="540"/>
      <c r="I108" s="540"/>
      <c r="J108" s="540"/>
      <c r="K108" s="541"/>
      <c r="L108" s="542"/>
      <c r="M108" s="543"/>
      <c r="N108" s="2944"/>
      <c r="O108" s="2944"/>
      <c r="P108" s="2969"/>
      <c r="Q108" s="2930"/>
      <c r="R108" s="2916"/>
      <c r="S108" s="2916"/>
      <c r="T108" s="2916"/>
      <c r="U108" s="2916"/>
      <c r="V108" s="2916"/>
      <c r="W108" s="2916"/>
      <c r="X108" s="2916"/>
      <c r="Y108" s="2916"/>
      <c r="Z108" s="2916"/>
      <c r="AA108" s="2916"/>
      <c r="AB108" s="2916"/>
      <c r="AC108" s="291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5"/>
      <c r="O109" s="2945"/>
      <c r="P109" s="2969"/>
      <c r="Q109" s="2930"/>
      <c r="R109" s="2916"/>
      <c r="S109" s="2916"/>
      <c r="T109" s="2916"/>
      <c r="U109" s="2916"/>
      <c r="V109" s="2916"/>
      <c r="W109" s="2916"/>
      <c r="X109" s="2916"/>
      <c r="Y109" s="2916"/>
      <c r="Z109" s="2916"/>
      <c r="AA109" s="2916"/>
      <c r="AB109" s="2916"/>
      <c r="AC109" s="2916"/>
    </row>
    <row r="110" spans="1:29" ht="15.75" thickTop="1">
      <c r="A110" s="491"/>
      <c r="B110" s="503">
        <f>B35</f>
        <v>111</v>
      </c>
      <c r="C110" s="511"/>
      <c r="D110" s="511"/>
      <c r="E110" s="511"/>
      <c r="F110" s="511"/>
      <c r="G110" s="544"/>
      <c r="H110" s="544"/>
      <c r="I110" s="544"/>
      <c r="J110" s="544"/>
      <c r="K110" s="545"/>
      <c r="L110" s="546"/>
      <c r="M110" s="547"/>
      <c r="N110" s="2944"/>
      <c r="O110" s="2944"/>
      <c r="P110" s="2969"/>
      <c r="Q110" s="2930"/>
      <c r="R110" s="2916"/>
      <c r="S110" s="2916"/>
      <c r="T110" s="2916"/>
      <c r="U110" s="2916"/>
      <c r="V110" s="2916"/>
      <c r="W110" s="2916"/>
      <c r="X110" s="2916"/>
      <c r="Y110" s="2916"/>
      <c r="Z110" s="2916"/>
      <c r="AA110" s="2916"/>
      <c r="AB110" s="2916"/>
      <c r="AC110" s="2916"/>
    </row>
    <row r="111" spans="1:29" ht="15.75" thickBot="1">
      <c r="A111" s="491"/>
      <c r="B111" s="526"/>
      <c r="C111" s="517"/>
      <c r="D111" s="517"/>
      <c r="E111" s="517"/>
      <c r="F111" s="517"/>
      <c r="G111" s="548"/>
      <c r="H111" s="548"/>
      <c r="I111" s="548"/>
      <c r="J111" s="548"/>
      <c r="K111" s="548"/>
      <c r="L111" s="548"/>
      <c r="M111" s="549"/>
      <c r="N111" s="2945"/>
      <c r="O111" s="2945"/>
      <c r="P111" s="2969"/>
      <c r="Q111" s="2930"/>
      <c r="R111" s="2916"/>
      <c r="S111" s="2916"/>
      <c r="T111" s="2916"/>
      <c r="U111" s="2916"/>
      <c r="V111" s="2916"/>
      <c r="W111" s="2916"/>
      <c r="X111" s="2916"/>
      <c r="Y111" s="2916"/>
      <c r="Z111" s="2916"/>
      <c r="AA111" s="2916"/>
      <c r="AB111" s="2916"/>
      <c r="AC111" s="2916"/>
    </row>
    <row r="112" spans="1:29" ht="15" thickTop="1">
      <c r="A112" s="631"/>
      <c r="B112" s="495">
        <f>B36</f>
        <v>111</v>
      </c>
      <c r="C112" s="480"/>
      <c r="D112" s="480"/>
      <c r="E112" s="480"/>
      <c r="F112" s="480"/>
      <c r="G112" s="540"/>
      <c r="H112" s="540"/>
      <c r="I112" s="540"/>
      <c r="J112" s="540"/>
      <c r="K112" s="541"/>
      <c r="L112" s="542"/>
      <c r="M112" s="543"/>
      <c r="N112" s="2944"/>
      <c r="O112" s="2944"/>
      <c r="P112" s="2969"/>
      <c r="Q112" s="2930"/>
      <c r="R112" s="2916"/>
      <c r="S112" s="2916"/>
      <c r="T112" s="2916"/>
      <c r="U112" s="2916"/>
      <c r="V112" s="2916"/>
      <c r="W112" s="2916"/>
      <c r="X112" s="2916"/>
      <c r="Y112" s="2916"/>
      <c r="Z112" s="2916"/>
      <c r="AA112" s="2916"/>
      <c r="AB112" s="2916"/>
      <c r="AC112" s="2916"/>
    </row>
    <row r="113" spans="1:29" ht="15.75" thickBot="1">
      <c r="A113" s="491"/>
      <c r="B113" s="500"/>
      <c r="C113" s="527"/>
      <c r="D113" s="527"/>
      <c r="E113" s="527"/>
      <c r="F113" s="527"/>
      <c r="G113" s="493"/>
      <c r="H113" s="493"/>
      <c r="I113" s="493"/>
      <c r="J113" s="493"/>
      <c r="K113" s="493"/>
      <c r="L113" s="493"/>
      <c r="M113" s="494"/>
      <c r="N113" s="2945"/>
      <c r="O113" s="2945"/>
      <c r="P113" s="2969"/>
      <c r="Q113" s="2930"/>
      <c r="R113" s="2916"/>
      <c r="S113" s="2916"/>
      <c r="T113" s="2916"/>
      <c r="U113" s="2916"/>
      <c r="V113" s="2916"/>
      <c r="W113" s="2916"/>
      <c r="X113" s="2916"/>
      <c r="Y113" s="2916"/>
      <c r="Z113" s="2916"/>
      <c r="AA113" s="2916"/>
      <c r="AB113" s="2916"/>
      <c r="AC113" s="2916"/>
    </row>
    <row r="114" spans="1:29" s="430" customFormat="1" ht="15" thickTop="1">
      <c r="A114" s="550"/>
      <c r="B114" s="551">
        <f>B37</f>
        <v>111</v>
      </c>
      <c r="C114" s="552"/>
      <c r="D114" s="552"/>
      <c r="E114" s="552"/>
      <c r="F114" s="552"/>
      <c r="G114" s="552"/>
      <c r="H114" s="552"/>
      <c r="I114" s="552"/>
      <c r="J114" s="553"/>
      <c r="K114" s="553"/>
      <c r="L114" s="554"/>
      <c r="M114" s="555"/>
      <c r="N114" s="2946"/>
      <c r="O114" s="2946"/>
      <c r="P114" s="2970"/>
      <c r="Q114" s="2937"/>
      <c r="R114" s="2938"/>
      <c r="S114" s="2938"/>
      <c r="T114" s="2938"/>
      <c r="U114" s="2938"/>
      <c r="V114" s="2938"/>
      <c r="W114" s="2938"/>
      <c r="X114" s="2938"/>
      <c r="Y114" s="2938"/>
      <c r="Z114" s="2938"/>
      <c r="AA114" s="2938"/>
      <c r="AB114" s="2938"/>
      <c r="AC114" s="2938"/>
    </row>
    <row r="115" spans="1:29" s="430" customFormat="1" ht="15.75" thickBot="1">
      <c r="A115" s="510"/>
      <c r="B115" s="503"/>
      <c r="C115" s="469"/>
      <c r="D115" s="633"/>
      <c r="E115" s="633"/>
      <c r="F115" s="633"/>
      <c r="G115" s="633"/>
      <c r="H115" s="633"/>
      <c r="I115" s="633"/>
      <c r="J115" s="633"/>
      <c r="K115" s="633"/>
      <c r="L115" s="633"/>
      <c r="M115" s="655"/>
      <c r="N115" s="2945"/>
      <c r="O115" s="2945"/>
      <c r="P115" s="2970"/>
      <c r="Q115" s="2937"/>
      <c r="R115" s="2938"/>
      <c r="S115" s="2938"/>
      <c r="T115" s="2938"/>
      <c r="U115" s="2938"/>
      <c r="V115" s="2938"/>
      <c r="W115" s="2938"/>
      <c r="X115" s="2938"/>
      <c r="Y115" s="2938"/>
      <c r="Z115" s="2938"/>
      <c r="AA115" s="2938"/>
      <c r="AB115" s="2938"/>
      <c r="AC115" s="2938"/>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4"/>
      <c r="O116" s="2944"/>
      <c r="P116" s="2969"/>
      <c r="Q116" s="2930"/>
      <c r="R116" s="2916"/>
      <c r="S116" s="2916"/>
      <c r="T116" s="2916"/>
      <c r="U116" s="2916"/>
      <c r="V116" s="2916"/>
      <c r="W116" s="2916"/>
      <c r="X116" s="2916"/>
      <c r="Y116" s="2916"/>
      <c r="Z116" s="2916"/>
      <c r="AA116" s="2916"/>
      <c r="AB116" s="2916"/>
      <c r="AC116" s="2916"/>
    </row>
    <row r="117" spans="1:29" ht="15">
      <c r="A117" s="491"/>
      <c r="B117" s="503"/>
      <c r="C117" s="552"/>
      <c r="D117" s="552"/>
      <c r="E117" s="552"/>
      <c r="F117" s="552"/>
      <c r="G117" s="552"/>
      <c r="H117" s="552"/>
      <c r="I117" s="552"/>
      <c r="J117" s="553"/>
      <c r="K117" s="553"/>
      <c r="L117" s="554"/>
      <c r="M117" s="555"/>
      <c r="N117" s="2944"/>
      <c r="O117" s="2944"/>
      <c r="P117" s="2969"/>
      <c r="Q117" s="2930"/>
      <c r="R117" s="2916"/>
      <c r="S117" s="2916"/>
      <c r="T117" s="2916"/>
      <c r="U117" s="2916"/>
      <c r="V117" s="2916"/>
      <c r="W117" s="2916"/>
      <c r="X117" s="2916"/>
      <c r="Y117" s="2916"/>
      <c r="Z117" s="2916"/>
      <c r="AA117" s="2916"/>
      <c r="AB117" s="2916"/>
      <c r="AC117" s="2916"/>
    </row>
    <row r="118" spans="1:29" ht="15.75" thickBot="1">
      <c r="A118" s="491"/>
      <c r="B118" s="500"/>
      <c r="C118" s="527"/>
      <c r="D118" s="548"/>
      <c r="E118" s="548"/>
      <c r="F118" s="548"/>
      <c r="G118" s="548"/>
      <c r="H118" s="548"/>
      <c r="I118" s="548"/>
      <c r="J118" s="548"/>
      <c r="K118" s="548"/>
      <c r="L118" s="548"/>
      <c r="M118" s="549"/>
      <c r="N118" s="2945"/>
      <c r="O118" s="2945"/>
      <c r="P118" s="2969"/>
      <c r="Q118" s="2930"/>
      <c r="R118" s="2916"/>
      <c r="S118" s="2916"/>
      <c r="T118" s="2916"/>
      <c r="U118" s="2916"/>
      <c r="V118" s="2916"/>
      <c r="W118" s="2916"/>
      <c r="X118" s="2916"/>
      <c r="Y118" s="2916"/>
      <c r="Z118" s="2916"/>
      <c r="AA118" s="2916"/>
      <c r="AB118" s="2916"/>
      <c r="AC118" s="2916"/>
    </row>
    <row r="119" spans="1:29" ht="15" thickTop="1">
      <c r="A119" s="556"/>
      <c r="B119" s="495" t="s">
        <v>2551</v>
      </c>
      <c r="C119" s="540"/>
      <c r="D119" s="540"/>
      <c r="E119" s="540"/>
      <c r="F119" s="540"/>
      <c r="G119" s="540"/>
      <c r="H119" s="540"/>
      <c r="I119" s="540"/>
      <c r="J119" s="540"/>
      <c r="K119" s="541"/>
      <c r="L119" s="542"/>
      <c r="M119" s="543"/>
      <c r="N119" s="2944"/>
      <c r="O119" s="2944"/>
      <c r="P119" s="2969"/>
      <c r="Q119" s="2930"/>
      <c r="R119" s="2916"/>
      <c r="S119" s="2916"/>
      <c r="T119" s="2916"/>
      <c r="U119" s="2916"/>
      <c r="V119" s="2916"/>
      <c r="W119" s="2916"/>
      <c r="X119" s="2916"/>
      <c r="Y119" s="2916"/>
      <c r="Z119" s="2916"/>
      <c r="AA119" s="2916"/>
      <c r="AB119" s="2916"/>
      <c r="AC119" s="291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5"/>
      <c r="O120" s="2945"/>
      <c r="P120" s="2969"/>
      <c r="Q120" s="2930"/>
      <c r="R120" s="2916"/>
      <c r="S120" s="2916"/>
      <c r="T120" s="2916"/>
      <c r="U120" s="2916"/>
      <c r="V120" s="2916"/>
      <c r="W120" s="2916"/>
      <c r="X120" s="2916"/>
      <c r="Y120" s="2916"/>
      <c r="Z120" s="2916"/>
      <c r="AA120" s="2916"/>
      <c r="AB120" s="2916"/>
      <c r="AC120" s="2916"/>
    </row>
    <row r="121" spans="1:29" ht="15" thickTop="1">
      <c r="A121" s="556"/>
      <c r="B121" s="495" t="s">
        <v>2552</v>
      </c>
      <c r="C121" s="511"/>
      <c r="D121" s="511"/>
      <c r="E121" s="511"/>
      <c r="F121" s="540"/>
      <c r="G121" s="540"/>
      <c r="H121" s="540"/>
      <c r="I121" s="540"/>
      <c r="J121" s="540"/>
      <c r="K121" s="541"/>
      <c r="L121" s="542"/>
      <c r="M121" s="543"/>
      <c r="N121" s="2944"/>
      <c r="O121" s="2944"/>
      <c r="P121" s="2969"/>
      <c r="Q121" s="2930"/>
      <c r="R121" s="2916"/>
      <c r="S121" s="2916"/>
      <c r="T121" s="2916"/>
      <c r="U121" s="2916"/>
      <c r="V121" s="2916"/>
      <c r="W121" s="2916"/>
      <c r="X121" s="2916"/>
      <c r="Y121" s="2916"/>
      <c r="Z121" s="2916"/>
      <c r="AA121" s="2916"/>
      <c r="AB121" s="2916"/>
      <c r="AC121" s="291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5"/>
      <c r="O122" s="2945"/>
      <c r="P122" s="2969"/>
      <c r="Q122" s="2930"/>
      <c r="R122" s="2916"/>
      <c r="S122" s="2916"/>
      <c r="T122" s="2916"/>
      <c r="U122" s="2916"/>
      <c r="V122" s="2916"/>
      <c r="W122" s="2916"/>
      <c r="X122" s="2916"/>
      <c r="Y122" s="2916"/>
      <c r="Z122" s="2916"/>
      <c r="AA122" s="2916"/>
      <c r="AB122" s="2916"/>
      <c r="AC122" s="2916"/>
    </row>
    <row r="123" spans="1:29" s="430" customFormat="1" ht="15" thickTop="1">
      <c r="A123" s="550"/>
      <c r="B123" s="495" t="s">
        <v>2553</v>
      </c>
      <c r="C123" s="511"/>
      <c r="D123" s="511"/>
      <c r="E123" s="511"/>
      <c r="F123" s="511"/>
      <c r="G123" s="511"/>
      <c r="H123" s="540"/>
      <c r="I123" s="540"/>
      <c r="J123" s="540"/>
      <c r="K123" s="541"/>
      <c r="L123" s="542"/>
      <c r="M123" s="543"/>
      <c r="N123" s="2946"/>
      <c r="O123" s="2946"/>
      <c r="P123" s="2970"/>
      <c r="Q123" s="2937"/>
      <c r="R123" s="2938"/>
      <c r="S123" s="2938"/>
      <c r="T123" s="2938"/>
      <c r="U123" s="2938"/>
      <c r="V123" s="2938"/>
      <c r="W123" s="2938"/>
      <c r="X123" s="2938"/>
      <c r="Y123" s="2938"/>
      <c r="Z123" s="2938"/>
      <c r="AA123" s="2938"/>
      <c r="AB123" s="2938"/>
      <c r="AC123" s="293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6"/>
      <c r="O124" s="2946"/>
      <c r="P124" s="2970"/>
      <c r="Q124" s="2937"/>
      <c r="R124" s="2938"/>
      <c r="S124" s="2938"/>
      <c r="T124" s="2938"/>
      <c r="U124" s="2938"/>
      <c r="V124" s="2938"/>
      <c r="W124" s="2938"/>
      <c r="X124" s="2938"/>
      <c r="Y124" s="2938"/>
      <c r="Z124" s="2938"/>
      <c r="AA124" s="2938"/>
      <c r="AB124" s="2938"/>
      <c r="AC124" s="2938"/>
    </row>
    <row r="125" spans="1:29" ht="15" thickTop="1">
      <c r="A125" s="556"/>
      <c r="B125" s="495" t="s">
        <v>2554</v>
      </c>
      <c r="C125" s="511"/>
      <c r="D125" s="511"/>
      <c r="E125" s="540"/>
      <c r="F125" s="540"/>
      <c r="G125" s="540"/>
      <c r="H125" s="540"/>
      <c r="I125" s="540"/>
      <c r="J125" s="540"/>
      <c r="K125" s="541"/>
      <c r="L125" s="542"/>
      <c r="M125" s="543"/>
      <c r="N125" s="2944"/>
      <c r="O125" s="2944"/>
      <c r="P125" s="2969"/>
      <c r="Q125" s="2930"/>
      <c r="R125" s="2916"/>
      <c r="S125" s="2916"/>
      <c r="T125" s="2916"/>
      <c r="U125" s="2916"/>
      <c r="V125" s="2916"/>
      <c r="W125" s="2916"/>
      <c r="X125" s="2916"/>
      <c r="Y125" s="2916"/>
      <c r="Z125" s="2916"/>
      <c r="AA125" s="2916"/>
      <c r="AB125" s="2916"/>
      <c r="AC125" s="291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5"/>
      <c r="O126" s="2945"/>
      <c r="P126" s="2969"/>
      <c r="Q126" s="2930"/>
      <c r="R126" s="2916"/>
      <c r="S126" s="2916"/>
      <c r="T126" s="2916"/>
      <c r="U126" s="2916"/>
      <c r="V126" s="2916"/>
      <c r="W126" s="2916"/>
      <c r="X126" s="2916"/>
      <c r="Y126" s="2916"/>
      <c r="Z126" s="2916"/>
      <c r="AA126" s="2916"/>
      <c r="AB126" s="2916"/>
      <c r="AC126" s="2916"/>
    </row>
    <row r="127" spans="1:29" ht="15" thickTop="1">
      <c r="A127" s="556"/>
      <c r="B127" s="495">
        <f>B43</f>
        <v>111</v>
      </c>
      <c r="C127" s="511"/>
      <c r="D127" s="511"/>
      <c r="E127" s="511"/>
      <c r="F127" s="511"/>
      <c r="G127" s="511"/>
      <c r="H127" s="540"/>
      <c r="I127" s="540"/>
      <c r="J127" s="540"/>
      <c r="K127" s="541"/>
      <c r="L127" s="542"/>
      <c r="M127" s="543"/>
      <c r="N127" s="2944"/>
      <c r="O127" s="2944"/>
      <c r="P127" s="2969"/>
      <c r="Q127" s="2930"/>
      <c r="R127" s="2916"/>
      <c r="S127" s="2916"/>
      <c r="T127" s="2916"/>
      <c r="U127" s="2916"/>
      <c r="V127" s="2916"/>
      <c r="W127" s="2916"/>
      <c r="X127" s="2916"/>
      <c r="Y127" s="2916"/>
      <c r="Z127" s="2916"/>
      <c r="AA127" s="2916"/>
      <c r="AB127" s="2916"/>
      <c r="AC127" s="2916"/>
    </row>
    <row r="128" spans="1:29" ht="15.75" thickBot="1">
      <c r="A128" s="491"/>
      <c r="B128" s="500"/>
      <c r="C128" s="517"/>
      <c r="D128" s="517"/>
      <c r="E128" s="517"/>
      <c r="F128" s="517"/>
      <c r="G128" s="493"/>
      <c r="H128" s="493"/>
      <c r="I128" s="493"/>
      <c r="J128" s="493"/>
      <c r="K128" s="493"/>
      <c r="L128" s="493"/>
      <c r="M128" s="494"/>
      <c r="N128" s="2945"/>
      <c r="O128" s="2945"/>
      <c r="P128" s="2969"/>
      <c r="Q128" s="2930"/>
      <c r="R128" s="2916"/>
      <c r="S128" s="2916"/>
      <c r="T128" s="2916"/>
      <c r="U128" s="2916"/>
      <c r="V128" s="2916"/>
      <c r="W128" s="2916"/>
      <c r="X128" s="2916"/>
      <c r="Y128" s="2916"/>
      <c r="Z128" s="2916"/>
      <c r="AA128" s="2916"/>
      <c r="AB128" s="2916"/>
      <c r="AC128" s="2916"/>
    </row>
    <row r="129" spans="1:29" ht="15" thickTop="1">
      <c r="A129" s="556"/>
      <c r="B129" s="495">
        <f>B44</f>
        <v>111</v>
      </c>
      <c r="C129" s="480"/>
      <c r="D129" s="480"/>
      <c r="E129" s="480"/>
      <c r="F129" s="480"/>
      <c r="G129" s="540"/>
      <c r="H129" s="540"/>
      <c r="I129" s="540"/>
      <c r="J129" s="540"/>
      <c r="K129" s="541"/>
      <c r="L129" s="542"/>
      <c r="M129" s="543"/>
      <c r="N129" s="2944"/>
      <c r="O129" s="2944"/>
      <c r="P129" s="2969"/>
      <c r="Q129" s="2930"/>
      <c r="R129" s="2916"/>
      <c r="S129" s="2916"/>
      <c r="T129" s="2916"/>
      <c r="U129" s="2916"/>
      <c r="V129" s="2916"/>
      <c r="W129" s="2916"/>
      <c r="X129" s="2916"/>
      <c r="Y129" s="2916"/>
      <c r="Z129" s="2916"/>
      <c r="AA129" s="2916"/>
      <c r="AB129" s="2916"/>
      <c r="AC129" s="2916"/>
    </row>
    <row r="130" spans="1:29" ht="15.75" thickBot="1">
      <c r="A130" s="491"/>
      <c r="B130" s="500"/>
      <c r="C130" s="527"/>
      <c r="D130" s="527"/>
      <c r="E130" s="527"/>
      <c r="F130" s="527"/>
      <c r="G130" s="493"/>
      <c r="H130" s="493"/>
      <c r="I130" s="493"/>
      <c r="J130" s="493"/>
      <c r="K130" s="493"/>
      <c r="L130" s="493"/>
      <c r="M130" s="494"/>
      <c r="N130" s="2945"/>
      <c r="O130" s="2945"/>
      <c r="P130" s="2969"/>
      <c r="Q130" s="2930"/>
      <c r="R130" s="2916"/>
      <c r="S130" s="2916"/>
      <c r="T130" s="2916"/>
      <c r="U130" s="2916"/>
      <c r="V130" s="2916"/>
      <c r="W130" s="2916"/>
      <c r="X130" s="2916"/>
      <c r="Y130" s="2916"/>
      <c r="Z130" s="2916"/>
      <c r="AA130" s="2916"/>
      <c r="AB130" s="2916"/>
      <c r="AC130" s="2916"/>
    </row>
    <row r="131" spans="1:29" s="430" customFormat="1" ht="15" thickTop="1">
      <c r="A131" s="550"/>
      <c r="B131" s="495">
        <f>B45</f>
        <v>111</v>
      </c>
      <c r="C131" s="480"/>
      <c r="D131" s="480"/>
      <c r="E131" s="480"/>
      <c r="F131" s="480"/>
      <c r="G131" s="512"/>
      <c r="H131" s="512"/>
      <c r="I131" s="512"/>
      <c r="J131" s="512"/>
      <c r="K131" s="512"/>
      <c r="L131" s="513"/>
      <c r="M131" s="514"/>
      <c r="N131" s="2946"/>
      <c r="O131" s="2946"/>
      <c r="P131" s="2970"/>
      <c r="Q131" s="2937"/>
      <c r="R131" s="2938"/>
      <c r="S131" s="2938"/>
      <c r="T131" s="2938"/>
      <c r="U131" s="2938"/>
      <c r="V131" s="2938"/>
      <c r="W131" s="2938"/>
      <c r="X131" s="2938"/>
      <c r="Y131" s="2938"/>
      <c r="Z131" s="2938"/>
      <c r="AA131" s="2938"/>
      <c r="AB131" s="2938"/>
      <c r="AC131" s="2938"/>
    </row>
    <row r="132" spans="1:29" s="430" customFormat="1" ht="15.75" thickBot="1">
      <c r="A132" s="525"/>
      <c r="B132" s="656"/>
      <c r="C132" s="527"/>
      <c r="D132" s="527"/>
      <c r="E132" s="527"/>
      <c r="F132" s="527"/>
      <c r="G132" s="548"/>
      <c r="H132" s="548"/>
      <c r="I132" s="548"/>
      <c r="J132" s="548"/>
      <c r="K132" s="548"/>
      <c r="L132" s="548"/>
      <c r="M132" s="549"/>
      <c r="N132" s="2946"/>
      <c r="O132" s="2946"/>
      <c r="P132" s="2970"/>
      <c r="Q132" s="2937"/>
      <c r="R132" s="2938"/>
      <c r="S132" s="2938"/>
      <c r="T132" s="2938"/>
      <c r="U132" s="2938"/>
      <c r="V132" s="2938"/>
      <c r="W132" s="2938"/>
      <c r="X132" s="2938"/>
      <c r="Y132" s="2938"/>
      <c r="Z132" s="2938"/>
      <c r="AA132" s="2938"/>
      <c r="AB132" s="2938"/>
      <c r="AC132" s="293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 type="list" allowBlank="1" showInputMessage="1" showErrorMessage="1" sqref="D47"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1526</v>
      </c>
      <c r="B1" s="1642"/>
      <c r="C1" s="1642"/>
      <c r="D1" s="1642"/>
      <c r="E1" s="1642"/>
    </row>
    <row r="2" spans="1:5" ht="78" customHeight="1">
      <c r="A2" s="34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1"/>
      <c r="C2" s="3421"/>
      <c r="D2" s="3421"/>
      <c r="E2" s="3421"/>
    </row>
    <row r="3" spans="1:5" ht="18">
      <c r="A3" s="3422" t="str">
        <f>IF(项目基本情况!B9="房地产市场价值","估价结果一览表（市场价值不需“结果表-1”）","估价结果一览表")</f>
        <v>估价结果一览表</v>
      </c>
      <c r="B3" s="3422"/>
      <c r="C3" s="3422"/>
      <c r="D3" s="3422"/>
      <c r="E3" s="3422"/>
    </row>
    <row r="4" spans="1:5" ht="19.5" thickBot="1">
      <c r="A4" s="1644"/>
      <c r="B4" s="3420" t="s">
        <v>1535</v>
      </c>
      <c r="C4" s="3420"/>
      <c r="D4" s="3420"/>
      <c r="E4" s="1644"/>
    </row>
    <row r="5" spans="1:5" ht="16.5" thickTop="1">
      <c r="A5" s="1642"/>
      <c r="B5" s="3418" t="s">
        <v>1527</v>
      </c>
      <c r="C5" s="1645" t="s">
        <v>1528</v>
      </c>
      <c r="D5" s="955" t="e">
        <f ca="1">结果表!H101</f>
        <v>#REF!</v>
      </c>
      <c r="E5" s="1642"/>
    </row>
    <row r="6" spans="1:5" ht="15.75">
      <c r="A6" s="1642"/>
      <c r="B6" s="3418"/>
      <c r="C6" s="1645" t="s">
        <v>1529</v>
      </c>
      <c r="D6" s="955" t="e">
        <f ca="1">NUMBERSTRING(INT(D5*10000),2)&amp;"元整"</f>
        <v>#REF!</v>
      </c>
      <c r="E6" s="1642"/>
    </row>
    <row r="7" spans="1:5" ht="15.75">
      <c r="A7" s="1642"/>
      <c r="B7" s="3423"/>
      <c r="C7" s="1646" t="s">
        <v>1530</v>
      </c>
      <c r="D7" s="956" t="e">
        <f ca="1">结果表!H102</f>
        <v>#REF!</v>
      </c>
      <c r="E7" s="1642"/>
    </row>
    <row r="8" spans="1:5" ht="15.75">
      <c r="A8" s="1642"/>
      <c r="B8" s="3424" t="str">
        <f>结果表!E103</f>
        <v>2.估价师知悉的法定优先受偿款</v>
      </c>
      <c r="C8" s="1647" t="s">
        <v>1531</v>
      </c>
      <c r="D8" s="956">
        <f>结果表!H103</f>
        <v>0</v>
      </c>
      <c r="E8" s="1642"/>
    </row>
    <row r="9" spans="1:5" ht="15.75">
      <c r="A9" s="1642"/>
      <c r="B9" s="3426"/>
      <c r="C9" s="1645" t="s">
        <v>1529</v>
      </c>
      <c r="D9" s="955" t="str">
        <f>NUMBERSTRING(INT(D8*10000),2)&amp;"元整"</f>
        <v>零元整</v>
      </c>
      <c r="E9" s="1642"/>
    </row>
    <row r="10" spans="1:5" ht="15">
      <c r="A10" s="1642"/>
      <c r="B10" s="1648" t="s">
        <v>1534</v>
      </c>
      <c r="C10" s="1649" t="s">
        <v>1532</v>
      </c>
      <c r="D10" s="957">
        <f>结果表!H104</f>
        <v>0</v>
      </c>
      <c r="E10" s="1642"/>
    </row>
    <row r="11" spans="1:5" ht="15">
      <c r="A11" s="1642"/>
      <c r="B11" s="1648" t="s">
        <v>1536</v>
      </c>
      <c r="C11" s="1649" t="s">
        <v>1537</v>
      </c>
      <c r="D11" s="957">
        <f>结果表!H105</f>
        <v>0</v>
      </c>
      <c r="E11" s="1642"/>
    </row>
    <row r="12" spans="1:5" ht="15">
      <c r="A12" s="1642"/>
      <c r="B12" s="1648" t="s">
        <v>1538</v>
      </c>
      <c r="C12" s="1649" t="s">
        <v>1537</v>
      </c>
      <c r="D12" s="957">
        <f>结果表!H106</f>
        <v>0</v>
      </c>
      <c r="E12" s="1642"/>
    </row>
    <row r="13" spans="1:5" ht="15.75">
      <c r="A13" s="1642"/>
      <c r="B13" s="3417" t="str">
        <f>结果表!E107</f>
        <v>3.房地产抵押价值</v>
      </c>
      <c r="C13" s="1650" t="s">
        <v>1528</v>
      </c>
      <c r="D13" s="958" t="e">
        <f ca="1">结果表!H107</f>
        <v>#REF!</v>
      </c>
      <c r="E13" s="1642"/>
    </row>
    <row r="14" spans="1:5" ht="15.75">
      <c r="A14" s="1642"/>
      <c r="B14" s="3418"/>
      <c r="C14" s="1645" t="s">
        <v>1529</v>
      </c>
      <c r="D14" s="955" t="e">
        <f ca="1">NUMBERSTRING(INT(D13*10000),2)&amp;"元整"</f>
        <v>#REF!</v>
      </c>
      <c r="E14" s="1642"/>
    </row>
    <row r="15" spans="1:5" ht="15">
      <c r="A15" s="1642"/>
      <c r="B15" s="3423"/>
      <c r="C15" s="1646" t="s">
        <v>1539</v>
      </c>
      <c r="D15" s="964" t="e">
        <f ca="1">结果表!H108</f>
        <v>#REF!</v>
      </c>
      <c r="E15" s="1642"/>
    </row>
    <row r="16" spans="1:5" ht="15">
      <c r="A16" s="1642"/>
      <c r="B16" s="3424" t="str">
        <f>结果表!E109</f>
        <v>——</v>
      </c>
      <c r="C16" s="1650" t="s">
        <v>1540</v>
      </c>
      <c r="D16" s="1651" t="str">
        <f>结果表!H109</f>
        <v>——</v>
      </c>
      <c r="E16" s="1642"/>
    </row>
    <row r="17" spans="1:5" ht="15.75">
      <c r="A17" s="1642"/>
      <c r="B17" s="3425"/>
      <c r="C17" s="1645" t="s">
        <v>1541</v>
      </c>
      <c r="D17" s="955" t="e">
        <f>NUMBERSTRING(INT(D16*10000),2)&amp;"元整"</f>
        <v>#VALUE!</v>
      </c>
      <c r="E17" s="1642"/>
    </row>
    <row r="18" spans="1:5" ht="15">
      <c r="A18" s="1642"/>
      <c r="B18" s="3426"/>
      <c r="C18" s="1646" t="s">
        <v>1530</v>
      </c>
      <c r="D18" s="964" t="str">
        <f>结果表!H110</f>
        <v>——</v>
      </c>
      <c r="E18" s="1642"/>
    </row>
    <row r="19" spans="1:5" ht="15.75">
      <c r="A19" s="1642"/>
      <c r="B19" s="3417" t="str">
        <f>结果表!E111</f>
        <v>——</v>
      </c>
      <c r="C19" s="1650" t="s">
        <v>1528</v>
      </c>
      <c r="D19" s="956" t="str">
        <f>结果表!H111</f>
        <v>——</v>
      </c>
      <c r="E19" s="1642"/>
    </row>
    <row r="20" spans="1:5" ht="15.75">
      <c r="A20" s="1642"/>
      <c r="B20" s="3418"/>
      <c r="C20" s="1645" t="s">
        <v>1541</v>
      </c>
      <c r="D20" s="955" t="e">
        <f>NUMBERSTRING(INT(D19*10000),2)&amp;"元整"</f>
        <v>#VALUE!</v>
      </c>
      <c r="E20" s="1642"/>
    </row>
    <row r="21" spans="1:5" ht="15.75" thickBot="1">
      <c r="A21" s="1642"/>
      <c r="B21" s="3419"/>
      <c r="C21" s="1652" t="s">
        <v>1539</v>
      </c>
      <c r="D21" s="965" t="str">
        <f>结果表!H112</f>
        <v>——</v>
      </c>
      <c r="E21" s="1642"/>
    </row>
    <row r="22" spans="1:5" ht="15" thickTop="1">
      <c r="A22" s="1642"/>
      <c r="B22" s="1653" t="s">
        <v>1542</v>
      </c>
      <c r="C22" s="1642"/>
      <c r="D22" s="1642"/>
      <c r="E22" s="1642"/>
    </row>
    <row r="23" spans="1:5">
      <c r="A23" s="1642"/>
      <c r="B23" s="1642"/>
      <c r="C23" s="1642"/>
      <c r="D23" s="1642"/>
      <c r="E23" s="1642"/>
    </row>
    <row r="24" spans="1:5" ht="18.75">
      <c r="A24" s="1654"/>
      <c r="B24" s="1655" t="s">
        <v>1533</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5"/>
      <c r="D2" s="1035"/>
      <c r="E2" s="1035"/>
      <c r="F2" s="1036"/>
      <c r="G2" s="1035"/>
      <c r="H2" s="1035"/>
      <c r="I2" s="1035"/>
      <c r="J2" s="1035"/>
      <c r="K2" s="1037"/>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2505</v>
      </c>
      <c r="D3" s="1323"/>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61" t="s">
        <v>2406</v>
      </c>
      <c r="S4" s="3762"/>
      <c r="T4" s="3761" t="s">
        <v>2407</v>
      </c>
      <c r="U4" s="3762"/>
      <c r="V4" s="3767" t="s">
        <v>2408</v>
      </c>
      <c r="W4" s="3767"/>
      <c r="X4" s="1505"/>
      <c r="Y4" s="3761" t="s">
        <v>2410</v>
      </c>
      <c r="Z4" s="3762"/>
      <c r="AA4" s="3748" t="s">
        <v>2406</v>
      </c>
      <c r="AB4" s="3749" t="s">
        <v>2407</v>
      </c>
      <c r="AC4" s="3748" t="s">
        <v>2408</v>
      </c>
    </row>
    <row r="5" spans="1:29" ht="15">
      <c r="A5" s="364"/>
      <c r="B5" s="365"/>
      <c r="C5" s="3779" t="s">
        <v>2301</v>
      </c>
      <c r="D5" s="3771"/>
      <c r="E5" s="3780" t="s">
        <v>2302</v>
      </c>
      <c r="F5" s="3778"/>
      <c r="G5" s="3779" t="s">
        <v>2303</v>
      </c>
      <c r="H5" s="3771"/>
      <c r="I5" s="3779" t="s">
        <v>2304</v>
      </c>
      <c r="J5" s="3771"/>
      <c r="K5" s="567"/>
      <c r="L5" s="2906"/>
      <c r="M5" s="2907"/>
      <c r="N5" s="2907"/>
      <c r="O5" s="2907"/>
      <c r="P5" s="3757"/>
      <c r="Q5" s="3758"/>
      <c r="R5" s="3763"/>
      <c r="S5" s="3764"/>
      <c r="T5" s="3763"/>
      <c r="U5" s="3764"/>
      <c r="V5" s="3767"/>
      <c r="W5" s="3767"/>
      <c r="X5" s="1505"/>
      <c r="Y5" s="3763"/>
      <c r="Z5" s="3764"/>
      <c r="AA5" s="3749"/>
      <c r="AB5" s="3749"/>
      <c r="AC5" s="3749"/>
    </row>
    <row r="6" spans="1:29" ht="15.75" thickBot="1">
      <c r="A6" s="366"/>
      <c r="B6" s="367"/>
      <c r="C6" s="3802" t="s">
        <v>2556</v>
      </c>
      <c r="D6" s="3803"/>
      <c r="E6" s="3804" t="s">
        <v>2556</v>
      </c>
      <c r="F6" s="3805"/>
      <c r="G6" s="3802" t="s">
        <v>2556</v>
      </c>
      <c r="H6" s="3803"/>
      <c r="I6" s="3802" t="s">
        <v>2556</v>
      </c>
      <c r="J6" s="3803"/>
      <c r="K6" s="567" t="s">
        <v>2306</v>
      </c>
      <c r="L6" s="2906"/>
      <c r="M6" s="2907"/>
      <c r="N6" s="2907"/>
      <c r="O6" s="2907"/>
      <c r="P6" s="3759"/>
      <c r="Q6" s="3760"/>
      <c r="R6" s="3763"/>
      <c r="S6" s="3764"/>
      <c r="T6" s="3765"/>
      <c r="U6" s="3766"/>
      <c r="V6" s="3767"/>
      <c r="W6" s="3767"/>
      <c r="X6" s="1505"/>
      <c r="Y6" s="3765"/>
      <c r="Z6" s="3766"/>
      <c r="AA6" s="3750"/>
      <c r="AB6" s="3750"/>
      <c r="AC6" s="3750"/>
    </row>
    <row r="7" spans="1:29" s="113" customFormat="1" ht="15.75" thickBot="1">
      <c r="A7" s="368" t="s">
        <v>2307</v>
      </c>
      <c r="B7" s="369"/>
      <c r="C7" s="370">
        <f>'数据-取费表'!B2</f>
        <v>44652</v>
      </c>
      <c r="D7" s="371">
        <v>100</v>
      </c>
      <c r="E7" s="372"/>
      <c r="F7" s="373">
        <f>SUMIF(65:65,YEAR(E7)&amp;"-"&amp;INT((MONTH(E7)+2)/3),66:66)</f>
        <v>0</v>
      </c>
      <c r="G7" s="2123"/>
      <c r="H7" s="371">
        <f>SUMIF(65:65,YEAR(G7)&amp;"-"&amp;INT((MONTH(G7)+2)/3),66:66)</f>
        <v>0</v>
      </c>
      <c r="I7" s="2123"/>
      <c r="J7" s="371">
        <f>SUMIF(65:65,YEAR(I7)&amp;"-"&amp;INT((MONTH(I7)+2)/3),66:66)</f>
        <v>0</v>
      </c>
      <c r="K7" s="568"/>
      <c r="L7" s="2908"/>
      <c r="M7" s="2909"/>
      <c r="N7" s="2909"/>
      <c r="O7" s="2909"/>
      <c r="P7" s="3772" t="s">
        <v>2308</v>
      </c>
      <c r="Q7" s="3774"/>
      <c r="R7" s="710" t="s">
        <v>17</v>
      </c>
      <c r="S7" s="711">
        <f t="shared" ref="S7:S15" si="0">F7</f>
        <v>0</v>
      </c>
      <c r="T7" s="710" t="s">
        <v>17</v>
      </c>
      <c r="U7" s="711">
        <f t="shared" ref="U7:U15" si="1">H7</f>
        <v>0</v>
      </c>
      <c r="V7" s="710" t="s">
        <v>17</v>
      </c>
      <c r="W7" s="711">
        <f t="shared" ref="W7:W15" si="2">J7</f>
        <v>0</v>
      </c>
      <c r="X7" s="712"/>
      <c r="Y7" s="3772" t="s">
        <v>2308</v>
      </c>
      <c r="Z7" s="3773"/>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08"/>
      <c r="M8" s="2909"/>
      <c r="N8" s="2909"/>
      <c r="O8" s="2909"/>
      <c r="P8" s="3772" t="s">
        <v>2311</v>
      </c>
      <c r="Q8" s="3773"/>
      <c r="R8" s="710" t="s">
        <v>17</v>
      </c>
      <c r="S8" s="711">
        <f t="shared" si="0"/>
        <v>0</v>
      </c>
      <c r="T8" s="710" t="s">
        <v>17</v>
      </c>
      <c r="U8" s="711">
        <f t="shared" si="1"/>
        <v>0</v>
      </c>
      <c r="V8" s="710" t="s">
        <v>17</v>
      </c>
      <c r="W8" s="711">
        <f t="shared" si="2"/>
        <v>0</v>
      </c>
      <c r="X8" s="712"/>
      <c r="Y8" s="3772" t="s">
        <v>2311</v>
      </c>
      <c r="Z8" s="3773"/>
      <c r="AA8" s="713" t="e">
        <f t="shared" ref="AA8:AA40" si="3">D8/F8</f>
        <v>#DIV/0!</v>
      </c>
      <c r="AB8" s="713" t="e">
        <f t="shared" ref="AB8:AB40" si="4">D8/H8</f>
        <v>#DIV/0!</v>
      </c>
      <c r="AC8" s="713" t="e">
        <f t="shared" ref="AC8:AC40" si="5">D8/J8</f>
        <v>#DIV/0!</v>
      </c>
    </row>
    <row r="9" spans="1:29" s="113" customFormat="1">
      <c r="A9" s="375" t="s">
        <v>2312</v>
      </c>
      <c r="B9" s="67" t="s">
        <v>2313</v>
      </c>
      <c r="C9" s="2126"/>
      <c r="D9" s="131">
        <v>100</v>
      </c>
      <c r="E9" s="2126"/>
      <c r="F9" s="131">
        <f>SUMIF(70:70,E9,71:71)-SUMIF(70:70,C9,71:71)+100</f>
        <v>100</v>
      </c>
      <c r="G9" s="2126"/>
      <c r="H9" s="131">
        <f>SUMIF(70:70,G9,71:71)-SUMIF(70:70,C9,71:71)+100</f>
        <v>100</v>
      </c>
      <c r="I9" s="2126"/>
      <c r="J9" s="131">
        <f>SUMIF(70:70,I9,71:71)-SUMIF(70:70,C9,71:71)+100</f>
        <v>100</v>
      </c>
      <c r="K9" s="568"/>
      <c r="L9" s="2908"/>
      <c r="M9" s="2909"/>
      <c r="N9" s="2909"/>
      <c r="O9" s="2963"/>
      <c r="P9" s="3736" t="s">
        <v>2314</v>
      </c>
      <c r="Q9" s="1493" t="str">
        <f t="shared" ref="Q9:Q15" si="6">B9</f>
        <v>用途</v>
      </c>
      <c r="R9" s="710" t="s">
        <v>17</v>
      </c>
      <c r="S9" s="711">
        <f t="shared" si="0"/>
        <v>100</v>
      </c>
      <c r="T9" s="710" t="s">
        <v>17</v>
      </c>
      <c r="U9" s="711">
        <f t="shared" si="1"/>
        <v>100</v>
      </c>
      <c r="V9" s="710" t="s">
        <v>17</v>
      </c>
      <c r="W9" s="711">
        <f t="shared" si="2"/>
        <v>100</v>
      </c>
      <c r="X9" s="712"/>
      <c r="Y9" s="3608"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104</v>
      </c>
      <c r="G10" s="391"/>
      <c r="H10" s="132">
        <f>ROUND(100/'数据-取费表'!G16,0)</f>
        <v>104</v>
      </c>
      <c r="I10" s="391"/>
      <c r="J10" s="132">
        <f>ROUND(100/'数据-取费表'!G16,0)</f>
        <v>104</v>
      </c>
      <c r="K10" s="628"/>
      <c r="L10" s="2910"/>
      <c r="M10" s="2911"/>
      <c r="N10" s="2911"/>
      <c r="O10" s="2964"/>
      <c r="P10" s="3736"/>
      <c r="Q10" s="1493" t="str">
        <f t="shared" si="6"/>
        <v>土地使用年限（年）</v>
      </c>
      <c r="R10" s="710" t="s">
        <v>17</v>
      </c>
      <c r="S10" s="711">
        <f t="shared" si="0"/>
        <v>104</v>
      </c>
      <c r="T10" s="710" t="s">
        <v>17</v>
      </c>
      <c r="U10" s="711">
        <f t="shared" si="1"/>
        <v>104</v>
      </c>
      <c r="V10" s="710" t="s">
        <v>17</v>
      </c>
      <c r="W10" s="711">
        <f t="shared" si="2"/>
        <v>104</v>
      </c>
      <c r="X10" s="712"/>
      <c r="Y10" s="3608"/>
      <c r="Z10" s="55" t="str">
        <f t="shared" si="7"/>
        <v>土地使用年限（年）</v>
      </c>
      <c r="AA10" s="713">
        <f t="shared" si="3"/>
        <v>0.96153846153846156</v>
      </c>
      <c r="AB10" s="713">
        <f t="shared" si="4"/>
        <v>0.96153846153846156</v>
      </c>
      <c r="AC10" s="713">
        <f t="shared" si="5"/>
        <v>0.96153846153846156</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2"/>
      <c r="M11" s="2907"/>
      <c r="N11" s="2907"/>
      <c r="O11" s="2965"/>
      <c r="P11" s="3736"/>
      <c r="Q11" s="1493" t="str">
        <f t="shared" si="6"/>
        <v>容积率</v>
      </c>
      <c r="R11" s="710" t="s">
        <v>17</v>
      </c>
      <c r="S11" s="711" t="e">
        <f t="shared" si="0"/>
        <v>#N/A</v>
      </c>
      <c r="T11" s="710" t="s">
        <v>17</v>
      </c>
      <c r="U11" s="711" t="e">
        <f t="shared" si="1"/>
        <v>#N/A</v>
      </c>
      <c r="V11" s="710" t="s">
        <v>17</v>
      </c>
      <c r="W11" s="711" t="e">
        <f t="shared" si="2"/>
        <v>#N/A</v>
      </c>
      <c r="X11" s="712"/>
      <c r="Y11" s="3608"/>
      <c r="Z11" s="55" t="str">
        <f t="shared" si="7"/>
        <v>容积率</v>
      </c>
      <c r="AA11" s="713" t="e">
        <f t="shared" si="3"/>
        <v>#N/A</v>
      </c>
      <c r="AB11" s="713" t="e">
        <f t="shared" si="4"/>
        <v>#N/A</v>
      </c>
      <c r="AC11" s="713" t="e">
        <f t="shared" si="5"/>
        <v>#N/A</v>
      </c>
    </row>
    <row r="12" spans="1:29" s="113" customFormat="1" ht="15">
      <c r="A12" s="390"/>
      <c r="B12" s="2044">
        <v>111</v>
      </c>
      <c r="C12" s="391"/>
      <c r="D12" s="392">
        <v>100</v>
      </c>
      <c r="E12" s="506"/>
      <c r="F12" s="132">
        <f>SUMIF(77:77,E12,78:78)-SUMIF(77:77,C12,78:78)+100</f>
        <v>100</v>
      </c>
      <c r="G12" s="630"/>
      <c r="H12" s="132">
        <f>SUMIF(77:77,G12,78:78)-SUMIF(77:77,C12,78:78)+100</f>
        <v>100</v>
      </c>
      <c r="I12" s="506"/>
      <c r="J12" s="132">
        <f>SUMIF(77:77,I12,78:78)-SUMIF(77:77,C12,78:78)+100</f>
        <v>100</v>
      </c>
      <c r="K12" s="628"/>
      <c r="L12" s="2908"/>
      <c r="M12" s="2909"/>
      <c r="N12" s="2909"/>
      <c r="O12" s="2963"/>
      <c r="P12" s="3736"/>
      <c r="Q12" s="1493">
        <f t="shared" si="6"/>
        <v>111</v>
      </c>
      <c r="R12" s="710" t="s">
        <v>17</v>
      </c>
      <c r="S12" s="711">
        <f t="shared" si="0"/>
        <v>100</v>
      </c>
      <c r="T12" s="710" t="s">
        <v>17</v>
      </c>
      <c r="U12" s="711">
        <f t="shared" si="1"/>
        <v>100</v>
      </c>
      <c r="V12" s="710" t="s">
        <v>17</v>
      </c>
      <c r="W12" s="711">
        <f t="shared" si="2"/>
        <v>100</v>
      </c>
      <c r="X12" s="712"/>
      <c r="Y12" s="3608"/>
      <c r="Z12" s="55">
        <f t="shared" si="7"/>
        <v>111</v>
      </c>
      <c r="AA12" s="713">
        <f>D12/F12</f>
        <v>1</v>
      </c>
      <c r="AB12" s="713">
        <f>D12/H12</f>
        <v>1</v>
      </c>
      <c r="AC12" s="713">
        <f>D12/J12</f>
        <v>1</v>
      </c>
    </row>
    <row r="13" spans="1:29" ht="15">
      <c r="A13" s="387"/>
      <c r="B13" s="2044">
        <v>111</v>
      </c>
      <c r="C13" s="393"/>
      <c r="D13" s="394">
        <v>100</v>
      </c>
      <c r="E13" s="506"/>
      <c r="F13" s="132">
        <f>SUMIF(79:79,E13,80:80)-SUMIF(79:79,C13,80:80)+100</f>
        <v>100</v>
      </c>
      <c r="G13" s="630"/>
      <c r="H13" s="394">
        <f>SUMIF(79:79,G13,80:80)-SUMIF(79:79,C13,80:80)+100</f>
        <v>100</v>
      </c>
      <c r="I13" s="506"/>
      <c r="J13" s="394">
        <f>SUMIF(79:79,I13,80:80)-SUMIF(79:79,C13,80:80)+100</f>
        <v>100</v>
      </c>
      <c r="K13" s="628"/>
      <c r="L13" s="2913"/>
      <c r="M13" s="2907"/>
      <c r="N13" s="2907"/>
      <c r="O13" s="2965"/>
      <c r="P13" s="3736"/>
      <c r="Q13" s="1493">
        <f t="shared" si="6"/>
        <v>111</v>
      </c>
      <c r="R13" s="710" t="s">
        <v>17</v>
      </c>
      <c r="S13" s="711">
        <f t="shared" si="0"/>
        <v>100</v>
      </c>
      <c r="T13" s="710" t="s">
        <v>17</v>
      </c>
      <c r="U13" s="711">
        <f t="shared" si="1"/>
        <v>100</v>
      </c>
      <c r="V13" s="710" t="s">
        <v>17</v>
      </c>
      <c r="W13" s="711">
        <f t="shared" si="2"/>
        <v>100</v>
      </c>
      <c r="X13" s="712"/>
      <c r="Y13" s="3608"/>
      <c r="Z13" s="55">
        <f t="shared" si="7"/>
        <v>111</v>
      </c>
      <c r="AA13" s="713">
        <f t="shared" si="3"/>
        <v>1</v>
      </c>
      <c r="AB13" s="713">
        <f t="shared" si="4"/>
        <v>1</v>
      </c>
      <c r="AC13" s="713">
        <f t="shared" si="5"/>
        <v>1</v>
      </c>
    </row>
    <row r="14" spans="1:29" ht="15.75" thickBot="1">
      <c r="A14" s="395"/>
      <c r="B14" s="2046">
        <v>111</v>
      </c>
      <c r="C14" s="396"/>
      <c r="D14" s="397">
        <v>100</v>
      </c>
      <c r="E14" s="506"/>
      <c r="F14" s="397">
        <f>SUMIF(81:81,E14,82:82)-SUMIF(81:81,C14,82:82)+100</f>
        <v>100</v>
      </c>
      <c r="G14" s="630"/>
      <c r="H14" s="397">
        <f>SUMIF(81:81,G14,82:82)-SUMIF(81:81,C14,82:82)+100</f>
        <v>100</v>
      </c>
      <c r="I14" s="506"/>
      <c r="J14" s="397">
        <f>SUMIF(81:81,I14,82:82)-SUMIF(81:81,C14,82:82)+100</f>
        <v>100</v>
      </c>
      <c r="K14" s="628"/>
      <c r="L14" s="2913"/>
      <c r="M14" s="2907"/>
      <c r="N14" s="2907"/>
      <c r="O14" s="2965"/>
      <c r="P14" s="3736"/>
      <c r="Q14" s="1493">
        <f t="shared" si="6"/>
        <v>111</v>
      </c>
      <c r="R14" s="710" t="s">
        <v>17</v>
      </c>
      <c r="S14" s="711">
        <f t="shared" si="0"/>
        <v>100</v>
      </c>
      <c r="T14" s="710" t="s">
        <v>17</v>
      </c>
      <c r="U14" s="711">
        <f t="shared" si="1"/>
        <v>100</v>
      </c>
      <c r="V14" s="710" t="s">
        <v>17</v>
      </c>
      <c r="W14" s="711">
        <f t="shared" si="2"/>
        <v>100</v>
      </c>
      <c r="X14" s="712"/>
      <c r="Y14" s="3608"/>
      <c r="Z14" s="55">
        <f t="shared" si="7"/>
        <v>111</v>
      </c>
      <c r="AA14" s="713">
        <f t="shared" si="3"/>
        <v>1</v>
      </c>
      <c r="AB14" s="713">
        <f t="shared" si="4"/>
        <v>1</v>
      </c>
      <c r="AC14" s="713">
        <f t="shared" si="5"/>
        <v>1</v>
      </c>
    </row>
    <row r="15" spans="1:29" ht="57">
      <c r="A15" s="399" t="s">
        <v>2318</v>
      </c>
      <c r="B15" s="585" t="s">
        <v>2557</v>
      </c>
      <c r="C15" s="212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3"/>
      <c r="M15" s="2907"/>
      <c r="N15" s="2907"/>
      <c r="O15" s="2965"/>
      <c r="P15" s="3738" t="s">
        <v>2319</v>
      </c>
      <c r="Q15" s="1502" t="str">
        <f t="shared" si="6"/>
        <v>产业集聚程度</v>
      </c>
      <c r="R15" s="714" t="s">
        <v>17</v>
      </c>
      <c r="S15" s="715">
        <f t="shared" si="0"/>
        <v>100</v>
      </c>
      <c r="T15" s="714" t="s">
        <v>17</v>
      </c>
      <c r="U15" s="715">
        <f t="shared" si="1"/>
        <v>100</v>
      </c>
      <c r="V15" s="714" t="s">
        <v>17</v>
      </c>
      <c r="W15" s="715">
        <f t="shared" si="2"/>
        <v>100</v>
      </c>
      <c r="X15" s="1505"/>
      <c r="Y15" s="3738" t="s">
        <v>2319</v>
      </c>
      <c r="Z15" s="1506" t="str">
        <f t="shared" si="7"/>
        <v>产业集聚程度</v>
      </c>
      <c r="AA15" s="1503">
        <f t="shared" si="3"/>
        <v>1</v>
      </c>
      <c r="AB15" s="1503">
        <f t="shared" si="4"/>
        <v>1</v>
      </c>
      <c r="AC15" s="1503">
        <f t="shared" si="5"/>
        <v>1</v>
      </c>
    </row>
    <row r="16" spans="1:29" ht="15">
      <c r="A16" s="387"/>
      <c r="B16" s="586"/>
      <c r="C16" s="406"/>
      <c r="D16" s="407"/>
      <c r="E16" s="2055"/>
      <c r="F16" s="407"/>
      <c r="G16" s="2055"/>
      <c r="H16" s="409"/>
      <c r="I16" s="2055"/>
      <c r="J16" s="407"/>
      <c r="K16" s="628"/>
      <c r="L16" s="2913"/>
      <c r="M16" s="2907"/>
      <c r="N16" s="2907"/>
      <c r="O16" s="2965"/>
      <c r="P16" s="3739"/>
      <c r="Q16" s="1502"/>
      <c r="R16" s="714"/>
      <c r="S16" s="715"/>
      <c r="T16" s="714"/>
      <c r="U16" s="715"/>
      <c r="V16" s="714"/>
      <c r="W16" s="715"/>
      <c r="X16" s="1505"/>
      <c r="Y16" s="3739"/>
      <c r="Z16" s="1506"/>
      <c r="AA16" s="1503">
        <v>1</v>
      </c>
      <c r="AB16" s="1503">
        <v>1</v>
      </c>
      <c r="AC16" s="1503">
        <v>1</v>
      </c>
    </row>
    <row r="17" spans="1:29" ht="85.5">
      <c r="A17" s="387"/>
      <c r="B17" s="587" t="s">
        <v>2468</v>
      </c>
      <c r="C17" s="205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3"/>
      <c r="M17" s="2907"/>
      <c r="N17" s="2907"/>
      <c r="O17" s="2965"/>
      <c r="P17" s="3739"/>
      <c r="Q17" s="1502" t="str">
        <f>B17</f>
        <v>交通便捷度</v>
      </c>
      <c r="R17" s="714" t="s">
        <v>17</v>
      </c>
      <c r="S17" s="715">
        <f>F17</f>
        <v>100</v>
      </c>
      <c r="T17" s="714" t="s">
        <v>17</v>
      </c>
      <c r="U17" s="715">
        <f>H17</f>
        <v>100</v>
      </c>
      <c r="V17" s="714" t="s">
        <v>17</v>
      </c>
      <c r="W17" s="715">
        <f>J17</f>
        <v>100</v>
      </c>
      <c r="X17" s="1505"/>
      <c r="Y17" s="3739"/>
      <c r="Z17" s="1506" t="str">
        <f>Q17</f>
        <v>交通便捷度</v>
      </c>
      <c r="AA17" s="1503">
        <f t="shared" si="3"/>
        <v>1</v>
      </c>
      <c r="AB17" s="1503">
        <f t="shared" si="4"/>
        <v>1</v>
      </c>
      <c r="AC17" s="1503">
        <f t="shared" si="5"/>
        <v>1</v>
      </c>
    </row>
    <row r="18" spans="1:29" ht="15">
      <c r="A18" s="387"/>
      <c r="B18" s="588"/>
      <c r="C18" s="406"/>
      <c r="D18" s="407"/>
      <c r="E18" s="2049"/>
      <c r="F18" s="407"/>
      <c r="G18" s="2049"/>
      <c r="H18" s="407"/>
      <c r="I18" s="2048"/>
      <c r="J18" s="407"/>
      <c r="K18" s="628"/>
      <c r="L18" s="2913"/>
      <c r="M18" s="2907"/>
      <c r="N18" s="2907"/>
      <c r="O18" s="2965"/>
      <c r="P18" s="3739"/>
      <c r="Q18" s="1502"/>
      <c r="R18" s="714"/>
      <c r="S18" s="715"/>
      <c r="T18" s="714"/>
      <c r="U18" s="715"/>
      <c r="V18" s="714"/>
      <c r="W18" s="715"/>
      <c r="X18" s="1505"/>
      <c r="Y18" s="3739"/>
      <c r="Z18" s="1506"/>
      <c r="AA18" s="1503">
        <v>1</v>
      </c>
      <c r="AB18" s="1503">
        <v>1</v>
      </c>
      <c r="AC18" s="1503">
        <v>1</v>
      </c>
    </row>
    <row r="19" spans="1:29" ht="15">
      <c r="A19" s="387"/>
      <c r="B19" s="587" t="s">
        <v>2507</v>
      </c>
      <c r="C19" s="205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3"/>
      <c r="M19" s="2907"/>
      <c r="N19" s="2907"/>
      <c r="O19" s="2965"/>
      <c r="P19" s="3739"/>
      <c r="Q19" s="1502" t="str">
        <f t="shared" ref="Q19:Q33" si="8">B19</f>
        <v>区域土地利用方向</v>
      </c>
      <c r="R19" s="714" t="s">
        <v>17</v>
      </c>
      <c r="S19" s="715">
        <f>F19</f>
        <v>100</v>
      </c>
      <c r="T19" s="714" t="s">
        <v>17</v>
      </c>
      <c r="U19" s="715">
        <f>H19</f>
        <v>100</v>
      </c>
      <c r="V19" s="714" t="s">
        <v>17</v>
      </c>
      <c r="W19" s="715">
        <f>J19</f>
        <v>100</v>
      </c>
      <c r="X19" s="1505"/>
      <c r="Y19" s="3739"/>
      <c r="Z19" s="1506" t="str">
        <f>Q19</f>
        <v>区域土地利用方向</v>
      </c>
      <c r="AA19" s="1503">
        <f t="shared" si="3"/>
        <v>1</v>
      </c>
      <c r="AB19" s="1503">
        <f t="shared" si="4"/>
        <v>1</v>
      </c>
      <c r="AC19" s="1503">
        <f t="shared" si="5"/>
        <v>1</v>
      </c>
    </row>
    <row r="20" spans="1:29" ht="15">
      <c r="A20" s="364"/>
      <c r="B20" s="588"/>
      <c r="C20" s="406"/>
      <c r="D20" s="407"/>
      <c r="E20" s="2049"/>
      <c r="F20" s="407"/>
      <c r="G20" s="2049"/>
      <c r="H20" s="407"/>
      <c r="I20" s="2049"/>
      <c r="J20" s="407"/>
      <c r="K20" s="747"/>
      <c r="L20" s="2913"/>
      <c r="M20" s="2907"/>
      <c r="N20" s="2907"/>
      <c r="O20" s="2965"/>
      <c r="P20" s="3739"/>
      <c r="Q20" s="1502"/>
      <c r="R20" s="714"/>
      <c r="S20" s="715"/>
      <c r="T20" s="714"/>
      <c r="U20" s="715"/>
      <c r="V20" s="714"/>
      <c r="W20" s="715"/>
      <c r="X20" s="1505"/>
      <c r="Y20" s="3739"/>
      <c r="Z20" s="1506"/>
      <c r="AA20" s="1503"/>
      <c r="AB20" s="1503"/>
      <c r="AC20" s="1503"/>
    </row>
    <row r="21" spans="1:29" ht="71.25">
      <c r="A21" s="364"/>
      <c r="B21" s="587" t="s">
        <v>2558</v>
      </c>
      <c r="C21" s="205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3"/>
      <c r="M21" s="2907"/>
      <c r="N21" s="2907"/>
      <c r="O21" s="2965"/>
      <c r="P21" s="3739"/>
      <c r="Q21" s="1502" t="str">
        <f t="shared" si="8"/>
        <v>环境状况</v>
      </c>
      <c r="R21" s="714" t="s">
        <v>17</v>
      </c>
      <c r="S21" s="715">
        <f>F21</f>
        <v>100</v>
      </c>
      <c r="T21" s="714" t="s">
        <v>17</v>
      </c>
      <c r="U21" s="715">
        <f>H21</f>
        <v>100</v>
      </c>
      <c r="V21" s="714" t="s">
        <v>17</v>
      </c>
      <c r="W21" s="715">
        <f>J21</f>
        <v>100</v>
      </c>
      <c r="X21" s="1505"/>
      <c r="Y21" s="3739"/>
      <c r="Z21" s="1506" t="str">
        <f>Q21</f>
        <v>环境状况</v>
      </c>
      <c r="AA21" s="1503">
        <f t="shared" si="3"/>
        <v>1</v>
      </c>
      <c r="AB21" s="1503">
        <f t="shared" si="4"/>
        <v>1</v>
      </c>
      <c r="AC21" s="1503">
        <f t="shared" si="5"/>
        <v>1</v>
      </c>
    </row>
    <row r="22" spans="1:29" ht="15">
      <c r="A22" s="364"/>
      <c r="B22" s="588"/>
      <c r="C22" s="406"/>
      <c r="D22" s="407"/>
      <c r="E22" s="2055"/>
      <c r="F22" s="407"/>
      <c r="G22" s="2055"/>
      <c r="H22" s="407"/>
      <c r="I22" s="406"/>
      <c r="J22" s="407"/>
      <c r="K22" s="628"/>
      <c r="L22" s="2913"/>
      <c r="M22" s="2907"/>
      <c r="N22" s="2907"/>
      <c r="O22" s="2965"/>
      <c r="P22" s="3739"/>
      <c r="Q22" s="1502"/>
      <c r="R22" s="714"/>
      <c r="S22" s="715"/>
      <c r="T22" s="714"/>
      <c r="U22" s="715"/>
      <c r="V22" s="714"/>
      <c r="W22" s="715"/>
      <c r="X22" s="1505"/>
      <c r="Y22" s="3739"/>
      <c r="Z22" s="1506"/>
      <c r="AA22" s="1503">
        <v>1</v>
      </c>
      <c r="AB22" s="1503">
        <v>1</v>
      </c>
      <c r="AC22" s="1503">
        <v>1</v>
      </c>
    </row>
    <row r="23" spans="1:29" s="113" customFormat="1" ht="42.75">
      <c r="A23" s="605"/>
      <c r="B23" s="589" t="s">
        <v>2413</v>
      </c>
      <c r="C23" s="205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8"/>
      <c r="M23" s="2909"/>
      <c r="N23" s="2909"/>
      <c r="O23" s="2963"/>
      <c r="P23" s="3739"/>
      <c r="Q23" s="1493" t="str">
        <f t="shared" si="8"/>
        <v>公共配套设施</v>
      </c>
      <c r="R23" s="710" t="s">
        <v>17</v>
      </c>
      <c r="S23" s="711">
        <f>F23</f>
        <v>100</v>
      </c>
      <c r="T23" s="710" t="s">
        <v>17</v>
      </c>
      <c r="U23" s="711">
        <f>H23</f>
        <v>100</v>
      </c>
      <c r="V23" s="710" t="s">
        <v>17</v>
      </c>
      <c r="W23" s="711">
        <f>J23</f>
        <v>100</v>
      </c>
      <c r="X23" s="712"/>
      <c r="Y23" s="3739"/>
      <c r="Z23" s="55" t="str">
        <f>Q23</f>
        <v>公共配套设施</v>
      </c>
      <c r="AA23" s="1503">
        <f>D23/F23</f>
        <v>1</v>
      </c>
      <c r="AB23" s="1503">
        <f>D23/H23</f>
        <v>1</v>
      </c>
      <c r="AC23" s="1503">
        <f>D23/J23</f>
        <v>1</v>
      </c>
    </row>
    <row r="24" spans="1:29" s="113" customFormat="1" ht="15">
      <c r="A24" s="605"/>
      <c r="B24" s="588"/>
      <c r="C24" s="2127"/>
      <c r="D24" s="407"/>
      <c r="E24" s="2055"/>
      <c r="F24" s="407"/>
      <c r="G24" s="2055"/>
      <c r="H24" s="407"/>
      <c r="I24" s="406"/>
      <c r="J24" s="407"/>
      <c r="K24" s="628"/>
      <c r="L24" s="2908"/>
      <c r="M24" s="2909"/>
      <c r="N24" s="2909"/>
      <c r="O24" s="2963"/>
      <c r="P24" s="3739"/>
      <c r="Q24" s="1493"/>
      <c r="R24" s="710"/>
      <c r="S24" s="711"/>
      <c r="T24" s="710"/>
      <c r="U24" s="711"/>
      <c r="V24" s="710"/>
      <c r="W24" s="711"/>
      <c r="X24" s="712"/>
      <c r="Y24" s="3739"/>
      <c r="Z24" s="55"/>
      <c r="AA24" s="713">
        <v>1</v>
      </c>
      <c r="AB24" s="713">
        <v>1</v>
      </c>
      <c r="AC24" s="713">
        <v>1</v>
      </c>
    </row>
    <row r="25" spans="1:29" s="113" customFormat="1" ht="28.5">
      <c r="A25" s="605"/>
      <c r="B25" s="589" t="s">
        <v>2414</v>
      </c>
      <c r="C25" s="205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8"/>
      <c r="M25" s="2909"/>
      <c r="N25" s="2909"/>
      <c r="O25" s="2963"/>
      <c r="P25" s="3739"/>
      <c r="Q25" s="1493" t="str">
        <f t="shared" ref="Q25" si="9">B25</f>
        <v>基础设施水平</v>
      </c>
      <c r="R25" s="710" t="s">
        <v>17</v>
      </c>
      <c r="S25" s="711">
        <f>F25</f>
        <v>100</v>
      </c>
      <c r="T25" s="710" t="s">
        <v>17</v>
      </c>
      <c r="U25" s="711">
        <f>H25</f>
        <v>100</v>
      </c>
      <c r="V25" s="710" t="s">
        <v>17</v>
      </c>
      <c r="W25" s="711">
        <f>J25</f>
        <v>100</v>
      </c>
      <c r="X25" s="712"/>
      <c r="Y25" s="3739"/>
      <c r="Z25" s="55" t="str">
        <f>Q25</f>
        <v>基础设施水平</v>
      </c>
      <c r="AA25" s="1503">
        <f>D25/F25</f>
        <v>1</v>
      </c>
      <c r="AB25" s="1503">
        <f>D25/H25</f>
        <v>1</v>
      </c>
      <c r="AC25" s="1503">
        <f>D25/J25</f>
        <v>1</v>
      </c>
    </row>
    <row r="26" spans="1:29" s="113" customFormat="1" ht="15">
      <c r="A26" s="605"/>
      <c r="B26" s="588"/>
      <c r="C26" s="2127"/>
      <c r="D26" s="407"/>
      <c r="E26" s="2128"/>
      <c r="F26" s="407"/>
      <c r="G26" s="2128"/>
      <c r="H26" s="407"/>
      <c r="I26" s="2128"/>
      <c r="J26" s="407"/>
      <c r="K26" s="628"/>
      <c r="L26" s="2908"/>
      <c r="M26" s="2909"/>
      <c r="N26" s="2909"/>
      <c r="O26" s="2963"/>
      <c r="P26" s="3739"/>
      <c r="Q26" s="1493"/>
      <c r="R26" s="710"/>
      <c r="S26" s="711"/>
      <c r="T26" s="710"/>
      <c r="U26" s="711"/>
      <c r="V26" s="710"/>
      <c r="W26" s="711"/>
      <c r="X26" s="712"/>
      <c r="Y26" s="3739"/>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3"/>
      <c r="M27" s="2907"/>
      <c r="N27" s="2907"/>
      <c r="O27" s="2965"/>
      <c r="P27" s="3739"/>
      <c r="Q27" s="1502" t="str">
        <f t="shared" si="8"/>
        <v>临街状况</v>
      </c>
      <c r="R27" s="714" t="s">
        <v>17</v>
      </c>
      <c r="S27" s="715">
        <f t="shared" ref="S27:S40" si="10">F27</f>
        <v>100</v>
      </c>
      <c r="T27" s="714" t="s">
        <v>17</v>
      </c>
      <c r="U27" s="715">
        <f t="shared" ref="U27:U40" si="11">H27</f>
        <v>100</v>
      </c>
      <c r="V27" s="714" t="s">
        <v>17</v>
      </c>
      <c r="W27" s="715">
        <f t="shared" ref="W27:W40" si="12">J27</f>
        <v>100</v>
      </c>
      <c r="X27" s="1505"/>
      <c r="Y27" s="3739"/>
      <c r="Z27" s="1506" t="str">
        <f t="shared" ref="Z27:Z40" si="13">Q27</f>
        <v>临街状况</v>
      </c>
      <c r="AA27" s="1503">
        <f t="shared" si="3"/>
        <v>1</v>
      </c>
      <c r="AB27" s="1503">
        <f t="shared" si="4"/>
        <v>1</v>
      </c>
      <c r="AC27" s="1503">
        <f t="shared" si="5"/>
        <v>1</v>
      </c>
    </row>
    <row r="28" spans="1:29" ht="27">
      <c r="A28" s="387"/>
      <c r="B28" s="589" t="s">
        <v>2450</v>
      </c>
      <c r="C28" s="214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3"/>
      <c r="M28" s="2907"/>
      <c r="N28" s="2907"/>
      <c r="O28" s="2965"/>
      <c r="P28" s="3739"/>
      <c r="Q28" s="1502" t="str">
        <f t="shared" si="8"/>
        <v>毗邻道路的类型与等级</v>
      </c>
      <c r="R28" s="714" t="s">
        <v>17</v>
      </c>
      <c r="S28" s="715">
        <f t="shared" si="10"/>
        <v>100</v>
      </c>
      <c r="T28" s="714" t="s">
        <v>17</v>
      </c>
      <c r="U28" s="715">
        <f t="shared" si="11"/>
        <v>100</v>
      </c>
      <c r="V28" s="714" t="s">
        <v>17</v>
      </c>
      <c r="W28" s="715">
        <f t="shared" si="12"/>
        <v>100</v>
      </c>
      <c r="X28" s="1505"/>
      <c r="Y28" s="3739"/>
      <c r="Z28" s="1506" t="str">
        <f t="shared" si="13"/>
        <v>毗邻道路的类型与等级</v>
      </c>
      <c r="AA28" s="1503">
        <f t="shared" si="3"/>
        <v>1</v>
      </c>
      <c r="AB28" s="1503">
        <f t="shared" si="4"/>
        <v>1</v>
      </c>
      <c r="AC28" s="1503">
        <f t="shared" si="5"/>
        <v>1</v>
      </c>
    </row>
    <row r="29" spans="1:29" ht="15">
      <c r="A29" s="387"/>
      <c r="B29" s="588"/>
      <c r="C29" s="406"/>
      <c r="D29" s="407"/>
      <c r="E29" s="2055"/>
      <c r="F29" s="407"/>
      <c r="G29" s="2055"/>
      <c r="H29" s="407"/>
      <c r="I29" s="2055"/>
      <c r="J29" s="407"/>
      <c r="K29" s="570"/>
      <c r="L29" s="2913"/>
      <c r="M29" s="2907"/>
      <c r="N29" s="2907"/>
      <c r="O29" s="2965"/>
      <c r="P29" s="3739"/>
      <c r="Q29" s="1502"/>
      <c r="R29" s="714"/>
      <c r="S29" s="715"/>
      <c r="T29" s="714"/>
      <c r="U29" s="715"/>
      <c r="V29" s="714"/>
      <c r="W29" s="715"/>
      <c r="X29" s="1505"/>
      <c r="Y29" s="3739"/>
      <c r="Z29" s="1506"/>
      <c r="AA29" s="1503">
        <v>1</v>
      </c>
      <c r="AB29" s="1503">
        <v>1</v>
      </c>
      <c r="AC29" s="1503">
        <v>1</v>
      </c>
    </row>
    <row r="30" spans="1:29" ht="15">
      <c r="A30" s="387"/>
      <c r="B30" s="610" t="s">
        <v>2509</v>
      </c>
      <c r="C30" s="126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3"/>
      <c r="M30" s="2907"/>
      <c r="N30" s="2907"/>
      <c r="O30" s="2965"/>
      <c r="P30" s="3739"/>
      <c r="Q30" s="1502" t="str">
        <f t="shared" si="8"/>
        <v>土地级别</v>
      </c>
      <c r="R30" s="714" t="s">
        <v>17</v>
      </c>
      <c r="S30" s="715">
        <f t="shared" si="10"/>
        <v>100</v>
      </c>
      <c r="T30" s="714" t="s">
        <v>17</v>
      </c>
      <c r="U30" s="715">
        <f t="shared" si="11"/>
        <v>100</v>
      </c>
      <c r="V30" s="714" t="s">
        <v>17</v>
      </c>
      <c r="W30" s="715">
        <f t="shared" si="12"/>
        <v>100</v>
      </c>
      <c r="X30" s="1505"/>
      <c r="Y30" s="3739"/>
      <c r="Z30" s="1506" t="str">
        <f t="shared" si="13"/>
        <v>土地级别</v>
      </c>
      <c r="AA30" s="1503">
        <f t="shared" si="3"/>
        <v>1</v>
      </c>
      <c r="AB30" s="1503">
        <f t="shared" si="4"/>
        <v>1</v>
      </c>
      <c r="AC30" s="1503">
        <f t="shared" si="5"/>
        <v>1</v>
      </c>
    </row>
    <row r="31" spans="1:29" ht="15">
      <c r="A31" s="364"/>
      <c r="B31" s="211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3"/>
      <c r="M31" s="2907"/>
      <c r="N31" s="2907"/>
      <c r="O31" s="2965"/>
      <c r="P31" s="3739"/>
      <c r="Q31" s="1502">
        <f t="shared" si="8"/>
        <v>111</v>
      </c>
      <c r="R31" s="714" t="s">
        <v>17</v>
      </c>
      <c r="S31" s="715">
        <f t="shared" si="10"/>
        <v>100</v>
      </c>
      <c r="T31" s="714" t="s">
        <v>17</v>
      </c>
      <c r="U31" s="715">
        <f t="shared" si="11"/>
        <v>100</v>
      </c>
      <c r="V31" s="714" t="s">
        <v>17</v>
      </c>
      <c r="W31" s="715">
        <f t="shared" si="12"/>
        <v>100</v>
      </c>
      <c r="X31" s="1505"/>
      <c r="Y31" s="3739"/>
      <c r="Z31" s="1506">
        <f t="shared" si="13"/>
        <v>111</v>
      </c>
      <c r="AA31" s="1503">
        <f t="shared" si="3"/>
        <v>1</v>
      </c>
      <c r="AB31" s="1503">
        <f t="shared" si="4"/>
        <v>1</v>
      </c>
      <c r="AC31" s="1503">
        <f t="shared" si="5"/>
        <v>1</v>
      </c>
    </row>
    <row r="32" spans="1:29" ht="15">
      <c r="A32" s="631"/>
      <c r="B32" s="214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3"/>
      <c r="M32" s="2907"/>
      <c r="N32" s="2907"/>
      <c r="O32" s="2965"/>
      <c r="P32" s="3796" t="s">
        <v>2324</v>
      </c>
      <c r="Q32" s="1502">
        <f t="shared" si="8"/>
        <v>111</v>
      </c>
      <c r="R32" s="714" t="s">
        <v>17</v>
      </c>
      <c r="S32" s="715">
        <f t="shared" si="10"/>
        <v>100</v>
      </c>
      <c r="T32" s="714" t="s">
        <v>17</v>
      </c>
      <c r="U32" s="715">
        <f t="shared" si="11"/>
        <v>100</v>
      </c>
      <c r="V32" s="714" t="s">
        <v>17</v>
      </c>
      <c r="W32" s="715">
        <f t="shared" si="12"/>
        <v>100</v>
      </c>
      <c r="X32" s="1505"/>
      <c r="Y32" s="3743" t="s">
        <v>2324</v>
      </c>
      <c r="Z32" s="1506">
        <f t="shared" si="13"/>
        <v>111</v>
      </c>
      <c r="AA32" s="1503">
        <f t="shared" si="3"/>
        <v>1</v>
      </c>
      <c r="AB32" s="1503">
        <f t="shared" si="4"/>
        <v>1</v>
      </c>
      <c r="AC32" s="1503">
        <f t="shared" si="5"/>
        <v>1</v>
      </c>
    </row>
    <row r="33" spans="1:31" s="430" customFormat="1" ht="15.75" thickBot="1">
      <c r="A33" s="632"/>
      <c r="B33" s="214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2"/>
      <c r="M33" s="2914"/>
      <c r="N33" s="2914"/>
      <c r="O33" s="2966"/>
      <c r="P33" s="3743"/>
      <c r="Q33" s="1502">
        <f t="shared" si="8"/>
        <v>111</v>
      </c>
      <c r="R33" s="717" t="s">
        <v>17</v>
      </c>
      <c r="S33" s="718">
        <f t="shared" si="10"/>
        <v>100</v>
      </c>
      <c r="T33" s="717" t="s">
        <v>17</v>
      </c>
      <c r="U33" s="718">
        <f t="shared" si="11"/>
        <v>100</v>
      </c>
      <c r="V33" s="717" t="s">
        <v>17</v>
      </c>
      <c r="W33" s="718">
        <f t="shared" si="12"/>
        <v>100</v>
      </c>
      <c r="X33" s="719"/>
      <c r="Y33" s="3743"/>
      <c r="Z33" s="720">
        <f t="shared" si="13"/>
        <v>111</v>
      </c>
      <c r="AA33" s="1503">
        <f t="shared" si="3"/>
        <v>1</v>
      </c>
      <c r="AB33" s="1503">
        <f t="shared" si="4"/>
        <v>1</v>
      </c>
      <c r="AC33" s="1503">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3"/>
      <c r="M34" s="2907"/>
      <c r="N34" s="2907"/>
      <c r="O34" s="2965"/>
      <c r="P34" s="3743"/>
      <c r="Q34" s="1502" t="str">
        <f>B34</f>
        <v>宗地面积</v>
      </c>
      <c r="R34" s="714" t="s">
        <v>17</v>
      </c>
      <c r="S34" s="715" t="e">
        <f t="shared" si="10"/>
        <v>#N/A</v>
      </c>
      <c r="T34" s="714" t="s">
        <v>17</v>
      </c>
      <c r="U34" s="715" t="e">
        <f t="shared" si="11"/>
        <v>#N/A</v>
      </c>
      <c r="V34" s="714" t="s">
        <v>17</v>
      </c>
      <c r="W34" s="715" t="e">
        <f t="shared" si="12"/>
        <v>#N/A</v>
      </c>
      <c r="X34" s="1505"/>
      <c r="Y34" s="3743"/>
      <c r="Z34" s="1506" t="str">
        <f t="shared" si="13"/>
        <v>宗地面积</v>
      </c>
      <c r="AA34" s="1503" t="e">
        <f t="shared" si="3"/>
        <v>#N/A</v>
      </c>
      <c r="AB34" s="1503" t="e">
        <f t="shared" si="4"/>
        <v>#N/A</v>
      </c>
      <c r="AC34" s="1503" t="e">
        <f t="shared" si="5"/>
        <v>#N/A</v>
      </c>
    </row>
    <row r="35" spans="1:31" ht="15">
      <c r="A35" s="431"/>
      <c r="B35" s="381" t="s">
        <v>2511</v>
      </c>
      <c r="C35" s="2057"/>
      <c r="D35" s="394">
        <v>100</v>
      </c>
      <c r="E35" s="2057"/>
      <c r="F35" s="394">
        <f>SUMIF(110:110,E35,111:111)-SUMIF(110:110,C35,111:111)+100</f>
        <v>100</v>
      </c>
      <c r="G35" s="2057"/>
      <c r="H35" s="394">
        <f>SUMIF(110:110,G35,111:111)-SUMIF(110:110,C35,111:111)+100</f>
        <v>100</v>
      </c>
      <c r="I35" s="2057"/>
      <c r="J35" s="394">
        <f>SUMIF(110:110,I35,111:111)-SUMIF(110:110,C35,111:111)+100</f>
        <v>100</v>
      </c>
      <c r="K35" s="569"/>
      <c r="L35" s="2913"/>
      <c r="M35" s="2907"/>
      <c r="N35" s="2907"/>
      <c r="O35" s="2965"/>
      <c r="P35" s="3743"/>
      <c r="Q35" s="1502" t="str">
        <f t="shared" ref="Q35:Q40" si="14">B35</f>
        <v>宗地形状</v>
      </c>
      <c r="R35" s="714" t="s">
        <v>17</v>
      </c>
      <c r="S35" s="715">
        <f t="shared" si="10"/>
        <v>100</v>
      </c>
      <c r="T35" s="714" t="s">
        <v>17</v>
      </c>
      <c r="U35" s="715">
        <f t="shared" si="11"/>
        <v>100</v>
      </c>
      <c r="V35" s="714" t="s">
        <v>17</v>
      </c>
      <c r="W35" s="715">
        <f t="shared" si="12"/>
        <v>100</v>
      </c>
      <c r="X35" s="1505"/>
      <c r="Y35" s="3743"/>
      <c r="Z35" s="1506" t="str">
        <f t="shared" si="13"/>
        <v>宗地形状</v>
      </c>
      <c r="AA35" s="1503">
        <f t="shared" si="3"/>
        <v>1</v>
      </c>
      <c r="AB35" s="1503">
        <f t="shared" si="4"/>
        <v>1</v>
      </c>
      <c r="AC35" s="1503">
        <f t="shared" si="5"/>
        <v>1</v>
      </c>
    </row>
    <row r="36" spans="1:31" s="113" customFormat="1" ht="15">
      <c r="A36" s="432"/>
      <c r="B36" s="381" t="s">
        <v>2513</v>
      </c>
      <c r="C36" s="2129"/>
      <c r="D36" s="132">
        <v>100</v>
      </c>
      <c r="E36" s="2129"/>
      <c r="F36" s="394">
        <f>SUMIF(112:112,E36,113:113)-SUMIF(112:112,C36,113:113)+100</f>
        <v>100</v>
      </c>
      <c r="G36" s="2129"/>
      <c r="H36" s="394">
        <f>SUMIF(112:112,G36,113:113)-SUMIF(112:112,C36,113:113)+100</f>
        <v>100</v>
      </c>
      <c r="I36" s="2129"/>
      <c r="J36" s="394">
        <f>SUMIF(112:112,I36,113:113)-SUMIF(112:112,C36,113:113)+100</f>
        <v>100</v>
      </c>
      <c r="K36" s="569"/>
      <c r="L36" s="2908"/>
      <c r="M36" s="2909"/>
      <c r="N36" s="2909"/>
      <c r="O36" s="2963"/>
      <c r="P36" s="3743"/>
      <c r="Q36" s="1502" t="str">
        <f t="shared" si="14"/>
        <v>宗地开发程度</v>
      </c>
      <c r="R36" s="710" t="s">
        <v>17</v>
      </c>
      <c r="S36" s="711">
        <f t="shared" si="10"/>
        <v>100</v>
      </c>
      <c r="T36" s="710" t="s">
        <v>17</v>
      </c>
      <c r="U36" s="711">
        <f t="shared" si="11"/>
        <v>100</v>
      </c>
      <c r="V36" s="710" t="s">
        <v>17</v>
      </c>
      <c r="W36" s="711">
        <f t="shared" si="12"/>
        <v>100</v>
      </c>
      <c r="X36" s="712"/>
      <c r="Y36" s="3743"/>
      <c r="Z36" s="55" t="str">
        <f t="shared" si="13"/>
        <v>宗地开发程度</v>
      </c>
      <c r="AA36" s="713">
        <f t="shared" si="3"/>
        <v>1</v>
      </c>
      <c r="AB36" s="713">
        <f t="shared" si="4"/>
        <v>1</v>
      </c>
      <c r="AC36" s="713">
        <f t="shared" si="5"/>
        <v>1</v>
      </c>
    </row>
    <row r="37" spans="1:31" ht="15">
      <c r="A37" s="431"/>
      <c r="B37" s="381" t="s">
        <v>2514</v>
      </c>
      <c r="C37" s="2057"/>
      <c r="D37" s="394">
        <v>100</v>
      </c>
      <c r="E37" s="2057"/>
      <c r="F37" s="394">
        <f>SUMIF(114:114,E37,115:115)-SUMIF(114:114,C37,115:115)+100</f>
        <v>100</v>
      </c>
      <c r="G37" s="2057"/>
      <c r="H37" s="394">
        <f>SUMIF(114:114,G37,115:115)-SUMIF(114:114,C37,115:115)+100</f>
        <v>100</v>
      </c>
      <c r="I37" s="2057"/>
      <c r="J37" s="394">
        <f>SUMIF(114:114,I37,115:115)-SUMIF(114:114,C37,115:115)+100</f>
        <v>100</v>
      </c>
      <c r="K37" s="569"/>
      <c r="L37" s="2913"/>
      <c r="M37" s="2907"/>
      <c r="N37" s="2907"/>
      <c r="O37" s="2965"/>
      <c r="P37" s="3743" t="s">
        <v>2324</v>
      </c>
      <c r="Q37" s="1502" t="str">
        <f t="shared" si="14"/>
        <v>工程地质条件</v>
      </c>
      <c r="R37" s="714" t="s">
        <v>17</v>
      </c>
      <c r="S37" s="715">
        <f t="shared" si="10"/>
        <v>100</v>
      </c>
      <c r="T37" s="714" t="s">
        <v>17</v>
      </c>
      <c r="U37" s="715">
        <f t="shared" si="11"/>
        <v>100</v>
      </c>
      <c r="V37" s="714" t="s">
        <v>17</v>
      </c>
      <c r="W37" s="715">
        <f t="shared" si="12"/>
        <v>100</v>
      </c>
      <c r="X37" s="1505"/>
      <c r="Y37" s="3743" t="s">
        <v>2324</v>
      </c>
      <c r="Z37" s="1506" t="str">
        <f t="shared" si="13"/>
        <v>工程地质条件</v>
      </c>
      <c r="AA37" s="1503">
        <f t="shared" si="3"/>
        <v>1</v>
      </c>
      <c r="AB37" s="1503">
        <f t="shared" si="4"/>
        <v>1</v>
      </c>
      <c r="AC37" s="1503">
        <f t="shared" si="5"/>
        <v>1</v>
      </c>
    </row>
    <row r="38" spans="1:31" ht="15">
      <c r="A38" s="431"/>
      <c r="B38" s="126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3"/>
      <c r="M38" s="2907"/>
      <c r="N38" s="2907"/>
      <c r="O38" s="2965"/>
      <c r="P38" s="3743"/>
      <c r="Q38" s="1502">
        <f t="shared" si="14"/>
        <v>111</v>
      </c>
      <c r="R38" s="714" t="s">
        <v>17</v>
      </c>
      <c r="S38" s="715">
        <f t="shared" si="10"/>
        <v>100</v>
      </c>
      <c r="T38" s="714" t="s">
        <v>17</v>
      </c>
      <c r="U38" s="715">
        <f t="shared" si="11"/>
        <v>100</v>
      </c>
      <c r="V38" s="714" t="s">
        <v>17</v>
      </c>
      <c r="W38" s="715">
        <f t="shared" si="12"/>
        <v>100</v>
      </c>
      <c r="X38" s="1505"/>
      <c r="Y38" s="3743"/>
      <c r="Z38" s="1506">
        <f t="shared" si="13"/>
        <v>111</v>
      </c>
      <c r="AA38" s="1503">
        <f t="shared" si="3"/>
        <v>1</v>
      </c>
      <c r="AB38" s="1503">
        <f t="shared" si="4"/>
        <v>1</v>
      </c>
      <c r="AC38" s="1503">
        <f t="shared" si="5"/>
        <v>1</v>
      </c>
    </row>
    <row r="39" spans="1:31" ht="15">
      <c r="A39" s="431"/>
      <c r="B39" s="126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3"/>
      <c r="M39" s="2907"/>
      <c r="N39" s="2907"/>
      <c r="O39" s="2965"/>
      <c r="P39" s="3743"/>
      <c r="Q39" s="1502">
        <f t="shared" si="14"/>
        <v>111</v>
      </c>
      <c r="R39" s="714" t="s">
        <v>17</v>
      </c>
      <c r="S39" s="715">
        <f t="shared" si="10"/>
        <v>100</v>
      </c>
      <c r="T39" s="714" t="s">
        <v>17</v>
      </c>
      <c r="U39" s="715">
        <f t="shared" si="11"/>
        <v>100</v>
      </c>
      <c r="V39" s="714" t="s">
        <v>17</v>
      </c>
      <c r="W39" s="715">
        <f t="shared" si="12"/>
        <v>100</v>
      </c>
      <c r="X39" s="1505"/>
      <c r="Y39" s="3743"/>
      <c r="Z39" s="1506">
        <f t="shared" si="13"/>
        <v>111</v>
      </c>
      <c r="AA39" s="1503">
        <f t="shared" si="3"/>
        <v>1</v>
      </c>
      <c r="AB39" s="1503">
        <f t="shared" si="4"/>
        <v>1</v>
      </c>
      <c r="AC39" s="1503">
        <f t="shared" si="5"/>
        <v>1</v>
      </c>
    </row>
    <row r="40" spans="1:31" s="430" customFormat="1" ht="15.75" thickBot="1">
      <c r="A40" s="427"/>
      <c r="B40" s="1264">
        <v>111</v>
      </c>
      <c r="C40" s="2130"/>
      <c r="D40" s="133">
        <v>100</v>
      </c>
      <c r="E40" s="630"/>
      <c r="F40" s="397">
        <f>SUMIF(120:120,E40,121:121)-SUMIF(120:120,C40,121:121)+100</f>
        <v>100</v>
      </c>
      <c r="G40" s="630"/>
      <c r="H40" s="397">
        <f>SUMIF(120:120,G40,121:121)-SUMIF(120:120,C40,121:121)+100</f>
        <v>100</v>
      </c>
      <c r="I40" s="506"/>
      <c r="J40" s="397">
        <f>SUMIF(120:120,I40,121:121)-SUMIF(120:120,C40,121:121)+100</f>
        <v>100</v>
      </c>
      <c r="K40" s="637"/>
      <c r="L40" s="2912"/>
      <c r="M40" s="2914"/>
      <c r="N40" s="2914"/>
      <c r="O40" s="2966"/>
      <c r="P40" s="3743"/>
      <c r="Q40" s="1502">
        <f t="shared" si="14"/>
        <v>111</v>
      </c>
      <c r="R40" s="717" t="s">
        <v>17</v>
      </c>
      <c r="S40" s="718">
        <f t="shared" si="10"/>
        <v>100</v>
      </c>
      <c r="T40" s="717" t="s">
        <v>17</v>
      </c>
      <c r="U40" s="718">
        <f t="shared" si="11"/>
        <v>100</v>
      </c>
      <c r="V40" s="717" t="s">
        <v>17</v>
      </c>
      <c r="W40" s="718">
        <f t="shared" si="12"/>
        <v>100</v>
      </c>
      <c r="X40" s="719"/>
      <c r="Y40" s="3743"/>
      <c r="Z40" s="720">
        <f t="shared" si="13"/>
        <v>111</v>
      </c>
      <c r="AA40" s="1503">
        <f t="shared" si="3"/>
        <v>1</v>
      </c>
      <c r="AB40" s="1503">
        <f t="shared" si="4"/>
        <v>1</v>
      </c>
      <c r="AC40" s="1503">
        <f t="shared" si="5"/>
        <v>1</v>
      </c>
    </row>
    <row r="41" spans="1:31" ht="15">
      <c r="A41" s="438" t="s">
        <v>2479</v>
      </c>
      <c r="B41" s="2131" t="s">
        <v>2559</v>
      </c>
      <c r="C41" s="638" t="s">
        <v>1</v>
      </c>
      <c r="D41" s="440"/>
      <c r="E41" s="441"/>
      <c r="F41" s="442"/>
      <c r="G41" s="443"/>
      <c r="H41" s="444"/>
      <c r="I41" s="441"/>
      <c r="J41" s="444"/>
      <c r="K41" s="723"/>
      <c r="L41" s="2915"/>
      <c r="M41" s="2907"/>
      <c r="N41" s="2907"/>
      <c r="O41" s="2916"/>
      <c r="P41" s="3736" t="str">
        <f>A41</f>
        <v>成交单价</v>
      </c>
      <c r="Q41" s="3736"/>
      <c r="R41" s="3767">
        <f>E41</f>
        <v>0</v>
      </c>
      <c r="S41" s="3767"/>
      <c r="T41" s="3767">
        <f>G41</f>
        <v>0</v>
      </c>
      <c r="U41" s="3767"/>
      <c r="V41" s="3767">
        <f>I41</f>
        <v>0</v>
      </c>
      <c r="W41" s="3767"/>
      <c r="X41" s="699"/>
      <c r="Y41" s="721"/>
      <c r="Z41" s="699"/>
      <c r="AA41" s="699"/>
      <c r="AB41" s="699"/>
      <c r="AC41" s="699"/>
    </row>
    <row r="42" spans="1:31" ht="15.75" thickBot="1">
      <c r="A42" s="445" t="s">
        <v>2428</v>
      </c>
      <c r="B42" s="639"/>
      <c r="C42" s="448" t="e">
        <f>R43</f>
        <v>#DIV/0!</v>
      </c>
      <c r="D42" s="2501" t="s">
        <v>2819</v>
      </c>
      <c r="E42" s="448" t="e">
        <f>R42</f>
        <v>#DIV/0!</v>
      </c>
      <c r="F42" s="2502"/>
      <c r="G42" s="447" t="e">
        <f>T42</f>
        <v>#DIV/0!</v>
      </c>
      <c r="H42" s="2502"/>
      <c r="I42" s="448" t="e">
        <f>V42</f>
        <v>#DIV/0!</v>
      </c>
      <c r="J42" s="2502"/>
      <c r="K42" s="2504">
        <f>F42+H42+J42</f>
        <v>0</v>
      </c>
      <c r="L42" s="2915"/>
      <c r="M42" s="2907"/>
      <c r="N42" s="2907"/>
      <c r="O42" s="2916"/>
      <c r="P42" s="3736" t="str">
        <f>A42</f>
        <v>比较价值（元/平方米）</v>
      </c>
      <c r="Q42" s="3736"/>
      <c r="R42" s="3798" t="e">
        <f>ROUND(PRODUCT(R41,AA7:AA40),0)</f>
        <v>#DIV/0!</v>
      </c>
      <c r="S42" s="3798"/>
      <c r="T42" s="3798" t="e">
        <f>ROUND(PRODUCT(T41,AB7:AB40),0)</f>
        <v>#DIV/0!</v>
      </c>
      <c r="U42" s="3798"/>
      <c r="V42" s="3798" t="e">
        <f>ROUND(PRODUCT(V41,AC7:AC40),0)</f>
        <v>#DIV/0!</v>
      </c>
      <c r="W42" s="3798"/>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15"/>
      <c r="M43" s="2907"/>
      <c r="N43" s="2907"/>
      <c r="O43" s="2916"/>
      <c r="P43" s="3733" t="str">
        <f>A43</f>
        <v>估价对象XX用房的比较价值（楼面单价，元/平方米）</v>
      </c>
      <c r="Q43" s="3734"/>
      <c r="R43" s="3799" t="e">
        <f>ROUND(IF(D42="简单平均",AVERAGE(R42:W42),R42*F42+T42*H42+V42*J42),0)</f>
        <v>#DIV/0!</v>
      </c>
      <c r="S43" s="3799"/>
      <c r="T43" s="3799"/>
      <c r="U43" s="3799"/>
      <c r="V43" s="3799"/>
      <c r="W43" s="3799"/>
      <c r="X43" s="699"/>
      <c r="Y43" s="699"/>
      <c r="Z43" s="699"/>
      <c r="AA43" s="699"/>
      <c r="AB43" s="699"/>
      <c r="AC43" s="699"/>
    </row>
    <row r="44" spans="1:31">
      <c r="A44" s="2916"/>
      <c r="B44" s="2916"/>
      <c r="C44" s="2916"/>
      <c r="D44" s="2916"/>
      <c r="E44" s="2916"/>
      <c r="F44" s="2916"/>
      <c r="G44" s="2920"/>
      <c r="H44" s="2916"/>
      <c r="I44" s="2916"/>
      <c r="J44" s="2916"/>
      <c r="K44" s="2921"/>
      <c r="L44" s="2917"/>
      <c r="M44" s="2907"/>
      <c r="N44" s="2907"/>
      <c r="O44" s="2916"/>
      <c r="P44" s="2916"/>
      <c r="Q44" s="2916"/>
      <c r="R44" s="2916"/>
      <c r="S44" s="2916"/>
      <c r="T44" s="2916"/>
      <c r="U44" s="2916"/>
      <c r="V44" s="2916"/>
      <c r="W44" s="2916"/>
      <c r="X44" s="2916"/>
      <c r="Y44" s="2916"/>
      <c r="Z44" s="2916"/>
      <c r="AA44" s="2916"/>
      <c r="AB44" s="2916"/>
      <c r="AC44" s="2916"/>
      <c r="AD44" s="2916"/>
      <c r="AE44" s="2916"/>
    </row>
    <row r="45" spans="1:31">
      <c r="A45" s="2916"/>
      <c r="B45" s="2916"/>
      <c r="C45" s="2916"/>
      <c r="D45" s="2916"/>
      <c r="E45" s="2916"/>
      <c r="F45" s="2916"/>
      <c r="G45" s="2916"/>
      <c r="H45" s="2916"/>
      <c r="I45" s="2916"/>
      <c r="J45" s="2916"/>
      <c r="K45" s="2921"/>
      <c r="L45" s="2917"/>
      <c r="M45" s="2907"/>
      <c r="N45" s="2907"/>
      <c r="O45" s="2916"/>
      <c r="P45" s="2916"/>
      <c r="Q45" s="2916"/>
      <c r="R45" s="2916"/>
      <c r="S45" s="2916"/>
      <c r="T45" s="2916"/>
      <c r="U45" s="2916"/>
      <c r="V45" s="2916"/>
      <c r="W45" s="2916"/>
      <c r="X45" s="2916"/>
      <c r="Y45" s="2916"/>
      <c r="Z45" s="2916"/>
      <c r="AA45" s="2916"/>
      <c r="AB45" s="2916"/>
      <c r="AC45" s="2916"/>
      <c r="AD45" s="2916"/>
      <c r="AE45" s="2916"/>
    </row>
    <row r="46" spans="1:31" ht="13.5" customHeight="1">
      <c r="A46" s="2916"/>
      <c r="B46" s="2916"/>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2917"/>
      <c r="M46" s="2907"/>
      <c r="N46" s="2907"/>
      <c r="O46" s="2916"/>
      <c r="P46" s="2916"/>
      <c r="Q46" s="2916"/>
      <c r="R46" s="2916"/>
      <c r="S46" s="2916"/>
      <c r="T46" s="2916"/>
      <c r="U46" s="2916"/>
      <c r="V46" s="2916"/>
      <c r="W46" s="2916"/>
      <c r="X46" s="2916"/>
      <c r="Y46" s="2916"/>
      <c r="Z46" s="2916"/>
      <c r="AA46" s="2916"/>
      <c r="AB46" s="2916"/>
      <c r="AC46" s="2916"/>
      <c r="AD46" s="2916"/>
      <c r="AE46" s="2916"/>
    </row>
    <row r="47" spans="1:31" ht="13.5" customHeight="1">
      <c r="A47" s="2916"/>
      <c r="B47" s="2916"/>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2917"/>
      <c r="M47" s="2916"/>
      <c r="N47" s="2916"/>
      <c r="O47" s="2916"/>
      <c r="P47" s="2916"/>
      <c r="Q47" s="2916"/>
      <c r="R47" s="2916"/>
      <c r="S47" s="2916"/>
      <c r="T47" s="2916"/>
      <c r="U47" s="2916"/>
      <c r="V47" s="2916"/>
      <c r="W47" s="2916"/>
      <c r="X47" s="2916"/>
      <c r="Y47" s="2916"/>
      <c r="Z47" s="2916"/>
      <c r="AA47" s="2916"/>
      <c r="AB47" s="2916"/>
      <c r="AC47" s="2916"/>
      <c r="AD47" s="2916"/>
      <c r="AE47" s="2916"/>
    </row>
    <row r="48" spans="1:31" s="459" customFormat="1" ht="13.5" customHeight="1">
      <c r="A48" s="2919"/>
      <c r="B48" s="2919"/>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2918"/>
      <c r="M48" s="2919"/>
      <c r="N48" s="2919"/>
      <c r="O48" s="2919"/>
      <c r="P48" s="2919"/>
      <c r="Q48" s="2919"/>
      <c r="R48" s="2919"/>
      <c r="S48" s="2919"/>
      <c r="T48" s="2919"/>
      <c r="U48" s="2919"/>
      <c r="V48" s="2919"/>
      <c r="W48" s="2919"/>
      <c r="X48" s="2919"/>
      <c r="Y48" s="2919"/>
      <c r="Z48" s="2919"/>
      <c r="AA48" s="2919"/>
      <c r="AB48" s="2919"/>
      <c r="AC48" s="2919"/>
      <c r="AD48" s="2919"/>
      <c r="AE48" s="2919"/>
    </row>
    <row r="49" spans="1:31" s="459" customFormat="1" ht="15" thickBot="1">
      <c r="A49" s="2919"/>
      <c r="B49" s="2922"/>
      <c r="C49" s="702"/>
      <c r="D49" s="700"/>
      <c r="E49" s="700"/>
      <c r="F49" s="700"/>
      <c r="G49" s="700"/>
      <c r="H49" s="700"/>
      <c r="I49" s="700"/>
      <c r="J49" s="700"/>
      <c r="K49" s="2924"/>
      <c r="L49" s="2918"/>
      <c r="M49" s="2919"/>
      <c r="N49" s="2919"/>
      <c r="O49" s="2919"/>
      <c r="P49" s="2919"/>
      <c r="Q49" s="2919"/>
      <c r="R49" s="2919"/>
      <c r="S49" s="2919"/>
      <c r="T49" s="2919"/>
      <c r="U49" s="2919"/>
      <c r="V49" s="2919"/>
      <c r="W49" s="2919"/>
      <c r="X49" s="2919"/>
      <c r="Y49" s="2919"/>
      <c r="Z49" s="2919"/>
      <c r="AA49" s="2919"/>
      <c r="AB49" s="2919"/>
      <c r="AC49" s="2919"/>
      <c r="AD49" s="2919"/>
      <c r="AE49" s="2919"/>
    </row>
    <row r="50" spans="1:31" ht="27">
      <c r="A50" s="640" t="s">
        <v>2517</v>
      </c>
      <c r="B50" s="641" t="s">
        <v>2518</v>
      </c>
      <c r="C50" s="2132" t="s">
        <v>2519</v>
      </c>
      <c r="D50" s="2133" t="s">
        <v>2520</v>
      </c>
      <c r="E50" s="642" t="s">
        <v>2521</v>
      </c>
      <c r="F50" s="643" t="s">
        <v>2522</v>
      </c>
      <c r="G50" s="3751" t="s">
        <v>2523</v>
      </c>
      <c r="H50" s="3800"/>
      <c r="I50" s="1506" t="s">
        <v>2560</v>
      </c>
      <c r="J50" s="1506">
        <f>项目基本情况!F35</f>
        <v>0</v>
      </c>
      <c r="K50" s="2135" t="s">
        <v>2525</v>
      </c>
      <c r="L50" s="2917"/>
      <c r="M50" s="2916"/>
      <c r="N50" s="2916"/>
      <c r="O50" s="2916"/>
      <c r="P50" s="2916"/>
      <c r="Q50" s="2916"/>
      <c r="R50" s="2916"/>
      <c r="S50" s="2916"/>
      <c r="T50" s="2916"/>
      <c r="U50" s="2916"/>
      <c r="V50" s="2916"/>
      <c r="W50" s="2916"/>
      <c r="X50" s="2916"/>
      <c r="Y50" s="2916"/>
      <c r="Z50" s="2916"/>
      <c r="AA50" s="2916"/>
      <c r="AB50" s="2916"/>
      <c r="AC50" s="2916"/>
      <c r="AD50" s="2916"/>
      <c r="AE50" s="2916"/>
    </row>
    <row r="51" spans="1:31" s="648" customFormat="1">
      <c r="A51" s="644" t="s">
        <v>2526</v>
      </c>
      <c r="B51" s="645" t="e">
        <f>C43</f>
        <v>#DIV/0!</v>
      </c>
      <c r="C51" s="646">
        <v>1</v>
      </c>
      <c r="D51" s="1071">
        <v>1</v>
      </c>
      <c r="E51" s="646">
        <f>'数据-汇总表'!E8+'数据-汇总表'!E9</f>
        <v>63823.659999999953</v>
      </c>
      <c r="F51" s="647" t="e">
        <f t="shared" ref="F51:F60" si="15">ROUND(B51*E51/10000,0)</f>
        <v>#DIV/0!</v>
      </c>
      <c r="G51" s="3747"/>
      <c r="H51" s="3736"/>
      <c r="I51" s="875">
        <v>1</v>
      </c>
      <c r="J51" s="875">
        <v>1</v>
      </c>
      <c r="K51" s="2919"/>
      <c r="L51" s="2973"/>
      <c r="M51" s="2973"/>
      <c r="N51" s="2973"/>
      <c r="O51" s="2973"/>
      <c r="P51" s="2973"/>
      <c r="Q51" s="2973"/>
      <c r="R51" s="2973"/>
      <c r="S51" s="2973"/>
      <c r="T51" s="2973"/>
      <c r="U51" s="2973"/>
      <c r="V51" s="2973"/>
      <c r="W51" s="2973"/>
      <c r="X51" s="2973"/>
      <c r="Y51" s="2973"/>
      <c r="Z51" s="2973"/>
      <c r="AA51" s="2973"/>
      <c r="AB51" s="2973"/>
      <c r="AC51" s="2973"/>
      <c r="AD51" s="2973"/>
      <c r="AE51" s="2973"/>
    </row>
    <row r="52" spans="1:31" s="648" customFormat="1">
      <c r="A52" s="649" t="s">
        <v>2527</v>
      </c>
      <c r="B52" s="224" t="e">
        <f>ROUND($C$43*C52*D52,0)</f>
        <v>#DIV/0!</v>
      </c>
      <c r="C52" s="176">
        <f t="shared" ref="C52:C60" si="16">IF($C$50="北京市系数",I52,J52)</f>
        <v>0.7</v>
      </c>
      <c r="D52" s="1072">
        <v>0.25</v>
      </c>
      <c r="E52" s="650"/>
      <c r="F52" s="647" t="e">
        <f t="shared" si="15"/>
        <v>#DIV/0!</v>
      </c>
      <c r="G52" s="3801" t="s">
        <v>2528</v>
      </c>
      <c r="H52" s="1014" t="str">
        <f>项目基本情况!B37</f>
        <v>七级</v>
      </c>
      <c r="I52" s="875">
        <f>SUMIF(修正!A45:A56,H52,修正!B45:B56)</f>
        <v>0.7</v>
      </c>
      <c r="J52" s="876"/>
      <c r="K52" s="2916"/>
      <c r="L52" s="2973"/>
      <c r="M52" s="2973"/>
      <c r="N52" s="2973"/>
      <c r="O52" s="2973"/>
      <c r="P52" s="2973"/>
      <c r="Q52" s="2973"/>
      <c r="R52" s="2973"/>
      <c r="S52" s="2973"/>
      <c r="T52" s="2973"/>
      <c r="U52" s="2973"/>
      <c r="V52" s="2973"/>
      <c r="W52" s="2973"/>
      <c r="X52" s="2973"/>
      <c r="Y52" s="2973"/>
      <c r="Z52" s="2973"/>
      <c r="AA52" s="2973"/>
      <c r="AB52" s="2973"/>
      <c r="AC52" s="2973"/>
      <c r="AD52" s="2973"/>
      <c r="AE52" s="2973"/>
    </row>
    <row r="53" spans="1:31" s="648" customFormat="1">
      <c r="A53" s="649" t="s">
        <v>2529</v>
      </c>
      <c r="B53" s="224" t="e">
        <f t="shared" ref="B53:B60" si="17">ROUND($C$43*C53*D53,0)</f>
        <v>#DIV/0!</v>
      </c>
      <c r="C53" s="176">
        <f t="shared" si="16"/>
        <v>0.4</v>
      </c>
      <c r="D53" s="1072">
        <v>0.25</v>
      </c>
      <c r="E53" s="650"/>
      <c r="F53" s="647" t="e">
        <f t="shared" si="15"/>
        <v>#DIV/0!</v>
      </c>
      <c r="G53" s="3801"/>
      <c r="H53" s="1014" t="str">
        <f>项目基本情况!B37</f>
        <v>七级</v>
      </c>
      <c r="I53" s="875">
        <f>SUMIF(修正!A45:A56,H53,修正!C45:C56)</f>
        <v>0.4</v>
      </c>
      <c r="J53" s="876"/>
      <c r="K53" s="2919"/>
      <c r="L53" s="2973"/>
      <c r="M53" s="2973"/>
      <c r="N53" s="2973"/>
      <c r="O53" s="2973"/>
      <c r="P53" s="2973"/>
      <c r="Q53" s="2973"/>
      <c r="R53" s="2973"/>
      <c r="S53" s="2973"/>
      <c r="T53" s="2973"/>
      <c r="U53" s="2973"/>
      <c r="V53" s="2973"/>
      <c r="W53" s="2973"/>
      <c r="X53" s="2973"/>
      <c r="Y53" s="2973"/>
      <c r="Z53" s="2973"/>
      <c r="AA53" s="2973"/>
      <c r="AB53" s="2973"/>
      <c r="AC53" s="2973"/>
      <c r="AD53" s="2973"/>
      <c r="AE53" s="2973"/>
    </row>
    <row r="54" spans="1:31" s="648" customFormat="1">
      <c r="A54" s="649" t="s">
        <v>2530</v>
      </c>
      <c r="B54" s="224" t="e">
        <f t="shared" si="17"/>
        <v>#DIV/0!</v>
      </c>
      <c r="C54" s="176">
        <f t="shared" si="16"/>
        <v>0.28000000000000003</v>
      </c>
      <c r="D54" s="1072">
        <v>0.25</v>
      </c>
      <c r="E54" s="650"/>
      <c r="F54" s="647" t="e">
        <f t="shared" si="15"/>
        <v>#DIV/0!</v>
      </c>
      <c r="G54" s="3801"/>
      <c r="H54" s="1014" t="str">
        <f>项目基本情况!B37</f>
        <v>七级</v>
      </c>
      <c r="I54" s="875">
        <f>SUMIF(修正!A45:A56,H54,修正!D45:D56)</f>
        <v>0.28000000000000003</v>
      </c>
      <c r="J54" s="876"/>
      <c r="K54" s="2916"/>
      <c r="L54" s="2973"/>
      <c r="M54" s="2973"/>
      <c r="N54" s="2973"/>
      <c r="O54" s="2973"/>
      <c r="P54" s="2973"/>
      <c r="Q54" s="2973"/>
      <c r="R54" s="2973"/>
      <c r="S54" s="2973"/>
      <c r="T54" s="2973"/>
      <c r="U54" s="2973"/>
      <c r="V54" s="2973"/>
      <c r="W54" s="2973"/>
      <c r="X54" s="2973"/>
      <c r="Y54" s="2973"/>
      <c r="Z54" s="2973"/>
      <c r="AA54" s="2973"/>
      <c r="AB54" s="2973"/>
      <c r="AC54" s="2973"/>
      <c r="AD54" s="2973"/>
      <c r="AE54" s="2973"/>
    </row>
    <row r="55" spans="1:31" s="648" customFormat="1">
      <c r="A55" s="649" t="s">
        <v>2531</v>
      </c>
      <c r="B55" s="224" t="e">
        <f t="shared" si="17"/>
        <v>#DIV/0!</v>
      </c>
      <c r="C55" s="176">
        <f t="shared" si="16"/>
        <v>0.25</v>
      </c>
      <c r="D55" s="1072">
        <v>0.25</v>
      </c>
      <c r="E55" s="650"/>
      <c r="F55" s="647" t="e">
        <f t="shared" si="15"/>
        <v>#DIV/0!</v>
      </c>
      <c r="G55" s="3801"/>
      <c r="H55" s="1014" t="str">
        <f>项目基本情况!B37</f>
        <v>七级</v>
      </c>
      <c r="I55" s="875">
        <f>SUMIF(修正!A45:A56,H55,修正!E45:E56)</f>
        <v>0.25</v>
      </c>
      <c r="J55" s="876"/>
      <c r="K55" s="2919"/>
      <c r="L55" s="2973"/>
      <c r="M55" s="2973"/>
      <c r="N55" s="2973"/>
      <c r="O55" s="2973"/>
      <c r="P55" s="2973"/>
      <c r="Q55" s="2973"/>
      <c r="R55" s="2973"/>
      <c r="S55" s="2973"/>
      <c r="T55" s="2973"/>
      <c r="U55" s="2973"/>
      <c r="V55" s="2973"/>
      <c r="W55" s="2973"/>
      <c r="X55" s="2973"/>
      <c r="Y55" s="2973"/>
      <c r="Z55" s="2973"/>
      <c r="AA55" s="2973"/>
      <c r="AB55" s="2973"/>
      <c r="AC55" s="2973"/>
      <c r="AD55" s="2973"/>
      <c r="AE55" s="2973"/>
    </row>
    <row r="56" spans="1:31" s="648" customFormat="1">
      <c r="A56" s="649" t="s">
        <v>2532</v>
      </c>
      <c r="B56" s="224" t="e">
        <f t="shared" si="17"/>
        <v>#DIV/0!</v>
      </c>
      <c r="C56" s="176">
        <f t="shared" si="16"/>
        <v>0.25</v>
      </c>
      <c r="D56" s="1072">
        <v>0.25</v>
      </c>
      <c r="E56" s="223">
        <f>'数据-汇总表'!E11</f>
        <v>0</v>
      </c>
      <c r="F56" s="647" t="e">
        <f t="shared" si="15"/>
        <v>#DIV/0!</v>
      </c>
      <c r="G56" s="2136" t="s">
        <v>2533</v>
      </c>
      <c r="H56" s="1014" t="str">
        <f>项目基本情况!C37</f>
        <v>七级</v>
      </c>
      <c r="I56" s="875">
        <f>SUMIF(修正!A45:A56,H56,修正!F45:F56)</f>
        <v>0.25</v>
      </c>
      <c r="J56" s="876"/>
      <c r="K56" s="2916"/>
      <c r="L56" s="2973"/>
      <c r="M56" s="2973"/>
      <c r="N56" s="2973"/>
      <c r="O56" s="2973"/>
      <c r="P56" s="2973"/>
      <c r="Q56" s="2973"/>
      <c r="R56" s="2973"/>
      <c r="S56" s="2973"/>
      <c r="T56" s="2973"/>
      <c r="U56" s="2973"/>
      <c r="V56" s="2973"/>
      <c r="W56" s="2973"/>
      <c r="X56" s="2973"/>
      <c r="Y56" s="2973"/>
      <c r="Z56" s="2973"/>
      <c r="AA56" s="2973"/>
      <c r="AB56" s="2973"/>
      <c r="AC56" s="2973"/>
      <c r="AD56" s="2973"/>
      <c r="AE56" s="2973"/>
    </row>
    <row r="57" spans="1:31" s="648" customFormat="1">
      <c r="A57" s="649" t="s">
        <v>2534</v>
      </c>
      <c r="B57" s="224" t="e">
        <f t="shared" si="17"/>
        <v>#DIV/0!</v>
      </c>
      <c r="C57" s="176">
        <f t="shared" si="16"/>
        <v>0.25</v>
      </c>
      <c r="D57" s="1072">
        <v>0.25</v>
      </c>
      <c r="E57" s="223">
        <f>'数据-汇总表'!E12</f>
        <v>0</v>
      </c>
      <c r="F57" s="647" t="e">
        <f t="shared" si="15"/>
        <v>#DIV/0!</v>
      </c>
      <c r="G57" s="1019" t="s">
        <v>2535</v>
      </c>
      <c r="H57" s="1014" t="str">
        <f>IF(G57="商业",项目基本情况!B37,IF(G57="办公",项目基本情况!C37,IF(G57="住宅",项目基本情况!D37,项目基本情况!E37)))</f>
        <v>七级</v>
      </c>
      <c r="I57" s="875">
        <f>SUMIF(修正!A45:A56,H57,修正!G45:G56)</f>
        <v>0.25</v>
      </c>
      <c r="J57" s="876"/>
      <c r="K57" s="2919"/>
      <c r="L57" s="2973"/>
      <c r="M57" s="2973"/>
      <c r="N57" s="2973"/>
      <c r="O57" s="2973"/>
      <c r="P57" s="2973"/>
      <c r="Q57" s="2973"/>
      <c r="R57" s="2973"/>
      <c r="S57" s="2973"/>
      <c r="T57" s="2973"/>
      <c r="U57" s="2973"/>
      <c r="V57" s="2973"/>
      <c r="W57" s="2973"/>
      <c r="X57" s="2973"/>
      <c r="Y57" s="2973"/>
      <c r="Z57" s="2973"/>
      <c r="AA57" s="2973"/>
      <c r="AB57" s="2973"/>
      <c r="AC57" s="2973"/>
      <c r="AD57" s="2973"/>
      <c r="AE57" s="2973"/>
    </row>
    <row r="58" spans="1:31" s="648" customFormat="1">
      <c r="A58" s="649" t="s">
        <v>2536</v>
      </c>
      <c r="B58" s="224" t="e">
        <f t="shared" si="17"/>
        <v>#DIV/0!</v>
      </c>
      <c r="C58" s="176">
        <f t="shared" si="16"/>
        <v>0</v>
      </c>
      <c r="D58" s="1072">
        <v>0.25</v>
      </c>
      <c r="E58" s="223">
        <f>'数据-汇总表'!E13</f>
        <v>0</v>
      </c>
      <c r="F58" s="647" t="e">
        <f t="shared" si="15"/>
        <v>#DIV/0!</v>
      </c>
      <c r="G58" s="1019" t="s">
        <v>2537</v>
      </c>
      <c r="H58" s="1014">
        <f>IF(G58="商业",项目基本情况!B37,IF(G58="办公",项目基本情况!C37,IF(G58="住宅",项目基本情况!D37,项目基本情况!E37)))</f>
        <v>0</v>
      </c>
      <c r="I58" s="875">
        <f>SUMIF(修正!A45:A56,H58,修正!H45:H56)</f>
        <v>0</v>
      </c>
      <c r="J58" s="876"/>
      <c r="K58" s="2916"/>
      <c r="L58" s="2973"/>
      <c r="M58" s="2973"/>
      <c r="N58" s="2973"/>
      <c r="O58" s="2973"/>
      <c r="P58" s="2973"/>
      <c r="Q58" s="2973"/>
      <c r="R58" s="2973"/>
      <c r="S58" s="2973"/>
      <c r="T58" s="2973"/>
      <c r="U58" s="2973"/>
      <c r="V58" s="2973"/>
      <c r="W58" s="2973"/>
      <c r="X58" s="2973"/>
      <c r="Y58" s="2973"/>
      <c r="Z58" s="2973"/>
      <c r="AA58" s="2973"/>
      <c r="AB58" s="2973"/>
      <c r="AC58" s="2973"/>
      <c r="AD58" s="2973"/>
      <c r="AE58" s="2973"/>
    </row>
    <row r="59" spans="1:31" s="648" customFormat="1">
      <c r="A59" s="649" t="s">
        <v>2538</v>
      </c>
      <c r="B59" s="224" t="e">
        <f t="shared" si="17"/>
        <v>#DIV/0!</v>
      </c>
      <c r="C59" s="176">
        <f t="shared" si="16"/>
        <v>0.2</v>
      </c>
      <c r="D59" s="1072">
        <v>0.25</v>
      </c>
      <c r="E59" s="223">
        <f>'数据-汇总表'!E14</f>
        <v>0</v>
      </c>
      <c r="F59" s="647" t="e">
        <f t="shared" si="15"/>
        <v>#DIV/0!</v>
      </c>
      <c r="G59" s="2136" t="s">
        <v>2528</v>
      </c>
      <c r="H59" s="1014" t="str">
        <f>项目基本情况!B37</f>
        <v>七级</v>
      </c>
      <c r="I59" s="875">
        <f>SUMIF(修正!A45:A56,H59,修正!H45:H56)</f>
        <v>0.2</v>
      </c>
      <c r="J59" s="876"/>
      <c r="K59" s="2919"/>
      <c r="L59" s="2973"/>
      <c r="M59" s="2973"/>
      <c r="N59" s="2973"/>
      <c r="O59" s="2973"/>
      <c r="P59" s="2973"/>
      <c r="Q59" s="2973"/>
      <c r="R59" s="2973"/>
      <c r="S59" s="2973"/>
      <c r="T59" s="2973"/>
      <c r="U59" s="2973"/>
      <c r="V59" s="2973"/>
      <c r="W59" s="2973"/>
      <c r="X59" s="2973"/>
      <c r="Y59" s="2973"/>
      <c r="Z59" s="2973"/>
      <c r="AA59" s="2973"/>
      <c r="AB59" s="2973"/>
      <c r="AC59" s="2973"/>
      <c r="AD59" s="2973"/>
      <c r="AE59" s="2973"/>
    </row>
    <row r="60" spans="1:31" s="648" customFormat="1" ht="15" thickBot="1">
      <c r="A60" s="649" t="s">
        <v>2539</v>
      </c>
      <c r="B60" s="224" t="e">
        <f t="shared" si="17"/>
        <v>#DIV/0!</v>
      </c>
      <c r="C60" s="176">
        <f t="shared" si="16"/>
        <v>0.2</v>
      </c>
      <c r="D60" s="1072">
        <v>0.25</v>
      </c>
      <c r="E60" s="223">
        <f>'数据-汇总表'!E15</f>
        <v>0</v>
      </c>
      <c r="F60" s="647" t="e">
        <f t="shared" si="15"/>
        <v>#DIV/0!</v>
      </c>
      <c r="G60" s="2137" t="s">
        <v>2533</v>
      </c>
      <c r="H60" s="1024" t="str">
        <f>项目基本情况!C37</f>
        <v>七级</v>
      </c>
      <c r="I60" s="875">
        <f>SUMIF(修正!A45:A56,H60,修正!H45:H56)</f>
        <v>0.2</v>
      </c>
      <c r="J60" s="876"/>
      <c r="K60" s="2916"/>
      <c r="L60" s="2973"/>
      <c r="M60" s="2973"/>
      <c r="N60" s="2973"/>
      <c r="O60" s="2973"/>
      <c r="P60" s="2973"/>
      <c r="Q60" s="2973"/>
      <c r="R60" s="2973"/>
      <c r="S60" s="2973"/>
      <c r="T60" s="2973"/>
      <c r="U60" s="2973"/>
      <c r="V60" s="2973"/>
      <c r="W60" s="2973"/>
      <c r="X60" s="2973"/>
      <c r="Y60" s="2973"/>
      <c r="Z60" s="2973"/>
      <c r="AA60" s="2973"/>
      <c r="AB60" s="2973"/>
      <c r="AC60" s="2973"/>
      <c r="AD60" s="2973"/>
      <c r="AE60" s="2973"/>
    </row>
    <row r="61" spans="1:31" s="648" customFormat="1" ht="15" thickBot="1">
      <c r="A61" s="651" t="s">
        <v>2540</v>
      </c>
      <c r="B61" s="652" t="s">
        <v>28</v>
      </c>
      <c r="C61" s="652" t="s">
        <v>29</v>
      </c>
      <c r="D61" s="652" t="s">
        <v>997</v>
      </c>
      <c r="E61" s="652">
        <f>IF(B41="楼面地价",SUM(E51:E60),'数据-汇总表'!D3)</f>
        <v>15403.06</v>
      </c>
      <c r="F61" s="653" t="e">
        <f>IF(B41="楼面地价",SUM(F51:F60),ROUND(C43*E61/10000,0))</f>
        <v>#DIV/0!</v>
      </c>
      <c r="G61" s="1066"/>
      <c r="H61" s="1066"/>
      <c r="I61" s="1066"/>
      <c r="J61" s="1066"/>
      <c r="K61" s="2921"/>
      <c r="L61" s="2973"/>
      <c r="M61" s="2973"/>
      <c r="N61" s="2973"/>
      <c r="O61" s="2973"/>
      <c r="P61" s="2973"/>
      <c r="Q61" s="2973"/>
      <c r="R61" s="2973"/>
      <c r="S61" s="2973"/>
      <c r="T61" s="2973"/>
      <c r="U61" s="2973"/>
      <c r="V61" s="2973"/>
      <c r="W61" s="2973"/>
      <c r="X61" s="2973"/>
      <c r="Y61" s="2973"/>
      <c r="Z61" s="2973"/>
      <c r="AA61" s="2973"/>
      <c r="AB61" s="2973"/>
      <c r="AC61" s="2973"/>
      <c r="AD61" s="2973"/>
      <c r="AE61" s="2973"/>
    </row>
    <row r="62" spans="1:31">
      <c r="A62" s="1054"/>
      <c r="B62" s="1056"/>
      <c r="C62" s="1058"/>
      <c r="D62" s="1054"/>
      <c r="E62" s="1054"/>
      <c r="F62" s="1054"/>
      <c r="G62" s="1054"/>
      <c r="H62" s="1054"/>
      <c r="I62" s="1054"/>
      <c r="J62" s="1054"/>
      <c r="K62" s="1015"/>
      <c r="L62" s="1016"/>
      <c r="M62" s="1054"/>
      <c r="N62" s="1054"/>
      <c r="O62" s="1054"/>
      <c r="P62" s="2916"/>
      <c r="Q62" s="2916"/>
      <c r="R62" s="2916"/>
      <c r="S62" s="2916"/>
      <c r="T62" s="2916"/>
      <c r="U62" s="2916"/>
      <c r="V62" s="2916"/>
      <c r="W62" s="2916"/>
      <c r="X62" s="2916"/>
      <c r="Y62" s="2916"/>
      <c r="Z62" s="2916"/>
      <c r="AA62" s="2916"/>
      <c r="AB62" s="2916"/>
      <c r="AC62" s="2916"/>
      <c r="AD62" s="2916"/>
      <c r="AE62" s="2916"/>
    </row>
    <row r="63" spans="1:31">
      <c r="A63" s="1054"/>
      <c r="B63" s="1056"/>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6"/>
      <c r="Q63" s="2916"/>
      <c r="R63" s="2916"/>
      <c r="S63" s="2916"/>
      <c r="T63" s="2916"/>
      <c r="U63" s="2916"/>
      <c r="V63" s="2916"/>
      <c r="W63" s="2916"/>
      <c r="X63" s="2916"/>
      <c r="Y63" s="2916"/>
      <c r="Z63" s="2916"/>
      <c r="AA63" s="2916"/>
      <c r="AB63" s="2916"/>
      <c r="AC63" s="2916"/>
      <c r="AD63" s="2916"/>
      <c r="AE63" s="2916"/>
    </row>
    <row r="64" spans="1:31" ht="21.75" thickBot="1">
      <c r="A64" s="703" t="s">
        <v>2433</v>
      </c>
      <c r="B64" s="699"/>
      <c r="C64" s="704"/>
      <c r="D64" s="704"/>
      <c r="E64" s="704"/>
      <c r="F64" s="705"/>
      <c r="G64" s="705"/>
      <c r="H64" s="704"/>
      <c r="I64" s="704"/>
      <c r="J64" s="704"/>
      <c r="K64" s="706"/>
      <c r="L64" s="707"/>
      <c r="M64" s="704"/>
      <c r="N64" s="704"/>
      <c r="O64" s="1067"/>
      <c r="P64" s="2960"/>
      <c r="Q64" s="2930"/>
      <c r="R64" s="2916"/>
      <c r="S64" s="2916"/>
      <c r="T64" s="2916"/>
      <c r="U64" s="2916"/>
      <c r="V64" s="2916"/>
      <c r="W64" s="2916"/>
      <c r="X64" s="2916"/>
      <c r="Y64" s="2916"/>
      <c r="Z64" s="2916"/>
      <c r="AA64" s="2916"/>
      <c r="AB64" s="2916"/>
      <c r="AC64" s="2916"/>
      <c r="AD64" s="2916"/>
      <c r="AE64" s="2916"/>
    </row>
    <row r="65" spans="1:31" s="465" customFormat="1" ht="15">
      <c r="A65" s="2138" t="s">
        <v>2541</v>
      </c>
      <c r="B65" s="1237"/>
      <c r="C65" s="1312" t="str">
        <f>YEAR(C63)&amp;"-"&amp;ROUNDUP(MONTH(C63)/3,0)</f>
        <v>2022-2</v>
      </c>
      <c r="D65" s="1312" t="str">
        <f t="shared" ref="D65:O65" si="19">YEAR(D63)&amp;"-"&amp;ROUNDUP(MONTH(D63)/3,0)</f>
        <v>2022-1</v>
      </c>
      <c r="E65" s="1312" t="str">
        <f t="shared" si="19"/>
        <v>2021-4</v>
      </c>
      <c r="F65" s="1312" t="str">
        <f t="shared" si="19"/>
        <v>2021-3</v>
      </c>
      <c r="G65" s="1312" t="str">
        <f t="shared" si="19"/>
        <v>2021-2</v>
      </c>
      <c r="H65" s="1312" t="str">
        <f t="shared" si="19"/>
        <v>2021-1</v>
      </c>
      <c r="I65" s="1312" t="str">
        <f t="shared" si="19"/>
        <v>2020-4</v>
      </c>
      <c r="J65" s="1312" t="str">
        <f t="shared" si="19"/>
        <v>2020-3</v>
      </c>
      <c r="K65" s="1312" t="str">
        <f t="shared" si="19"/>
        <v>2020-2</v>
      </c>
      <c r="L65" s="1312" t="str">
        <f t="shared" si="19"/>
        <v>2020-1</v>
      </c>
      <c r="M65" s="1312" t="str">
        <f t="shared" si="19"/>
        <v>2019-4</v>
      </c>
      <c r="N65" s="1312" t="str">
        <f t="shared" si="19"/>
        <v>2019-3</v>
      </c>
      <c r="O65" s="1312" t="str">
        <f t="shared" si="19"/>
        <v>2019-2</v>
      </c>
      <c r="P65" s="2967"/>
      <c r="Q65" s="2932"/>
      <c r="R65" s="2932"/>
      <c r="S65" s="2932"/>
      <c r="T65" s="2932"/>
      <c r="U65" s="2932"/>
      <c r="V65" s="2932"/>
      <c r="W65" s="2932"/>
      <c r="X65" s="2932"/>
      <c r="Y65" s="2932"/>
      <c r="Z65" s="2932"/>
      <c r="AA65" s="2932"/>
      <c r="AB65" s="2932"/>
      <c r="AC65" s="2932"/>
      <c r="AD65" s="2932"/>
      <c r="AE65" s="2932"/>
    </row>
    <row r="66" spans="1:31" s="113" customFormat="1" ht="30.75" customHeight="1">
      <c r="A66" s="2143" t="s">
        <v>2561</v>
      </c>
      <c r="B66" s="294" t="str">
        <f>"北京市平均增长率"&amp;TEXT(基准地价修正!P24,"0.00%")</f>
        <v>北京市平均增长率0.00%</v>
      </c>
      <c r="C66" s="560">
        <v>100</v>
      </c>
      <c r="D66" s="552"/>
      <c r="E66" s="552"/>
      <c r="F66" s="552"/>
      <c r="G66" s="552"/>
      <c r="H66" s="552"/>
      <c r="I66" s="552"/>
      <c r="J66" s="552"/>
      <c r="K66" s="552"/>
      <c r="L66" s="552"/>
      <c r="M66" s="1308"/>
      <c r="N66" s="1308"/>
      <c r="O66" s="1310"/>
      <c r="P66" s="2930"/>
      <c r="Q66" s="2850"/>
      <c r="R66" s="2850"/>
      <c r="S66" s="2850"/>
      <c r="T66" s="2850"/>
      <c r="U66" s="2850"/>
      <c r="V66" s="2850"/>
      <c r="W66" s="2850"/>
      <c r="X66" s="2850"/>
      <c r="Y66" s="2850"/>
      <c r="Z66" s="2850"/>
      <c r="AA66" s="2850"/>
      <c r="AB66" s="2850"/>
      <c r="AC66" s="2850"/>
      <c r="AD66" s="2850"/>
      <c r="AE66" s="2850"/>
    </row>
    <row r="67" spans="1:31" s="113" customFormat="1" ht="15.75" thickBot="1">
      <c r="A67" s="472" t="s">
        <v>2344</v>
      </c>
      <c r="B67" s="473"/>
      <c r="C67" s="474"/>
      <c r="D67" s="475"/>
      <c r="E67" s="475"/>
      <c r="F67" s="475"/>
      <c r="G67" s="475"/>
      <c r="H67" s="475"/>
      <c r="I67" s="475"/>
      <c r="J67" s="475"/>
      <c r="K67" s="475"/>
      <c r="L67" s="475"/>
      <c r="M67" s="476"/>
      <c r="N67" s="476"/>
      <c r="O67" s="477"/>
      <c r="P67" s="2930"/>
      <c r="Q67" s="2930"/>
      <c r="R67" s="2850"/>
      <c r="S67" s="2850"/>
      <c r="T67" s="2850"/>
      <c r="U67" s="2850"/>
      <c r="V67" s="2850"/>
      <c r="W67" s="2850"/>
      <c r="X67" s="2850"/>
      <c r="Y67" s="2850"/>
      <c r="Z67" s="2850"/>
      <c r="AA67" s="2850"/>
      <c r="AB67" s="2850"/>
      <c r="AC67" s="2850"/>
      <c r="AD67" s="2850"/>
      <c r="AE67" s="2850"/>
    </row>
    <row r="68" spans="1:31" s="113" customFormat="1" ht="15">
      <c r="A68" s="478" t="s">
        <v>2309</v>
      </c>
      <c r="B68" s="467"/>
      <c r="C68" s="479" t="s">
        <v>2411</v>
      </c>
      <c r="D68" s="480"/>
      <c r="E68" s="480"/>
      <c r="F68" s="480"/>
      <c r="G68" s="480"/>
      <c r="H68" s="480"/>
      <c r="I68" s="480"/>
      <c r="J68" s="480"/>
      <c r="K68" s="480"/>
      <c r="L68" s="481"/>
      <c r="M68" s="482"/>
      <c r="N68" s="2943"/>
      <c r="O68" s="2943"/>
      <c r="P68" s="2968"/>
      <c r="Q68" s="2930"/>
      <c r="R68" s="2850"/>
      <c r="S68" s="2850"/>
      <c r="T68" s="2850"/>
      <c r="U68" s="2850"/>
      <c r="V68" s="2850"/>
      <c r="W68" s="2850"/>
      <c r="X68" s="2850"/>
      <c r="Y68" s="2850"/>
      <c r="Z68" s="2850"/>
      <c r="AA68" s="2850"/>
      <c r="AB68" s="2850"/>
      <c r="AC68" s="2850"/>
      <c r="AD68" s="2850"/>
      <c r="AE68" s="2850"/>
    </row>
    <row r="69" spans="1:31" s="113" customFormat="1" ht="15.75" thickBot="1">
      <c r="A69" s="478"/>
      <c r="B69" s="467"/>
      <c r="C69" s="595">
        <v>100</v>
      </c>
      <c r="D69" s="469"/>
      <c r="E69" s="469"/>
      <c r="F69" s="469"/>
      <c r="G69" s="469"/>
      <c r="H69" s="469"/>
      <c r="I69" s="469"/>
      <c r="J69" s="469"/>
      <c r="K69" s="469"/>
      <c r="L69" s="469"/>
      <c r="M69" s="471"/>
      <c r="N69" s="2943"/>
      <c r="O69" s="2943"/>
      <c r="P69" s="2930"/>
      <c r="Q69" s="2930"/>
      <c r="R69" s="2850"/>
      <c r="S69" s="2850"/>
      <c r="T69" s="2850"/>
      <c r="U69" s="2850"/>
      <c r="V69" s="2850"/>
      <c r="W69" s="2850"/>
      <c r="X69" s="2850"/>
      <c r="Y69" s="2850"/>
      <c r="Z69" s="2850"/>
      <c r="AA69" s="2850"/>
      <c r="AB69" s="2850"/>
      <c r="AC69" s="2850"/>
      <c r="AD69" s="2850"/>
      <c r="AE69" s="2850"/>
    </row>
    <row r="70" spans="1:31">
      <c r="A70" s="484" t="s">
        <v>2347</v>
      </c>
      <c r="B70" s="485" t="s">
        <v>2313</v>
      </c>
      <c r="C70" s="487"/>
      <c r="D70" s="487"/>
      <c r="E70" s="487"/>
      <c r="F70" s="487"/>
      <c r="G70" s="487"/>
      <c r="H70" s="487"/>
      <c r="I70" s="487"/>
      <c r="J70" s="487"/>
      <c r="K70" s="488"/>
      <c r="L70" s="489"/>
      <c r="M70" s="490"/>
      <c r="N70" s="2944"/>
      <c r="O70" s="2944"/>
      <c r="P70" s="2969"/>
      <c r="Q70" s="2930"/>
      <c r="R70" s="2916"/>
      <c r="S70" s="2916"/>
      <c r="T70" s="2916"/>
      <c r="U70" s="2916"/>
      <c r="V70" s="2916"/>
      <c r="W70" s="2916"/>
      <c r="X70" s="2916"/>
      <c r="Y70" s="2916"/>
      <c r="Z70" s="2916"/>
      <c r="AA70" s="2916"/>
      <c r="AB70" s="2916"/>
      <c r="AC70" s="2916"/>
      <c r="AD70" s="2916"/>
      <c r="AE70" s="2916"/>
    </row>
    <row r="71" spans="1:31" ht="15.75" thickBot="1">
      <c r="A71" s="491"/>
      <c r="B71" s="492"/>
      <c r="C71" s="493"/>
      <c r="D71" s="493"/>
      <c r="E71" s="493"/>
      <c r="F71" s="493"/>
      <c r="G71" s="493"/>
      <c r="H71" s="493"/>
      <c r="I71" s="493"/>
      <c r="J71" s="493"/>
      <c r="K71" s="493"/>
      <c r="L71" s="493"/>
      <c r="M71" s="494"/>
      <c r="N71" s="2945"/>
      <c r="O71" s="2945"/>
      <c r="P71" s="2969"/>
      <c r="Q71" s="2930"/>
      <c r="R71" s="2916"/>
      <c r="S71" s="2916"/>
      <c r="T71" s="2916"/>
      <c r="U71" s="2916"/>
      <c r="V71" s="2916"/>
      <c r="W71" s="2916"/>
      <c r="X71" s="2916"/>
      <c r="Y71" s="2916"/>
      <c r="Z71" s="2916"/>
      <c r="AA71" s="2916"/>
      <c r="AB71" s="2916"/>
      <c r="AC71" s="2916"/>
      <c r="AD71" s="2916"/>
      <c r="AE71" s="2916"/>
    </row>
    <row r="72" spans="1:31" ht="27.75" thickTop="1">
      <c r="A72" s="491"/>
      <c r="B72" s="495" t="s">
        <v>2316</v>
      </c>
      <c r="C72" s="496"/>
      <c r="D72" s="496"/>
      <c r="E72" s="496"/>
      <c r="F72" s="496"/>
      <c r="G72" s="496"/>
      <c r="H72" s="496"/>
      <c r="I72" s="496"/>
      <c r="J72" s="496"/>
      <c r="K72" s="497"/>
      <c r="L72" s="498"/>
      <c r="M72" s="499"/>
      <c r="N72" s="2944"/>
      <c r="O72" s="2944"/>
      <c r="P72" s="2969"/>
      <c r="Q72" s="2930"/>
      <c r="R72" s="2916"/>
      <c r="S72" s="2916"/>
      <c r="T72" s="2916"/>
      <c r="U72" s="2916"/>
      <c r="V72" s="2916"/>
      <c r="W72" s="2916"/>
      <c r="X72" s="2916"/>
      <c r="Y72" s="2916"/>
      <c r="Z72" s="2916"/>
      <c r="AA72" s="2916"/>
      <c r="AB72" s="2916"/>
      <c r="AC72" s="2916"/>
      <c r="AD72" s="2916"/>
      <c r="AE72" s="2916"/>
    </row>
    <row r="73" spans="1:31" ht="15.75" thickBot="1">
      <c r="A73" s="491"/>
      <c r="B73" s="500"/>
      <c r="C73" s="501"/>
      <c r="D73" s="501"/>
      <c r="E73" s="501"/>
      <c r="F73" s="501"/>
      <c r="G73" s="501"/>
      <c r="H73" s="501"/>
      <c r="I73" s="501"/>
      <c r="J73" s="501"/>
      <c r="K73" s="501"/>
      <c r="L73" s="501"/>
      <c r="M73" s="502"/>
      <c r="N73" s="2945"/>
      <c r="O73" s="2945"/>
      <c r="P73" s="2969"/>
      <c r="Q73" s="2930"/>
      <c r="R73" s="2916"/>
      <c r="S73" s="2916"/>
      <c r="T73" s="2916"/>
      <c r="U73" s="2916"/>
      <c r="V73" s="2916"/>
      <c r="W73" s="2916"/>
      <c r="X73" s="2916"/>
      <c r="Y73" s="2916"/>
      <c r="Z73" s="2916"/>
      <c r="AA73" s="2916"/>
      <c r="AB73" s="2916"/>
      <c r="AC73" s="2916"/>
      <c r="AD73" s="2916"/>
      <c r="AE73" s="2916"/>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5"/>
      <c r="O74" s="2945"/>
      <c r="P74" s="2969"/>
      <c r="Q74" s="2930"/>
      <c r="R74" s="2916"/>
      <c r="S74" s="2916"/>
      <c r="T74" s="2916"/>
      <c r="U74" s="2916"/>
      <c r="V74" s="2916"/>
      <c r="W74" s="2916"/>
      <c r="X74" s="2916"/>
      <c r="Y74" s="2916"/>
      <c r="Z74" s="2916"/>
      <c r="AA74" s="2916"/>
      <c r="AB74" s="2916"/>
      <c r="AC74" s="2916"/>
      <c r="AD74" s="2916"/>
      <c r="AE74" s="2916"/>
    </row>
    <row r="75" spans="1:31" ht="15">
      <c r="A75" s="491"/>
      <c r="B75" s="505"/>
      <c r="C75" s="506"/>
      <c r="D75" s="506"/>
      <c r="E75" s="506"/>
      <c r="F75" s="506"/>
      <c r="G75" s="506"/>
      <c r="H75" s="506"/>
      <c r="I75" s="506"/>
      <c r="J75" s="506"/>
      <c r="K75" s="507"/>
      <c r="L75" s="508"/>
      <c r="M75" s="509"/>
      <c r="N75" s="2944"/>
      <c r="O75" s="2944"/>
      <c r="P75" s="2969"/>
      <c r="Q75" s="2930"/>
      <c r="R75" s="2916"/>
      <c r="S75" s="2916"/>
      <c r="T75" s="2916"/>
      <c r="U75" s="2916"/>
      <c r="V75" s="2916"/>
      <c r="W75" s="2916"/>
      <c r="X75" s="2916"/>
      <c r="Y75" s="2916"/>
      <c r="Z75" s="2916"/>
      <c r="AA75" s="2916"/>
      <c r="AB75" s="2916"/>
      <c r="AC75" s="2916"/>
      <c r="AD75" s="2916"/>
      <c r="AE75" s="291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5"/>
      <c r="O76" s="2945"/>
      <c r="P76" s="2969"/>
      <c r="Q76" s="2930"/>
      <c r="R76" s="2916"/>
      <c r="S76" s="2916"/>
      <c r="T76" s="2916"/>
      <c r="U76" s="2916"/>
      <c r="V76" s="2916"/>
      <c r="W76" s="2916"/>
      <c r="X76" s="2916"/>
      <c r="Y76" s="2916"/>
      <c r="Z76" s="2916"/>
      <c r="AA76" s="2916"/>
      <c r="AB76" s="2916"/>
      <c r="AC76" s="2916"/>
      <c r="AD76" s="2916"/>
      <c r="AE76" s="2916"/>
    </row>
    <row r="77" spans="1:31" s="430" customFormat="1" ht="15.75" thickTop="1">
      <c r="A77" s="510"/>
      <c r="B77" s="495">
        <f>B12</f>
        <v>111</v>
      </c>
      <c r="C77" s="511"/>
      <c r="D77" s="511"/>
      <c r="E77" s="511"/>
      <c r="F77" s="511"/>
      <c r="G77" s="511"/>
      <c r="H77" s="512"/>
      <c r="I77" s="512"/>
      <c r="J77" s="512"/>
      <c r="K77" s="512"/>
      <c r="L77" s="513"/>
      <c r="M77" s="514"/>
      <c r="N77" s="2946"/>
      <c r="O77" s="2946"/>
      <c r="P77" s="2970"/>
      <c r="Q77" s="2937"/>
      <c r="R77" s="2938"/>
      <c r="S77" s="2938"/>
      <c r="T77" s="2938"/>
      <c r="U77" s="2938"/>
      <c r="V77" s="2938"/>
      <c r="W77" s="2938"/>
      <c r="X77" s="2938"/>
      <c r="Y77" s="2938"/>
      <c r="Z77" s="2938"/>
      <c r="AA77" s="2938"/>
      <c r="AB77" s="2938"/>
      <c r="AC77" s="2938"/>
      <c r="AD77" s="2938"/>
      <c r="AE77" s="2938"/>
    </row>
    <row r="78" spans="1:31" s="430" customFormat="1" ht="15.75" thickBot="1">
      <c r="A78" s="510"/>
      <c r="B78" s="500"/>
      <c r="C78" s="517"/>
      <c r="D78" s="493"/>
      <c r="E78" s="493"/>
      <c r="F78" s="493"/>
      <c r="G78" s="493"/>
      <c r="H78" s="493"/>
      <c r="I78" s="493"/>
      <c r="J78" s="493"/>
      <c r="K78" s="493"/>
      <c r="L78" s="493"/>
      <c r="M78" s="494"/>
      <c r="N78" s="2945"/>
      <c r="O78" s="2945"/>
      <c r="P78" s="2970"/>
      <c r="Q78" s="2937"/>
      <c r="R78" s="2938"/>
      <c r="S78" s="2938"/>
      <c r="T78" s="2938"/>
      <c r="U78" s="2938"/>
      <c r="V78" s="2938"/>
      <c r="W78" s="2938"/>
      <c r="X78" s="2938"/>
      <c r="Y78" s="2938"/>
      <c r="Z78" s="2938"/>
      <c r="AA78" s="2938"/>
      <c r="AB78" s="2938"/>
      <c r="AC78" s="2938"/>
      <c r="AD78" s="2938"/>
      <c r="AE78" s="2938"/>
    </row>
    <row r="79" spans="1:31" s="430" customFormat="1" ht="15.75" thickTop="1">
      <c r="A79" s="510"/>
      <c r="B79" s="495">
        <f>B13</f>
        <v>111</v>
      </c>
      <c r="C79" s="511"/>
      <c r="D79" s="511"/>
      <c r="E79" s="511"/>
      <c r="F79" s="511"/>
      <c r="G79" s="511"/>
      <c r="H79" s="512"/>
      <c r="I79" s="512"/>
      <c r="J79" s="512"/>
      <c r="K79" s="512"/>
      <c r="L79" s="513"/>
      <c r="M79" s="514"/>
      <c r="N79" s="2946"/>
      <c r="O79" s="2946"/>
      <c r="P79" s="2914"/>
      <c r="Q79" s="2940"/>
      <c r="R79" s="2938"/>
      <c r="S79" s="2938"/>
      <c r="T79" s="2938"/>
      <c r="U79" s="2938"/>
      <c r="V79" s="2938"/>
      <c r="W79" s="2938"/>
      <c r="X79" s="2938"/>
      <c r="Y79" s="2938"/>
      <c r="Z79" s="2938"/>
      <c r="AA79" s="2938"/>
      <c r="AB79" s="2938"/>
      <c r="AC79" s="2938"/>
      <c r="AD79" s="2938"/>
      <c r="AE79" s="2938"/>
    </row>
    <row r="80" spans="1:31" s="430" customFormat="1" ht="15.75" thickBot="1">
      <c r="A80" s="510"/>
      <c r="B80" s="500"/>
      <c r="C80" s="517"/>
      <c r="D80" s="517"/>
      <c r="E80" s="517"/>
      <c r="F80" s="517"/>
      <c r="G80" s="517"/>
      <c r="H80" s="519"/>
      <c r="I80" s="519"/>
      <c r="J80" s="519"/>
      <c r="K80" s="519"/>
      <c r="L80" s="519"/>
      <c r="M80" s="520"/>
      <c r="N80" s="2946"/>
      <c r="O80" s="2946"/>
      <c r="P80" s="2970"/>
      <c r="Q80" s="2937"/>
      <c r="R80" s="2938"/>
      <c r="S80" s="2938"/>
      <c r="T80" s="2938"/>
      <c r="U80" s="2938"/>
      <c r="V80" s="2938"/>
      <c r="W80" s="2938"/>
      <c r="X80" s="2938"/>
      <c r="Y80" s="2938"/>
      <c r="Z80" s="2938"/>
      <c r="AA80" s="2938"/>
      <c r="AB80" s="2938"/>
      <c r="AC80" s="2938"/>
      <c r="AD80" s="2938"/>
      <c r="AE80" s="2938"/>
    </row>
    <row r="81" spans="1:31" s="430" customFormat="1" ht="15.75" thickTop="1">
      <c r="A81" s="510"/>
      <c r="B81" s="503">
        <f>B14</f>
        <v>111</v>
      </c>
      <c r="C81" s="480"/>
      <c r="D81" s="480"/>
      <c r="E81" s="480"/>
      <c r="F81" s="480"/>
      <c r="G81" s="480"/>
      <c r="H81" s="521"/>
      <c r="I81" s="521"/>
      <c r="J81" s="521"/>
      <c r="K81" s="521"/>
      <c r="L81" s="522"/>
      <c r="M81" s="523"/>
      <c r="N81" s="2946"/>
      <c r="O81" s="2946"/>
      <c r="P81" s="2975"/>
      <c r="Q81" s="2937"/>
      <c r="R81" s="2938"/>
      <c r="S81" s="2938"/>
      <c r="T81" s="2938"/>
      <c r="U81" s="2938"/>
      <c r="V81" s="2938"/>
      <c r="W81" s="2938"/>
      <c r="X81" s="2938"/>
      <c r="Y81" s="2938"/>
      <c r="Z81" s="2938"/>
      <c r="AA81" s="2938"/>
      <c r="AB81" s="2938"/>
      <c r="AC81" s="2938"/>
      <c r="AD81" s="2938"/>
      <c r="AE81" s="2938"/>
    </row>
    <row r="82" spans="1:31" s="430" customFormat="1" ht="15.75" thickBot="1">
      <c r="A82" s="525"/>
      <c r="B82" s="526"/>
      <c r="C82" s="527"/>
      <c r="D82" s="527"/>
      <c r="E82" s="527"/>
      <c r="F82" s="527"/>
      <c r="G82" s="527"/>
      <c r="H82" s="528"/>
      <c r="I82" s="528"/>
      <c r="J82" s="528"/>
      <c r="K82" s="528"/>
      <c r="L82" s="528"/>
      <c r="M82" s="529"/>
      <c r="N82" s="2946"/>
      <c r="O82" s="2946"/>
      <c r="P82" s="2970"/>
      <c r="Q82" s="2937"/>
      <c r="R82" s="2938"/>
      <c r="S82" s="2938"/>
      <c r="T82" s="2938"/>
      <c r="U82" s="2938"/>
      <c r="V82" s="2938"/>
      <c r="W82" s="2938"/>
      <c r="X82" s="2938"/>
      <c r="Y82" s="2938"/>
      <c r="Z82" s="2938"/>
      <c r="AA82" s="2938"/>
      <c r="AB82" s="2938"/>
      <c r="AC82" s="2938"/>
      <c r="AD82" s="2938"/>
      <c r="AE82" s="2938"/>
    </row>
    <row r="83" spans="1:31">
      <c r="A83" s="484" t="s">
        <v>2318</v>
      </c>
      <c r="B83" s="485" t="s">
        <v>2464</v>
      </c>
      <c r="C83" s="530" t="s">
        <v>2356</v>
      </c>
      <c r="D83" s="530" t="s">
        <v>2357</v>
      </c>
      <c r="E83" s="530" t="s">
        <v>2358</v>
      </c>
      <c r="F83" s="530" t="s">
        <v>2359</v>
      </c>
      <c r="G83" s="530" t="s">
        <v>2360</v>
      </c>
      <c r="H83" s="486"/>
      <c r="I83" s="486"/>
      <c r="J83" s="486"/>
      <c r="K83" s="531"/>
      <c r="L83" s="532"/>
      <c r="M83" s="533"/>
      <c r="N83" s="2944"/>
      <c r="O83" s="2944"/>
      <c r="P83" s="2971"/>
      <c r="Q83" s="2930"/>
      <c r="R83" s="2916"/>
      <c r="S83" s="2916"/>
      <c r="T83" s="2916"/>
      <c r="U83" s="2916"/>
      <c r="V83" s="2916"/>
      <c r="W83" s="2916"/>
      <c r="X83" s="2916"/>
      <c r="Y83" s="2916"/>
      <c r="Z83" s="2916"/>
      <c r="AA83" s="2916"/>
      <c r="AB83" s="2916"/>
      <c r="AC83" s="2916"/>
      <c r="AD83" s="2916"/>
      <c r="AE83" s="291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5"/>
      <c r="O84" s="2945"/>
      <c r="P84" s="2969"/>
      <c r="Q84" s="2930"/>
      <c r="R84" s="2916"/>
      <c r="S84" s="2916"/>
      <c r="T84" s="2916"/>
      <c r="U84" s="2916"/>
      <c r="V84" s="2916"/>
      <c r="W84" s="2916"/>
      <c r="X84" s="2916"/>
      <c r="Y84" s="2916"/>
      <c r="Z84" s="2916"/>
      <c r="AA84" s="2916"/>
      <c r="AB84" s="2916"/>
      <c r="AC84" s="2916"/>
      <c r="AD84" s="2916"/>
      <c r="AE84" s="2916"/>
    </row>
    <row r="85" spans="1:31" ht="15.75" thickTop="1">
      <c r="A85" s="491"/>
      <c r="B85" s="495" t="s">
        <v>2361</v>
      </c>
      <c r="C85" s="535" t="s">
        <v>2356</v>
      </c>
      <c r="D85" s="535" t="s">
        <v>2357</v>
      </c>
      <c r="E85" s="535" t="s">
        <v>2358</v>
      </c>
      <c r="F85" s="535" t="s">
        <v>2359</v>
      </c>
      <c r="G85" s="535" t="s">
        <v>2360</v>
      </c>
      <c r="H85" s="496"/>
      <c r="I85" s="496"/>
      <c r="J85" s="496"/>
      <c r="K85" s="497"/>
      <c r="L85" s="498"/>
      <c r="M85" s="499"/>
      <c r="N85" s="2944"/>
      <c r="O85" s="2944"/>
      <c r="P85" s="2969"/>
      <c r="Q85" s="2930"/>
      <c r="R85" s="2916"/>
      <c r="S85" s="2916"/>
      <c r="T85" s="2916"/>
      <c r="U85" s="2916"/>
      <c r="V85" s="2916"/>
      <c r="W85" s="2916"/>
      <c r="X85" s="2916"/>
      <c r="Y85" s="2916"/>
      <c r="Z85" s="2916"/>
      <c r="AA85" s="2916"/>
      <c r="AB85" s="2916"/>
      <c r="AC85" s="2916"/>
      <c r="AD85" s="2916"/>
      <c r="AE85" s="291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5"/>
      <c r="O86" s="2945"/>
      <c r="P86" s="2969"/>
      <c r="Q86" s="2930"/>
      <c r="R86" s="2916"/>
      <c r="S86" s="2916"/>
      <c r="T86" s="2916"/>
      <c r="U86" s="2916"/>
      <c r="V86" s="2916"/>
      <c r="W86" s="2916"/>
      <c r="X86" s="2916"/>
      <c r="Y86" s="2916"/>
      <c r="Z86" s="2916"/>
      <c r="AA86" s="2916"/>
      <c r="AB86" s="2916"/>
      <c r="AC86" s="2916"/>
      <c r="AD86" s="2916"/>
      <c r="AE86" s="2916"/>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3"/>
      <c r="O87" s="2943"/>
      <c r="P87" s="2969"/>
      <c r="Q87" s="2930"/>
      <c r="R87" s="2850"/>
      <c r="S87" s="2850"/>
      <c r="T87" s="2850"/>
      <c r="U87" s="2850"/>
      <c r="V87" s="2850"/>
      <c r="W87" s="2850"/>
      <c r="X87" s="2850"/>
      <c r="Y87" s="2850"/>
      <c r="Z87" s="2850"/>
      <c r="AA87" s="2850"/>
      <c r="AB87" s="2850"/>
      <c r="AC87" s="2850"/>
      <c r="AD87" s="2850"/>
      <c r="AE87" s="285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5"/>
      <c r="O88" s="2945"/>
      <c r="P88" s="2969"/>
      <c r="Q88" s="2930"/>
      <c r="R88" s="2850"/>
      <c r="S88" s="2850"/>
      <c r="T88" s="2850"/>
      <c r="U88" s="2850"/>
      <c r="V88" s="2850"/>
      <c r="W88" s="2850"/>
      <c r="X88" s="2850"/>
      <c r="Y88" s="2850"/>
      <c r="Z88" s="2850"/>
      <c r="AA88" s="2850"/>
      <c r="AB88" s="2850"/>
      <c r="AC88" s="2850"/>
      <c r="AD88" s="2850"/>
      <c r="AE88" s="2850"/>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3"/>
      <c r="O89" s="2943"/>
      <c r="P89" s="2969"/>
      <c r="Q89" s="2930"/>
      <c r="R89" s="2850"/>
      <c r="S89" s="2850"/>
      <c r="T89" s="2850"/>
      <c r="U89" s="2850"/>
      <c r="V89" s="2850"/>
      <c r="W89" s="2850"/>
      <c r="X89" s="2850"/>
      <c r="Y89" s="2850"/>
      <c r="Z89" s="2850"/>
      <c r="AA89" s="2850"/>
      <c r="AB89" s="2850"/>
      <c r="AC89" s="2850"/>
      <c r="AD89" s="2850"/>
      <c r="AE89" s="285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5"/>
      <c r="O90" s="2945"/>
      <c r="P90" s="2969"/>
      <c r="Q90" s="2930"/>
      <c r="R90" s="2850"/>
      <c r="S90" s="2850"/>
      <c r="T90" s="2850"/>
      <c r="U90" s="2850"/>
      <c r="V90" s="2850"/>
      <c r="W90" s="2850"/>
      <c r="X90" s="2850"/>
      <c r="Y90" s="2850"/>
      <c r="Z90" s="2850"/>
      <c r="AA90" s="2850"/>
      <c r="AB90" s="2850"/>
      <c r="AC90" s="2850"/>
      <c r="AD90" s="2850"/>
      <c r="AE90" s="2850"/>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46"/>
      <c r="O91" s="2946"/>
      <c r="P91" s="2970"/>
      <c r="Q91" s="2937"/>
      <c r="R91" s="2938"/>
      <c r="S91" s="2938"/>
      <c r="T91" s="2938"/>
      <c r="U91" s="2938"/>
      <c r="V91" s="2938"/>
      <c r="W91" s="2938"/>
      <c r="X91" s="2938"/>
      <c r="Y91" s="2938"/>
      <c r="Z91" s="2938"/>
      <c r="AA91" s="2938"/>
      <c r="AB91" s="2938"/>
      <c r="AC91" s="2938"/>
      <c r="AD91" s="2938"/>
      <c r="AE91" s="293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6"/>
      <c r="O92" s="2946"/>
      <c r="P92" s="2970"/>
      <c r="Q92" s="2937"/>
      <c r="R92" s="2938"/>
      <c r="S92" s="2938"/>
      <c r="T92" s="2938"/>
      <c r="U92" s="2938"/>
      <c r="V92" s="2938"/>
      <c r="W92" s="2938"/>
      <c r="X92" s="2938"/>
      <c r="Y92" s="2938"/>
      <c r="Z92" s="2938"/>
      <c r="AA92" s="2938"/>
      <c r="AB92" s="2938"/>
      <c r="AC92" s="2938"/>
      <c r="AD92" s="2938"/>
      <c r="AE92" s="2938"/>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46"/>
      <c r="O93" s="2946"/>
      <c r="P93" s="2970"/>
      <c r="Q93" s="2937"/>
      <c r="R93" s="2938"/>
      <c r="S93" s="2938"/>
      <c r="T93" s="2938"/>
      <c r="U93" s="2938"/>
      <c r="V93" s="2938"/>
      <c r="W93" s="2938"/>
      <c r="X93" s="2938"/>
      <c r="Y93" s="2938"/>
      <c r="Z93" s="2938"/>
      <c r="AA93" s="2938"/>
      <c r="AB93" s="2938"/>
      <c r="AC93" s="2938"/>
      <c r="AD93" s="2938"/>
      <c r="AE93" s="293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2"/>
      <c r="N94" s="2946"/>
      <c r="O94" s="2946"/>
      <c r="P94" s="2970"/>
      <c r="Q94" s="2937"/>
      <c r="R94" s="2938"/>
      <c r="S94" s="2938"/>
      <c r="T94" s="2938"/>
      <c r="U94" s="2938"/>
      <c r="V94" s="2938"/>
      <c r="W94" s="2938"/>
      <c r="X94" s="2938"/>
      <c r="Y94" s="2938"/>
      <c r="Z94" s="2938"/>
      <c r="AA94" s="2938"/>
      <c r="AB94" s="2938"/>
      <c r="AC94" s="2938"/>
      <c r="AD94" s="2938"/>
      <c r="AE94" s="2938"/>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4"/>
      <c r="O95" s="2944"/>
      <c r="P95" s="2969"/>
      <c r="Q95" s="2930"/>
      <c r="R95" s="2916"/>
      <c r="S95" s="2916"/>
      <c r="T95" s="2916"/>
      <c r="U95" s="2916"/>
      <c r="V95" s="2916"/>
      <c r="W95" s="2916"/>
      <c r="X95" s="2916"/>
      <c r="Y95" s="2916"/>
      <c r="Z95" s="2916"/>
      <c r="AA95" s="2916"/>
      <c r="AB95" s="2916"/>
      <c r="AC95" s="2916"/>
      <c r="AD95" s="2916"/>
      <c r="AE95" s="291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5"/>
      <c r="O96" s="2945"/>
      <c r="P96" s="2969"/>
      <c r="Q96" s="2930"/>
      <c r="R96" s="2916"/>
      <c r="S96" s="2916"/>
      <c r="T96" s="2916"/>
      <c r="U96" s="2916"/>
      <c r="V96" s="2916"/>
      <c r="W96" s="2916"/>
      <c r="X96" s="2916"/>
      <c r="Y96" s="2916"/>
      <c r="Z96" s="2916"/>
      <c r="AA96" s="2916"/>
      <c r="AB96" s="2916"/>
      <c r="AC96" s="2916"/>
      <c r="AD96" s="2916"/>
      <c r="AE96" s="2916"/>
    </row>
    <row r="97" spans="1:31" ht="27.75" thickTop="1">
      <c r="A97" s="491"/>
      <c r="B97" s="495" t="s">
        <v>2450</v>
      </c>
      <c r="C97" s="511"/>
      <c r="D97" s="511"/>
      <c r="E97" s="511"/>
      <c r="F97" s="511"/>
      <c r="G97" s="511"/>
      <c r="H97" s="540"/>
      <c r="I97" s="540"/>
      <c r="J97" s="540"/>
      <c r="K97" s="541"/>
      <c r="L97" s="542"/>
      <c r="M97" s="543"/>
      <c r="N97" s="2944"/>
      <c r="O97" s="2944"/>
      <c r="P97" s="2969"/>
      <c r="Q97" s="2930"/>
      <c r="R97" s="2916"/>
      <c r="S97" s="2916"/>
      <c r="T97" s="2916"/>
      <c r="U97" s="2916"/>
      <c r="V97" s="2916"/>
      <c r="W97" s="2916"/>
      <c r="X97" s="2916"/>
      <c r="Y97" s="2916"/>
      <c r="Z97" s="2916"/>
      <c r="AA97" s="2916"/>
      <c r="AB97" s="2916"/>
      <c r="AC97" s="2916"/>
      <c r="AD97" s="2916"/>
      <c r="AE97" s="291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5"/>
      <c r="O98" s="2945"/>
      <c r="P98" s="2969"/>
      <c r="Q98" s="2930"/>
      <c r="R98" s="2916"/>
      <c r="S98" s="2916"/>
      <c r="T98" s="2916"/>
      <c r="U98" s="2916"/>
      <c r="V98" s="2916"/>
      <c r="W98" s="2916"/>
      <c r="X98" s="2916"/>
      <c r="Y98" s="2916"/>
      <c r="Z98" s="2916"/>
      <c r="AA98" s="2916"/>
      <c r="AB98" s="2916"/>
      <c r="AC98" s="2916"/>
      <c r="AD98" s="2916"/>
      <c r="AE98" s="2916"/>
    </row>
    <row r="99" spans="1:31" ht="15.75" thickTop="1">
      <c r="A99" s="491"/>
      <c r="B99" s="495" t="s">
        <v>2509</v>
      </c>
      <c r="C99" s="540"/>
      <c r="D99" s="540"/>
      <c r="E99" s="540"/>
      <c r="F99" s="540"/>
      <c r="G99" s="540"/>
      <c r="H99" s="540"/>
      <c r="I99" s="540"/>
      <c r="J99" s="540"/>
      <c r="K99" s="541"/>
      <c r="L99" s="542"/>
      <c r="M99" s="543"/>
      <c r="N99" s="2944"/>
      <c r="O99" s="2944"/>
      <c r="P99" s="2969"/>
      <c r="Q99" s="2930"/>
      <c r="R99" s="2916"/>
      <c r="S99" s="2916"/>
      <c r="T99" s="2916"/>
      <c r="U99" s="2916"/>
      <c r="V99" s="2916"/>
      <c r="W99" s="2916"/>
      <c r="X99" s="2916"/>
      <c r="Y99" s="2916"/>
      <c r="Z99" s="2916"/>
      <c r="AA99" s="2916"/>
      <c r="AB99" s="2916"/>
      <c r="AC99" s="2916"/>
      <c r="AD99" s="2916"/>
      <c r="AE99" s="291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5"/>
      <c r="O100" s="2945"/>
      <c r="P100" s="2969"/>
      <c r="Q100" s="2930"/>
      <c r="R100" s="2916"/>
      <c r="S100" s="2916"/>
      <c r="T100" s="2916"/>
      <c r="U100" s="2916"/>
      <c r="V100" s="2916"/>
      <c r="W100" s="2916"/>
      <c r="X100" s="2916"/>
      <c r="Y100" s="2916"/>
      <c r="Z100" s="2916"/>
      <c r="AA100" s="2916"/>
      <c r="AB100" s="2916"/>
      <c r="AC100" s="2916"/>
      <c r="AD100" s="2916"/>
      <c r="AE100" s="2916"/>
    </row>
    <row r="101" spans="1:31" ht="15.75" thickTop="1">
      <c r="A101" s="491"/>
      <c r="B101" s="503">
        <f>B31</f>
        <v>111</v>
      </c>
      <c r="C101" s="511"/>
      <c r="D101" s="511"/>
      <c r="E101" s="511"/>
      <c r="F101" s="511"/>
      <c r="G101" s="544"/>
      <c r="H101" s="544"/>
      <c r="I101" s="544"/>
      <c r="J101" s="544"/>
      <c r="K101" s="545"/>
      <c r="L101" s="546"/>
      <c r="M101" s="547"/>
      <c r="N101" s="2944"/>
      <c r="O101" s="2944"/>
      <c r="P101" s="2969"/>
      <c r="Q101" s="2930"/>
      <c r="R101" s="2916"/>
      <c r="S101" s="2916"/>
      <c r="T101" s="2916"/>
      <c r="U101" s="2916"/>
      <c r="V101" s="2916"/>
      <c r="W101" s="2916"/>
      <c r="X101" s="2916"/>
      <c r="Y101" s="2916"/>
      <c r="Z101" s="2916"/>
      <c r="AA101" s="2916"/>
      <c r="AB101" s="2916"/>
      <c r="AC101" s="2916"/>
      <c r="AD101" s="2916"/>
      <c r="AE101" s="2916"/>
    </row>
    <row r="102" spans="1:31" ht="15.75" thickBot="1">
      <c r="A102" s="491"/>
      <c r="B102" s="526"/>
      <c r="C102" s="517"/>
      <c r="D102" s="493"/>
      <c r="E102" s="493"/>
      <c r="F102" s="493"/>
      <c r="G102" s="548"/>
      <c r="H102" s="548"/>
      <c r="I102" s="548"/>
      <c r="J102" s="548"/>
      <c r="K102" s="548"/>
      <c r="L102" s="548"/>
      <c r="M102" s="549"/>
      <c r="N102" s="2945"/>
      <c r="O102" s="2945"/>
      <c r="P102" s="2969"/>
      <c r="Q102" s="2930"/>
      <c r="R102" s="2916"/>
      <c r="S102" s="2916"/>
      <c r="T102" s="2916"/>
      <c r="U102" s="2916"/>
      <c r="V102" s="2916"/>
      <c r="W102" s="2916"/>
      <c r="X102" s="2916"/>
      <c r="Y102" s="2916"/>
      <c r="Z102" s="2916"/>
      <c r="AA102" s="2916"/>
      <c r="AB102" s="2916"/>
      <c r="AC102" s="2916"/>
      <c r="AD102" s="2916"/>
      <c r="AE102" s="2916"/>
    </row>
    <row r="103" spans="1:31" ht="15" thickTop="1">
      <c r="A103" s="631"/>
      <c r="B103" s="495">
        <f>B32</f>
        <v>111</v>
      </c>
      <c r="C103" s="511"/>
      <c r="D103" s="511"/>
      <c r="E103" s="511"/>
      <c r="F103" s="511"/>
      <c r="G103" s="540"/>
      <c r="H103" s="540"/>
      <c r="I103" s="540"/>
      <c r="J103" s="540"/>
      <c r="K103" s="541"/>
      <c r="L103" s="542"/>
      <c r="M103" s="543"/>
      <c r="N103" s="2944"/>
      <c r="O103" s="2944"/>
      <c r="P103" s="2969"/>
      <c r="Q103" s="2930"/>
      <c r="R103" s="2916"/>
      <c r="S103" s="2916"/>
      <c r="T103" s="2916"/>
      <c r="U103" s="2916"/>
      <c r="V103" s="2916"/>
      <c r="W103" s="2916"/>
      <c r="X103" s="2916"/>
      <c r="Y103" s="2916"/>
      <c r="Z103" s="2916"/>
      <c r="AA103" s="2916"/>
      <c r="AB103" s="2916"/>
      <c r="AC103" s="2916"/>
      <c r="AD103" s="2916"/>
      <c r="AE103" s="2916"/>
    </row>
    <row r="104" spans="1:31" ht="15.75" thickBot="1">
      <c r="A104" s="491"/>
      <c r="B104" s="500"/>
      <c r="C104" s="517"/>
      <c r="D104" s="517"/>
      <c r="E104" s="517"/>
      <c r="F104" s="517"/>
      <c r="G104" s="493"/>
      <c r="H104" s="493"/>
      <c r="I104" s="493"/>
      <c r="J104" s="493"/>
      <c r="K104" s="493"/>
      <c r="L104" s="493"/>
      <c r="M104" s="494"/>
      <c r="N104" s="2945"/>
      <c r="O104" s="2945"/>
      <c r="P104" s="2969"/>
      <c r="Q104" s="2930"/>
      <c r="R104" s="2916"/>
      <c r="S104" s="2916"/>
      <c r="T104" s="2916"/>
      <c r="U104" s="2916"/>
      <c r="V104" s="2916"/>
      <c r="W104" s="2916"/>
      <c r="X104" s="2916"/>
      <c r="Y104" s="2916"/>
      <c r="Z104" s="2916"/>
      <c r="AA104" s="2916"/>
      <c r="AB104" s="2916"/>
      <c r="AC104" s="2916"/>
      <c r="AD104" s="2916"/>
      <c r="AE104" s="2916"/>
    </row>
    <row r="105" spans="1:31" s="430" customFormat="1" ht="15" thickTop="1">
      <c r="A105" s="550"/>
      <c r="B105" s="551">
        <f>B33</f>
        <v>111</v>
      </c>
      <c r="C105" s="480"/>
      <c r="D105" s="480"/>
      <c r="E105" s="480"/>
      <c r="F105" s="480"/>
      <c r="G105" s="552"/>
      <c r="H105" s="552"/>
      <c r="I105" s="552"/>
      <c r="J105" s="553"/>
      <c r="K105" s="553"/>
      <c r="L105" s="554"/>
      <c r="M105" s="555"/>
      <c r="N105" s="2946"/>
      <c r="O105" s="2946"/>
      <c r="P105" s="2970"/>
      <c r="Q105" s="2937"/>
      <c r="R105" s="2938"/>
      <c r="S105" s="2938"/>
      <c r="T105" s="2938"/>
      <c r="U105" s="2938"/>
      <c r="V105" s="2938"/>
      <c r="W105" s="2938"/>
      <c r="X105" s="2938"/>
      <c r="Y105" s="2938"/>
      <c r="Z105" s="2938"/>
      <c r="AA105" s="2938"/>
      <c r="AB105" s="2938"/>
      <c r="AC105" s="2938"/>
      <c r="AD105" s="2938"/>
      <c r="AE105" s="2938"/>
    </row>
    <row r="106" spans="1:31" s="430" customFormat="1" ht="15.75" thickBot="1">
      <c r="A106" s="510"/>
      <c r="B106" s="503"/>
      <c r="C106" s="527"/>
      <c r="D106" s="527"/>
      <c r="E106" s="527"/>
      <c r="F106" s="527"/>
      <c r="G106" s="633"/>
      <c r="H106" s="633"/>
      <c r="I106" s="633"/>
      <c r="J106" s="633"/>
      <c r="K106" s="633"/>
      <c r="L106" s="633"/>
      <c r="M106" s="655"/>
      <c r="N106" s="2945"/>
      <c r="O106" s="2945"/>
      <c r="P106" s="2970"/>
      <c r="Q106" s="2937"/>
      <c r="R106" s="2938"/>
      <c r="S106" s="2938"/>
      <c r="T106" s="2938"/>
      <c r="U106" s="2938"/>
      <c r="V106" s="2938"/>
      <c r="W106" s="2938"/>
      <c r="X106" s="2938"/>
      <c r="Y106" s="2938"/>
      <c r="Z106" s="2938"/>
      <c r="AA106" s="2938"/>
      <c r="AB106" s="2938"/>
      <c r="AC106" s="2938"/>
      <c r="AD106" s="2938"/>
      <c r="AE106" s="2938"/>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69" t="str">
        <f t="shared" si="25"/>
        <v>(含)-</v>
      </c>
      <c r="L107" s="1469" t="str">
        <f t="shared" si="25"/>
        <v>(含)-</v>
      </c>
      <c r="M107" s="1470" t="str">
        <f>M108&amp;"(含)"&amp;"-"&amp;P108</f>
        <v>(含)-</v>
      </c>
      <c r="N107" s="2944"/>
      <c r="O107" s="2944"/>
      <c r="P107" s="2969"/>
      <c r="Q107" s="2930"/>
      <c r="R107" s="2916"/>
      <c r="S107" s="2916"/>
      <c r="T107" s="2916"/>
      <c r="U107" s="2916"/>
      <c r="V107" s="2916"/>
      <c r="W107" s="2916"/>
      <c r="X107" s="2916"/>
      <c r="Y107" s="2916"/>
      <c r="Z107" s="2916"/>
      <c r="AA107" s="2916"/>
      <c r="AB107" s="2916"/>
      <c r="AC107" s="2916"/>
      <c r="AD107" s="2916"/>
      <c r="AE107" s="2916"/>
    </row>
    <row r="108" spans="1:31" ht="15">
      <c r="A108" s="491"/>
      <c r="B108" s="503"/>
      <c r="C108" s="552"/>
      <c r="D108" s="552"/>
      <c r="E108" s="552"/>
      <c r="F108" s="552"/>
      <c r="G108" s="552"/>
      <c r="H108" s="552"/>
      <c r="I108" s="552"/>
      <c r="J108" s="553"/>
      <c r="K108" s="553"/>
      <c r="L108" s="554"/>
      <c r="M108" s="555"/>
      <c r="N108" s="2944"/>
      <c r="O108" s="2944"/>
      <c r="P108" s="2969"/>
      <c r="Q108" s="2930"/>
      <c r="R108" s="2916"/>
      <c r="S108" s="2916"/>
      <c r="T108" s="2916"/>
      <c r="U108" s="2916"/>
      <c r="V108" s="2916"/>
      <c r="W108" s="2916"/>
      <c r="X108" s="2916"/>
      <c r="Y108" s="2916"/>
      <c r="Z108" s="2916"/>
      <c r="AA108" s="2916"/>
      <c r="AB108" s="2916"/>
      <c r="AC108" s="2916"/>
      <c r="AD108" s="2916"/>
      <c r="AE108" s="2916"/>
    </row>
    <row r="109" spans="1:31" ht="15.75" thickBot="1">
      <c r="A109" s="491"/>
      <c r="B109" s="500"/>
      <c r="C109" s="527"/>
      <c r="D109" s="548"/>
      <c r="E109" s="548"/>
      <c r="F109" s="548"/>
      <c r="G109" s="548"/>
      <c r="H109" s="548"/>
      <c r="I109" s="548"/>
      <c r="J109" s="548"/>
      <c r="K109" s="548"/>
      <c r="L109" s="548"/>
      <c r="M109" s="549"/>
      <c r="N109" s="2945"/>
      <c r="O109" s="2945"/>
      <c r="P109" s="2969"/>
      <c r="Q109" s="2930"/>
      <c r="R109" s="2916"/>
      <c r="S109" s="2916"/>
      <c r="T109" s="2916"/>
      <c r="U109" s="2916"/>
      <c r="V109" s="2916"/>
      <c r="W109" s="2916"/>
      <c r="X109" s="2916"/>
      <c r="Y109" s="2916"/>
      <c r="Z109" s="2916"/>
      <c r="AA109" s="2916"/>
      <c r="AB109" s="2916"/>
      <c r="AC109" s="2916"/>
      <c r="AD109" s="2916"/>
      <c r="AE109" s="2916"/>
    </row>
    <row r="110" spans="1:31" ht="15" thickTop="1">
      <c r="A110" s="556"/>
      <c r="B110" s="495" t="s">
        <v>2551</v>
      </c>
      <c r="C110" s="540"/>
      <c r="D110" s="540"/>
      <c r="E110" s="540"/>
      <c r="F110" s="540"/>
      <c r="G110" s="540"/>
      <c r="H110" s="540"/>
      <c r="I110" s="540"/>
      <c r="J110" s="540"/>
      <c r="K110" s="541"/>
      <c r="L110" s="542"/>
      <c r="M110" s="543"/>
      <c r="N110" s="2944"/>
      <c r="O110" s="2944"/>
      <c r="P110" s="2969"/>
      <c r="Q110" s="2930"/>
      <c r="R110" s="2916"/>
      <c r="S110" s="2916"/>
      <c r="T110" s="2916"/>
      <c r="U110" s="2916"/>
      <c r="V110" s="2916"/>
      <c r="W110" s="2916"/>
      <c r="X110" s="2916"/>
      <c r="Y110" s="2916"/>
      <c r="Z110" s="2916"/>
      <c r="AA110" s="2916"/>
      <c r="AB110" s="2916"/>
      <c r="AC110" s="2916"/>
      <c r="AD110" s="2916"/>
      <c r="AE110" s="291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5"/>
      <c r="O111" s="2945"/>
      <c r="P111" s="2969"/>
      <c r="Q111" s="2930"/>
      <c r="R111" s="2916"/>
      <c r="S111" s="2916"/>
      <c r="T111" s="2916"/>
      <c r="U111" s="2916"/>
      <c r="V111" s="2916"/>
      <c r="W111" s="2916"/>
      <c r="X111" s="2916"/>
      <c r="Y111" s="2916"/>
      <c r="Z111" s="2916"/>
      <c r="AA111" s="2916"/>
      <c r="AB111" s="2916"/>
      <c r="AC111" s="2916"/>
      <c r="AD111" s="2916"/>
      <c r="AE111" s="2916"/>
    </row>
    <row r="112" spans="1:31" s="430" customFormat="1" ht="15" thickTop="1">
      <c r="A112" s="550"/>
      <c r="B112" s="495" t="s">
        <v>2553</v>
      </c>
      <c r="C112" s="511"/>
      <c r="D112" s="511"/>
      <c r="E112" s="511"/>
      <c r="F112" s="511"/>
      <c r="G112" s="511"/>
      <c r="H112" s="540"/>
      <c r="I112" s="540"/>
      <c r="J112" s="540"/>
      <c r="K112" s="541"/>
      <c r="L112" s="542"/>
      <c r="M112" s="543"/>
      <c r="N112" s="2946"/>
      <c r="O112" s="2946"/>
      <c r="P112" s="2970"/>
      <c r="Q112" s="2937"/>
      <c r="R112" s="2938"/>
      <c r="S112" s="2938"/>
      <c r="T112" s="2938"/>
      <c r="U112" s="2938"/>
      <c r="V112" s="2938"/>
      <c r="W112" s="2938"/>
      <c r="X112" s="2938"/>
      <c r="Y112" s="2938"/>
      <c r="Z112" s="2938"/>
      <c r="AA112" s="2938"/>
      <c r="AB112" s="2938"/>
      <c r="AC112" s="2938"/>
      <c r="AD112" s="2938"/>
      <c r="AE112" s="293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6"/>
      <c r="O113" s="2946"/>
      <c r="P113" s="2970"/>
      <c r="Q113" s="2937"/>
      <c r="R113" s="2938"/>
      <c r="S113" s="2938"/>
      <c r="T113" s="2938"/>
      <c r="U113" s="2938"/>
      <c r="V113" s="2938"/>
      <c r="W113" s="2938"/>
      <c r="X113" s="2938"/>
      <c r="Y113" s="2938"/>
      <c r="Z113" s="2938"/>
      <c r="AA113" s="2938"/>
      <c r="AB113" s="2938"/>
      <c r="AC113" s="2938"/>
      <c r="AD113" s="2938"/>
      <c r="AE113" s="2938"/>
    </row>
    <row r="114" spans="1:31" ht="15" thickTop="1">
      <c r="A114" s="556"/>
      <c r="B114" s="495" t="s">
        <v>2554</v>
      </c>
      <c r="C114" s="511"/>
      <c r="D114" s="511"/>
      <c r="E114" s="540"/>
      <c r="F114" s="540"/>
      <c r="G114" s="540"/>
      <c r="H114" s="540"/>
      <c r="I114" s="540"/>
      <c r="J114" s="540"/>
      <c r="K114" s="541"/>
      <c r="L114" s="542"/>
      <c r="M114" s="543"/>
      <c r="N114" s="2944"/>
      <c r="O114" s="2944"/>
      <c r="P114" s="2969"/>
      <c r="Q114" s="2930"/>
      <c r="R114" s="2916"/>
      <c r="S114" s="2916"/>
      <c r="T114" s="2916"/>
      <c r="U114" s="2916"/>
      <c r="V114" s="2916"/>
      <c r="W114" s="2916"/>
      <c r="X114" s="2916"/>
      <c r="Y114" s="2916"/>
      <c r="Z114" s="2916"/>
      <c r="AA114" s="2916"/>
      <c r="AB114" s="2916"/>
      <c r="AC114" s="2916"/>
      <c r="AD114" s="2916"/>
      <c r="AE114" s="291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69"/>
      <c r="Q115" s="2930"/>
      <c r="R115" s="2916"/>
      <c r="S115" s="2916"/>
      <c r="T115" s="2916"/>
      <c r="U115" s="2916"/>
      <c r="V115" s="2916"/>
      <c r="W115" s="2916"/>
      <c r="X115" s="2916"/>
      <c r="Y115" s="2916"/>
      <c r="Z115" s="2916"/>
      <c r="AA115" s="2916"/>
      <c r="AB115" s="2916"/>
      <c r="AC115" s="2916"/>
      <c r="AD115" s="2916"/>
      <c r="AE115" s="2916"/>
    </row>
    <row r="116" spans="1:31" ht="15" thickTop="1">
      <c r="A116" s="556"/>
      <c r="B116" s="495">
        <f>B38</f>
        <v>111</v>
      </c>
      <c r="C116" s="511"/>
      <c r="D116" s="511"/>
      <c r="E116" s="511"/>
      <c r="F116" s="511"/>
      <c r="G116" s="511"/>
      <c r="H116" s="540"/>
      <c r="I116" s="540"/>
      <c r="J116" s="540"/>
      <c r="K116" s="541"/>
      <c r="L116" s="542"/>
      <c r="M116" s="543"/>
      <c r="N116" s="2944"/>
      <c r="O116" s="2944"/>
      <c r="P116" s="2969"/>
      <c r="Q116" s="2930"/>
      <c r="R116" s="2916"/>
      <c r="S116" s="2916"/>
      <c r="T116" s="2916"/>
      <c r="U116" s="2916"/>
      <c r="V116" s="2916"/>
      <c r="W116" s="2916"/>
      <c r="X116" s="2916"/>
      <c r="Y116" s="2916"/>
      <c r="Z116" s="2916"/>
      <c r="AA116" s="2916"/>
      <c r="AB116" s="2916"/>
      <c r="AC116" s="2916"/>
      <c r="AD116" s="2916"/>
      <c r="AE116" s="2916"/>
    </row>
    <row r="117" spans="1:31" ht="15.75" thickBot="1">
      <c r="A117" s="491"/>
      <c r="B117" s="500"/>
      <c r="C117" s="517"/>
      <c r="D117" s="493"/>
      <c r="E117" s="493"/>
      <c r="F117" s="493"/>
      <c r="G117" s="493"/>
      <c r="H117" s="493"/>
      <c r="I117" s="493"/>
      <c r="J117" s="493"/>
      <c r="K117" s="493"/>
      <c r="L117" s="493"/>
      <c r="M117" s="494"/>
      <c r="N117" s="2945"/>
      <c r="O117" s="2945"/>
      <c r="P117" s="2969"/>
      <c r="Q117" s="2930"/>
      <c r="R117" s="2916"/>
      <c r="S117" s="2916"/>
      <c r="T117" s="2916"/>
      <c r="U117" s="2916"/>
      <c r="V117" s="2916"/>
      <c r="W117" s="2916"/>
      <c r="X117" s="2916"/>
      <c r="Y117" s="2916"/>
      <c r="Z117" s="2916"/>
      <c r="AA117" s="2916"/>
      <c r="AB117" s="2916"/>
      <c r="AC117" s="2916"/>
      <c r="AD117" s="2916"/>
      <c r="AE117" s="2916"/>
    </row>
    <row r="118" spans="1:31" ht="15" thickTop="1">
      <c r="A118" s="556"/>
      <c r="B118" s="495">
        <f>B39</f>
        <v>111</v>
      </c>
      <c r="C118" s="511"/>
      <c r="D118" s="511"/>
      <c r="E118" s="511"/>
      <c r="F118" s="511"/>
      <c r="G118" s="540"/>
      <c r="H118" s="540"/>
      <c r="I118" s="540"/>
      <c r="J118" s="540"/>
      <c r="K118" s="541"/>
      <c r="L118" s="542"/>
      <c r="M118" s="543"/>
      <c r="N118" s="2944"/>
      <c r="O118" s="2944"/>
      <c r="P118" s="2969"/>
      <c r="Q118" s="2930"/>
      <c r="R118" s="2916"/>
      <c r="S118" s="2916"/>
      <c r="T118" s="2916"/>
      <c r="U118" s="2916"/>
      <c r="V118" s="2916"/>
      <c r="W118" s="2916"/>
      <c r="X118" s="2916"/>
      <c r="Y118" s="2916"/>
      <c r="Z118" s="2916"/>
      <c r="AA118" s="2916"/>
      <c r="AB118" s="2916"/>
      <c r="AC118" s="2916"/>
      <c r="AD118" s="2916"/>
      <c r="AE118" s="2916"/>
    </row>
    <row r="119" spans="1:31" ht="15.75" thickBot="1">
      <c r="A119" s="491"/>
      <c r="B119" s="500"/>
      <c r="C119" s="517"/>
      <c r="D119" s="517"/>
      <c r="E119" s="517"/>
      <c r="F119" s="517"/>
      <c r="G119" s="493"/>
      <c r="H119" s="493"/>
      <c r="I119" s="493"/>
      <c r="J119" s="493"/>
      <c r="K119" s="493"/>
      <c r="L119" s="493"/>
      <c r="M119" s="494"/>
      <c r="N119" s="2945"/>
      <c r="O119" s="2945"/>
      <c r="P119" s="2969"/>
      <c r="Q119" s="2930"/>
      <c r="R119" s="2916"/>
      <c r="S119" s="2916"/>
      <c r="T119" s="2916"/>
      <c r="U119" s="2916"/>
      <c r="V119" s="2916"/>
      <c r="W119" s="2916"/>
      <c r="X119" s="2916"/>
      <c r="Y119" s="2916"/>
      <c r="Z119" s="2916"/>
      <c r="AA119" s="2916"/>
      <c r="AB119" s="2916"/>
      <c r="AC119" s="2916"/>
      <c r="AD119" s="2916"/>
      <c r="AE119" s="2916"/>
    </row>
    <row r="120" spans="1:31" s="430" customFormat="1" ht="15" thickTop="1">
      <c r="A120" s="550"/>
      <c r="B120" s="495">
        <f>B40</f>
        <v>111</v>
      </c>
      <c r="C120" s="480"/>
      <c r="D120" s="480"/>
      <c r="E120" s="480"/>
      <c r="F120" s="480"/>
      <c r="G120" s="512"/>
      <c r="H120" s="512"/>
      <c r="I120" s="512"/>
      <c r="J120" s="512"/>
      <c r="K120" s="512"/>
      <c r="L120" s="513"/>
      <c r="M120" s="514"/>
      <c r="N120" s="2946"/>
      <c r="O120" s="2946"/>
      <c r="P120" s="2970"/>
      <c r="Q120" s="2937"/>
      <c r="R120" s="2938"/>
      <c r="S120" s="2938"/>
      <c r="T120" s="2938"/>
      <c r="U120" s="2938"/>
      <c r="V120" s="2938"/>
      <c r="W120" s="2938"/>
      <c r="X120" s="2938"/>
      <c r="Y120" s="2938"/>
      <c r="Z120" s="2938"/>
      <c r="AA120" s="2938"/>
      <c r="AB120" s="2938"/>
      <c r="AC120" s="2938"/>
      <c r="AD120" s="2938"/>
      <c r="AE120" s="2938"/>
    </row>
    <row r="121" spans="1:31" s="430" customFormat="1" ht="15.75" thickBot="1">
      <c r="A121" s="525"/>
      <c r="B121" s="656"/>
      <c r="C121" s="527"/>
      <c r="D121" s="527"/>
      <c r="E121" s="527"/>
      <c r="F121" s="527"/>
      <c r="G121" s="548"/>
      <c r="H121" s="548"/>
      <c r="I121" s="548"/>
      <c r="J121" s="548"/>
      <c r="K121" s="548"/>
      <c r="L121" s="548"/>
      <c r="M121" s="549"/>
      <c r="N121" s="2946"/>
      <c r="O121" s="2946"/>
      <c r="P121" s="2970"/>
      <c r="Q121" s="2937"/>
      <c r="R121" s="2938"/>
      <c r="S121" s="2938"/>
      <c r="T121" s="2938"/>
      <c r="U121" s="2938"/>
      <c r="V121" s="2938"/>
      <c r="W121" s="2938"/>
      <c r="X121" s="2938"/>
      <c r="Y121" s="2938"/>
      <c r="Z121" s="2938"/>
      <c r="AA121" s="2938"/>
      <c r="AB121" s="2938"/>
      <c r="AC121" s="2938"/>
      <c r="AD121" s="2938"/>
      <c r="AE121" s="2938"/>
    </row>
    <row r="122" spans="1:31">
      <c r="N122" s="2916"/>
      <c r="O122" s="2916"/>
      <c r="P122" s="2916"/>
      <c r="Q122" s="2916"/>
      <c r="R122" s="2916"/>
      <c r="S122" s="2916"/>
      <c r="T122" s="2916"/>
      <c r="U122" s="2916"/>
      <c r="V122" s="2916"/>
      <c r="W122" s="2916"/>
      <c r="X122" s="2916"/>
      <c r="Y122" s="2916"/>
      <c r="Z122" s="2916"/>
      <c r="AA122" s="2916"/>
      <c r="AB122" s="2916"/>
      <c r="AC122" s="2916"/>
      <c r="AD122" s="2916"/>
      <c r="AE122" s="2916"/>
    </row>
    <row r="123" spans="1:31">
      <c r="P123" s="2916"/>
      <c r="Q123" s="2916"/>
      <c r="R123" s="2916"/>
      <c r="S123" s="2916"/>
      <c r="T123" s="2916"/>
      <c r="U123" s="2916"/>
      <c r="V123" s="2916"/>
      <c r="W123" s="2916"/>
      <c r="X123" s="2916"/>
      <c r="Y123" s="2916"/>
      <c r="Z123" s="2916"/>
      <c r="AA123" s="2916"/>
      <c r="AB123" s="2916"/>
      <c r="AC123" s="2916"/>
      <c r="AD123" s="2916"/>
      <c r="AE123" s="291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0" customWidth="1"/>
    <col min="33" max="36" width="9.375" style="2213" customWidth="1"/>
    <col min="37" max="38" width="9.375" style="2147" customWidth="1"/>
    <col min="39" max="16384" width="12" style="2147"/>
  </cols>
  <sheetData>
    <row r="1" spans="1:36" ht="28.5">
      <c r="A1" s="202" t="s">
        <v>2563</v>
      </c>
      <c r="B1" s="203"/>
      <c r="C1" s="207" t="s">
        <v>2564</v>
      </c>
      <c r="D1" s="348">
        <f>SUM(D29:D30,D33:D39)</f>
        <v>0</v>
      </c>
      <c r="E1" s="2144"/>
      <c r="F1" s="2144"/>
      <c r="G1" s="2144"/>
      <c r="H1" s="2144"/>
      <c r="I1" s="2144"/>
      <c r="J1" s="2144"/>
      <c r="K1" s="1248"/>
      <c r="L1" s="2145" t="s">
        <v>2565</v>
      </c>
      <c r="M1" s="990">
        <f>SUMPRODUCT((区片价!B5:B9=I2)*(区片价!C3:F3=E2)*(区片价!C5:F9))</f>
        <v>0</v>
      </c>
      <c r="N1" s="993">
        <f>SUMPRODUCT((因素修正幅度!B5:B9=I2)*(因素修正幅度!C3:F3=E2)*(因素修正幅度!C5:F9))</f>
        <v>0</v>
      </c>
      <c r="O1" s="2146"/>
      <c r="P1" s="2146"/>
      <c r="Q1" s="1248"/>
      <c r="R1" s="1342" t="s">
        <v>2566</v>
      </c>
      <c r="S1" s="1342" t="s">
        <v>2567</v>
      </c>
      <c r="T1" s="1342" t="s">
        <v>2568</v>
      </c>
      <c r="U1" s="1342" t="s">
        <v>2569</v>
      </c>
      <c r="V1" s="1342" t="s">
        <v>2570</v>
      </c>
      <c r="W1" s="1346"/>
      <c r="X1" s="1346"/>
      <c r="Y1" s="1346"/>
      <c r="Z1" s="1346"/>
      <c r="AA1" s="1346"/>
      <c r="AB1" s="1346"/>
      <c r="AC1" s="1347"/>
      <c r="AD1" s="1348"/>
      <c r="AE1" s="1348"/>
      <c r="AF1" s="1348"/>
      <c r="AG1" s="1348"/>
      <c r="AH1" s="1348"/>
      <c r="AI1" s="1348"/>
      <c r="AJ1" s="1349"/>
    </row>
    <row r="2" spans="1:36" ht="15.75">
      <c r="A2" s="207" t="s">
        <v>2571</v>
      </c>
      <c r="B2" s="210" t="e">
        <f>C26</f>
        <v>#DIV/0!</v>
      </c>
      <c r="C2" s="2148" t="s">
        <v>2572</v>
      </c>
      <c r="D2" s="2149" t="s">
        <v>2573</v>
      </c>
      <c r="E2" s="2150"/>
      <c r="F2" s="2149" t="s">
        <v>2574</v>
      </c>
      <c r="G2" s="2151">
        <f>IF(E2="商业",项目基本情况!B37,IF(E2="办公",项目基本情况!C37,IF(E2="住宅",项目基本情况!D37,项目基本情况!E37)))</f>
        <v>0</v>
      </c>
      <c r="H2" s="2149" t="s">
        <v>2575</v>
      </c>
      <c r="I2" s="2151">
        <f>IF(E2="商业",项目基本情况!B38,IF(E2="办公",项目基本情况!C38,IF(E2="住宅",项目基本情况!D38,项目基本情况!E38)))</f>
        <v>0</v>
      </c>
      <c r="J2" s="2152"/>
      <c r="K2" s="1248"/>
      <c r="L2" s="2153" t="s">
        <v>2576</v>
      </c>
      <c r="M2" s="991">
        <f>SUMPRODUCT((区片价!B10:B28=I2)*(区片价!C3:F3=E2)*(区片价!C10:F28))</f>
        <v>0</v>
      </c>
      <c r="N2" s="993">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0</v>
      </c>
      <c r="T2" s="1342" t="e">
        <f>ROUND($C$5*$C$18*$C$19*$C$20*S2*$C$24,0)</f>
        <v>#DIV/0!</v>
      </c>
      <c r="U2" s="1343"/>
      <c r="V2" s="1342" t="e">
        <f>ROUND(T2*U2/10000,0)</f>
        <v>#DIV/0!</v>
      </c>
      <c r="W2" s="1346"/>
      <c r="X2" s="1346"/>
      <c r="Y2" s="1346"/>
      <c r="Z2" s="1346"/>
      <c r="AA2" s="1346"/>
      <c r="AB2" s="1346"/>
      <c r="AC2" s="1347"/>
      <c r="AD2" s="1348"/>
      <c r="AE2" s="1348"/>
      <c r="AF2" s="1348"/>
      <c r="AG2" s="1348"/>
      <c r="AH2" s="1348"/>
      <c r="AI2" s="1348"/>
      <c r="AJ2" s="1349"/>
    </row>
    <row r="3" spans="1:36" ht="15.75">
      <c r="A3" s="209" t="s">
        <v>2577</v>
      </c>
      <c r="B3" s="210" t="e">
        <f>ROUND(B2*10000/D1,0)</f>
        <v>#DIV/0!</v>
      </c>
      <c r="C3" s="2148" t="s">
        <v>2578</v>
      </c>
      <c r="D3" s="2149" t="s">
        <v>2579</v>
      </c>
      <c r="E3" s="2154"/>
      <c r="F3" s="2155" t="s">
        <v>2580</v>
      </c>
      <c r="G3" s="851">
        <f>IF(F3="宗地容积率",'数据-汇总表'!I4,IF(F3="估价对象容积率",'数据-汇总表'!I6,'数据-汇总表'!I7))</f>
        <v>4.1399999999999997</v>
      </c>
      <c r="H3" s="175" t="s">
        <v>2581</v>
      </c>
      <c r="I3" s="877"/>
      <c r="J3" s="2152" t="s">
        <v>2582</v>
      </c>
      <c r="K3" s="1248"/>
      <c r="L3" s="2153" t="s">
        <v>2583</v>
      </c>
      <c r="M3" s="991">
        <f>SUMPRODUCT((区片价!B29:B48=I2)*(区片价!C3:F3=E2)*(区片价!C29:F48))</f>
        <v>0</v>
      </c>
      <c r="N3" s="993">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0</v>
      </c>
      <c r="T3" s="1342" t="e">
        <f t="shared" ref="T3:T16" si="0">ROUND($C$5*$C$18*$C$19*$C$20*S3*$C$24,0)</f>
        <v>#DIV/0!</v>
      </c>
      <c r="U3" s="1343"/>
      <c r="V3" s="1342" t="e">
        <f t="shared" ref="V3:V16" si="1">ROUND(T3*U3/10000,0)</f>
        <v>#DIV/0!</v>
      </c>
      <c r="W3" s="1346"/>
      <c r="X3" s="1346"/>
      <c r="Y3" s="1346"/>
      <c r="Z3" s="1346"/>
      <c r="AA3" s="1346"/>
      <c r="AB3" s="1346"/>
      <c r="AC3" s="1347"/>
      <c r="AD3" s="1348"/>
      <c r="AE3" s="1348"/>
      <c r="AF3" s="1348"/>
      <c r="AG3" s="1348"/>
      <c r="AH3" s="1348"/>
      <c r="AI3" s="1348"/>
      <c r="AJ3" s="1349"/>
    </row>
    <row r="4" spans="1:36" ht="15.75">
      <c r="A4" s="3809"/>
      <c r="B4" s="3810"/>
      <c r="C4" s="3810"/>
      <c r="D4" s="3811"/>
      <c r="E4" s="3811"/>
      <c r="F4" s="3811"/>
      <c r="G4" s="3811"/>
      <c r="H4" s="3811"/>
      <c r="I4" s="3811"/>
      <c r="J4" s="3812"/>
      <c r="K4" s="1248"/>
      <c r="L4" s="2153" t="s">
        <v>2584</v>
      </c>
      <c r="M4" s="991">
        <f>SUMPRODUCT((区片价!B49:B75=I2)*(区片价!C3:F3=E2)*(区片价!C49:F75))</f>
        <v>0</v>
      </c>
      <c r="N4" s="993">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0</v>
      </c>
      <c r="T4" s="1342" t="e">
        <f t="shared" si="0"/>
        <v>#DIV/0!</v>
      </c>
      <c r="U4" s="1343"/>
      <c r="V4" s="1342" t="e">
        <f t="shared" si="1"/>
        <v>#DIV/0!</v>
      </c>
      <c r="W4" s="1346"/>
      <c r="X4" s="1346"/>
      <c r="Y4" s="1346"/>
      <c r="Z4" s="1346"/>
      <c r="AA4" s="1346"/>
      <c r="AB4" s="1346"/>
      <c r="AC4" s="1347"/>
      <c r="AD4" s="1348"/>
      <c r="AE4" s="1348"/>
      <c r="AF4" s="1348"/>
      <c r="AG4" s="1348"/>
      <c r="AH4" s="1348"/>
      <c r="AI4" s="1348"/>
      <c r="AJ4" s="1349"/>
    </row>
    <row r="5" spans="1:36" s="2165" customFormat="1" ht="15.75" thickBot="1">
      <c r="A5" s="2156" t="s">
        <v>807</v>
      </c>
      <c r="B5" s="2157" t="s">
        <v>2585</v>
      </c>
      <c r="C5" s="852" t="e">
        <f>ROUND(IF(E2="商业",C6*C7+C16,(IF(E2="住宅",C6*C12+C16,C6+C16))),0)</f>
        <v>#DIV/0!</v>
      </c>
      <c r="D5" s="1489" t="e">
        <f>ROUND(C6+C16,0)</f>
        <v>#DIV/0!</v>
      </c>
      <c r="E5" s="1489"/>
      <c r="F5" s="2158"/>
      <c r="G5" s="2159"/>
      <c r="H5" s="2159"/>
      <c r="I5" s="2159"/>
      <c r="J5" s="2160"/>
      <c r="K5" s="2161"/>
      <c r="L5" s="2153" t="s">
        <v>2586</v>
      </c>
      <c r="M5" s="991">
        <f>SUMPRODUCT((区片价!B76:B109=I2)*(区片价!C3:F3=E2)*(区片价!C76:F109))</f>
        <v>0</v>
      </c>
      <c r="N5" s="993">
        <f>SUMPRODUCT((因素修正幅度!B76:B109=I2)*(因素修正幅度!C3:F3=E2)*(因素修正幅度!C76:F109))</f>
        <v>0</v>
      </c>
      <c r="O5" s="1248"/>
      <c r="P5" s="1248"/>
      <c r="Q5" s="1248"/>
      <c r="R5" s="1342">
        <v>4</v>
      </c>
      <c r="S5" s="1342">
        <f>ROUND(IF(G3&gt;1,IF(R5&lt;7,SUMPRODUCT((B93:B98=R5)*(C92:N92=G2)*(C93:N98)),SUMIF(C92:N92,G2,C100:N100)),IF(R5&lt;7,SUMPRODUCT((B102:B107=R5)*(C92:N92=G2)*(C102:N107)),SUMIF(C92:N92,G2,C109:N109))),4)</f>
        <v>0</v>
      </c>
      <c r="T5" s="1342" t="e">
        <f t="shared" si="0"/>
        <v>#DIV/0!</v>
      </c>
      <c r="U5" s="1343"/>
      <c r="V5" s="1342" t="e">
        <f t="shared" si="1"/>
        <v>#DIV/0!</v>
      </c>
      <c r="W5" s="1346"/>
      <c r="X5" s="1346"/>
      <c r="Y5" s="1346"/>
      <c r="Z5" s="1346"/>
      <c r="AA5" s="1346"/>
      <c r="AB5" s="1346"/>
      <c r="AC5" s="2162"/>
      <c r="AD5" s="2163"/>
      <c r="AE5" s="2163"/>
      <c r="AF5" s="2163"/>
      <c r="AG5" s="2163"/>
      <c r="AH5" s="2163"/>
      <c r="AI5" s="2163"/>
      <c r="AJ5" s="2164"/>
    </row>
    <row r="6" spans="1:36" ht="15.75" thickBot="1">
      <c r="A6" s="2166" t="s">
        <v>2587</v>
      </c>
      <c r="B6" s="2167" t="s">
        <v>2588</v>
      </c>
      <c r="C6" s="853">
        <f>SUMIF(L1:L12,G2,M1:M12)</f>
        <v>0</v>
      </c>
      <c r="D6" s="2168" t="s">
        <v>2589</v>
      </c>
      <c r="E6" s="2169"/>
      <c r="F6" s="2169"/>
      <c r="G6" s="2170"/>
      <c r="H6" s="2170"/>
      <c r="I6" s="2170"/>
      <c r="J6" s="2171"/>
      <c r="K6" s="1534"/>
      <c r="L6" s="2153" t="s">
        <v>2590</v>
      </c>
      <c r="M6" s="991">
        <f>SUMPRODUCT((区片价!B110:B157=I2)*(区片价!C3:F3=E2)*(区片价!C110:F157))</f>
        <v>0</v>
      </c>
      <c r="N6" s="993">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v>
      </c>
      <c r="T6" s="1342" t="e">
        <f t="shared" si="0"/>
        <v>#DIV/0!</v>
      </c>
      <c r="U6" s="1343"/>
      <c r="V6" s="1342" t="e">
        <f t="shared" si="1"/>
        <v>#DIV/0!</v>
      </c>
      <c r="W6" s="1346"/>
      <c r="X6" s="1346"/>
      <c r="Y6" s="1346"/>
      <c r="Z6" s="1346"/>
      <c r="AA6" s="1346"/>
      <c r="AB6" s="1346"/>
      <c r="AC6" s="2162"/>
      <c r="AD6" s="2163"/>
      <c r="AE6" s="2163"/>
      <c r="AF6" s="2163"/>
      <c r="AG6" s="2163"/>
      <c r="AH6" s="2163"/>
      <c r="AI6" s="2163"/>
      <c r="AJ6" s="2164"/>
    </row>
    <row r="7" spans="1:36" ht="24">
      <c r="A7" s="3813" t="str">
        <f>IF(E2="商业",IF(C8="不临58条商业街","",2),"")</f>
        <v/>
      </c>
      <c r="B7" s="2172" t="s">
        <v>2591</v>
      </c>
      <c r="C7" s="854" t="e">
        <f>IF(C8="不临58条商业街",1,ROUND(1+(1.6*E8+1.2*E9+0.8*E10+0.4*E11)*C9,4))</f>
        <v>#DIV/0!</v>
      </c>
      <c r="D7" s="2173" t="s">
        <v>2592</v>
      </c>
      <c r="E7" s="878"/>
      <c r="F7" s="2174"/>
      <c r="G7" s="2175"/>
      <c r="H7" s="2175"/>
      <c r="I7" s="2175"/>
      <c r="J7" s="2176"/>
      <c r="K7" s="1534"/>
      <c r="L7" s="2153" t="s">
        <v>2593</v>
      </c>
      <c r="M7" s="991">
        <f>SUMPRODUCT((区片价!B158:B205=I2)*(区片价!C3:F3=E2)*(区片价!C158:F205))</f>
        <v>0</v>
      </c>
      <c r="N7" s="993">
        <f>SUMPRODUCT((因素修正幅度!B158:B205=I2)*(因素修正幅度!C3:F3=E2)*(因素修正幅度!C158:F205))</f>
        <v>0</v>
      </c>
      <c r="O7" s="1248"/>
      <c r="P7" s="1248"/>
      <c r="Q7" s="1248"/>
      <c r="R7" s="1342">
        <v>6</v>
      </c>
      <c r="S7" s="1342">
        <f>ROUND(IF(G3&gt;1,IF(R7&lt;7,SUMPRODUCT((B93:B98=R7)*(C92:N92=G2)*(C93:N98)),SUMIF(C92:N92,G2,C100:N100)),IF(R7&lt;7,SUMPRODUCT((B102:B107=R7)*(C92:N92=G2)*(C102:N107)),SUMIF(C92:N92,G2,C109:N109))),4)</f>
        <v>0</v>
      </c>
      <c r="T7" s="1342" t="e">
        <f t="shared" si="0"/>
        <v>#DIV/0!</v>
      </c>
      <c r="U7" s="1343"/>
      <c r="V7" s="1342" t="e">
        <f t="shared" si="1"/>
        <v>#DIV/0!</v>
      </c>
      <c r="W7" s="1508" t="s">
        <v>2594</v>
      </c>
      <c r="X7" s="1344">
        <f>G2</f>
        <v>0</v>
      </c>
      <c r="Y7" s="1344" t="s">
        <v>2595</v>
      </c>
      <c r="Z7" s="1345">
        <f>G3</f>
        <v>4.1399999999999997</v>
      </c>
      <c r="AA7" s="1346"/>
      <c r="AB7" s="1346"/>
      <c r="AC7" s="1347"/>
      <c r="AD7" s="1348"/>
      <c r="AE7" s="1348"/>
      <c r="AF7" s="1348"/>
      <c r="AG7" s="1348"/>
      <c r="AH7" s="1348"/>
      <c r="AI7" s="1348"/>
      <c r="AJ7" s="1349"/>
    </row>
    <row r="8" spans="1:36" ht="15">
      <c r="A8" s="3814"/>
      <c r="B8" s="175" t="s">
        <v>2596</v>
      </c>
      <c r="C8" s="2177"/>
      <c r="D8" s="855" t="s">
        <v>139</v>
      </c>
      <c r="E8" s="856" t="e">
        <f>ROUND(C11/E7,4)</f>
        <v>#DIV/0!</v>
      </c>
      <c r="F8" s="2178" t="s">
        <v>2597</v>
      </c>
      <c r="G8" s="2179"/>
      <c r="H8" s="2179"/>
      <c r="I8" s="2179"/>
      <c r="J8" s="2180"/>
      <c r="K8" s="1248"/>
      <c r="L8" s="2153" t="s">
        <v>2598</v>
      </c>
      <c r="M8" s="991">
        <f>SUMPRODUCT((区片价!B206:B244=I2)*(区片价!C3:F3=E2)*(区片价!C206:F244))</f>
        <v>0</v>
      </c>
      <c r="N8" s="993">
        <f>SUMPRODUCT((因素修正幅度!B206:B244=I2)*(因素修正幅度!C3:F3=E2)*(因素修正幅度!C206:F244))</f>
        <v>0</v>
      </c>
      <c r="O8" s="1248"/>
      <c r="P8" s="1248"/>
      <c r="Q8" s="1248"/>
      <c r="R8" s="1342">
        <v>7</v>
      </c>
      <c r="S8" s="1343"/>
      <c r="T8" s="1342" t="e">
        <f t="shared" si="0"/>
        <v>#DIV/0!</v>
      </c>
      <c r="U8" s="1343"/>
      <c r="V8" s="1342" t="e">
        <f t="shared" si="1"/>
        <v>#DIV/0!</v>
      </c>
      <c r="W8" s="3806" t="s">
        <v>2599</v>
      </c>
      <c r="X8" s="3807"/>
      <c r="Y8" s="1350" t="s">
        <v>2600</v>
      </c>
      <c r="Z8" s="1350" t="s">
        <v>2601</v>
      </c>
      <c r="AA8" s="1350" t="s">
        <v>2602</v>
      </c>
      <c r="AB8" s="1350" t="s">
        <v>2603</v>
      </c>
      <c r="AC8" s="1350" t="s">
        <v>2604</v>
      </c>
      <c r="AD8" s="1350" t="s">
        <v>2605</v>
      </c>
      <c r="AE8" s="1350" t="s">
        <v>2606</v>
      </c>
      <c r="AF8" s="1350" t="s">
        <v>2607</v>
      </c>
      <c r="AG8" s="1350" t="s">
        <v>2608</v>
      </c>
      <c r="AH8" s="1350" t="s">
        <v>2609</v>
      </c>
      <c r="AI8" s="1350" t="s">
        <v>2610</v>
      </c>
      <c r="AJ8" s="1350" t="s">
        <v>2611</v>
      </c>
    </row>
    <row r="9" spans="1:36" ht="15">
      <c r="A9" s="3814"/>
      <c r="B9" s="175" t="s">
        <v>2612</v>
      </c>
      <c r="C9" s="857">
        <f>SUMIF(修正!C59:C119,C8,修正!E59:E119)</f>
        <v>0</v>
      </c>
      <c r="D9" s="176" t="s">
        <v>140</v>
      </c>
      <c r="E9" s="176" t="e">
        <f>ROUND(C11/E7,4)</f>
        <v>#DIV/0!</v>
      </c>
      <c r="F9" s="2178" t="s">
        <v>2613</v>
      </c>
      <c r="G9" s="2179"/>
      <c r="H9" s="2179"/>
      <c r="I9" s="2179"/>
      <c r="J9" s="2180"/>
      <c r="K9" s="1248"/>
      <c r="L9" s="2153" t="s">
        <v>2614</v>
      </c>
      <c r="M9" s="991">
        <f>SUMPRODUCT((区片价!B245:B289=I2)*(区片价!C3:F3=E2)*(区片价!C245:F289))</f>
        <v>0</v>
      </c>
      <c r="N9" s="993">
        <f>SUMPRODUCT((因素修正幅度!B245:B289=I2)*(因素修正幅度!C3:F3=E2)*(因素修正幅度!C245:F289))</f>
        <v>0</v>
      </c>
      <c r="O9" s="1248"/>
      <c r="P9" s="1248"/>
      <c r="Q9" s="1248"/>
      <c r="R9" s="1342">
        <v>8</v>
      </c>
      <c r="S9" s="1343"/>
      <c r="T9" s="1342" t="e">
        <f t="shared" si="0"/>
        <v>#DIV/0!</v>
      </c>
      <c r="U9" s="1343"/>
      <c r="V9" s="1342" t="e">
        <f t="shared" si="1"/>
        <v>#DIV/0!</v>
      </c>
      <c r="W9" s="3808" t="s">
        <v>2615</v>
      </c>
      <c r="X9" s="1351" t="s">
        <v>2616</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814"/>
      <c r="B10" s="175" t="s">
        <v>2617</v>
      </c>
      <c r="C10" s="176">
        <f>SUMIF(修正!C59:C119,C8,修正!F59:F119)</f>
        <v>0</v>
      </c>
      <c r="D10" s="176" t="s">
        <v>141</v>
      </c>
      <c r="E10" s="176" t="e">
        <f>ROUND(C11/E7,4)</f>
        <v>#DIV/0!</v>
      </c>
      <c r="F10" s="2178" t="s">
        <v>2618</v>
      </c>
      <c r="G10" s="2179"/>
      <c r="H10" s="2179"/>
      <c r="I10" s="2179"/>
      <c r="J10" s="2180"/>
      <c r="K10" s="1248"/>
      <c r="L10" s="2153" t="s">
        <v>2619</v>
      </c>
      <c r="M10" s="991">
        <f>SUMPRODUCT((区片价!B290:B316=I2)*(区片价!C3:F3=E2)*(区片价!C290:F316))</f>
        <v>0</v>
      </c>
      <c r="N10" s="993">
        <f>SUMPRODUCT((因素修正幅度!B290:B316=I2)*(因素修正幅度!C3:F3=E2)*(因素修正幅度!C290:F316))</f>
        <v>0</v>
      </c>
      <c r="O10" s="1248"/>
      <c r="P10" s="1248"/>
      <c r="Q10" s="1248"/>
      <c r="R10" s="1342">
        <v>9</v>
      </c>
      <c r="S10" s="1343"/>
      <c r="T10" s="1342" t="e">
        <f t="shared" si="0"/>
        <v>#DIV/0!</v>
      </c>
      <c r="U10" s="1343"/>
      <c r="V10" s="1342" t="e">
        <f t="shared" si="1"/>
        <v>#DIV/0!</v>
      </c>
      <c r="W10" s="3808"/>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814"/>
      <c r="B11" s="2181" t="s">
        <v>2620</v>
      </c>
      <c r="C11" s="858">
        <f>C10/4</f>
        <v>0</v>
      </c>
      <c r="D11" s="858" t="s">
        <v>142</v>
      </c>
      <c r="E11" s="858" t="e">
        <f>ROUND(C11/E7,4)</f>
        <v>#DIV/0!</v>
      </c>
      <c r="F11" s="2182" t="s">
        <v>2621</v>
      </c>
      <c r="G11" s="2183"/>
      <c r="H11" s="2183"/>
      <c r="I11" s="2183"/>
      <c r="J11" s="2184"/>
      <c r="K11" s="1248"/>
      <c r="L11" s="2153" t="s">
        <v>2622</v>
      </c>
      <c r="M11" s="991">
        <f>SUMPRODUCT((区片价!B317:B337=I2)*(区片价!C3:F3=E2)*(区片价!C317:F337))</f>
        <v>0</v>
      </c>
      <c r="N11" s="993">
        <f>SUMPRODUCT((因素修正幅度!B317:B337=I2)*(因素修正幅度!C3:F3=E2)*(因素修正幅度!C317:F337))</f>
        <v>0</v>
      </c>
      <c r="O11" s="1248"/>
      <c r="P11" s="1248"/>
      <c r="Q11" s="1248"/>
      <c r="R11" s="1342">
        <v>10</v>
      </c>
      <c r="S11" s="1343"/>
      <c r="T11" s="1342" t="e">
        <f t="shared" si="0"/>
        <v>#DIV/0!</v>
      </c>
      <c r="U11" s="1343"/>
      <c r="V11" s="1342" t="e">
        <f t="shared" si="1"/>
        <v>#DIV/0!</v>
      </c>
      <c r="W11" s="3808" t="s">
        <v>2623</v>
      </c>
      <c r="X11" s="1354" t="s">
        <v>2624</v>
      </c>
      <c r="Y11" s="1355">
        <f>$G$3</f>
        <v>4.1399999999999997</v>
      </c>
      <c r="Z11" s="1355">
        <f t="shared" ref="Z11:AJ11" si="3">$G$3</f>
        <v>4.1399999999999997</v>
      </c>
      <c r="AA11" s="1355">
        <f t="shared" si="3"/>
        <v>4.1399999999999997</v>
      </c>
      <c r="AB11" s="1355">
        <f t="shared" si="3"/>
        <v>4.1399999999999997</v>
      </c>
      <c r="AC11" s="1355">
        <f t="shared" si="3"/>
        <v>4.1399999999999997</v>
      </c>
      <c r="AD11" s="1355">
        <f t="shared" si="3"/>
        <v>4.1399999999999997</v>
      </c>
      <c r="AE11" s="1355">
        <f t="shared" si="3"/>
        <v>4.1399999999999997</v>
      </c>
      <c r="AF11" s="1355">
        <f t="shared" si="3"/>
        <v>4.1399999999999997</v>
      </c>
      <c r="AG11" s="1355">
        <f t="shared" si="3"/>
        <v>4.1399999999999997</v>
      </c>
      <c r="AH11" s="1355">
        <f t="shared" si="3"/>
        <v>4.1399999999999997</v>
      </c>
      <c r="AI11" s="1355">
        <f t="shared" si="3"/>
        <v>4.1399999999999997</v>
      </c>
      <c r="AJ11" s="1355">
        <f t="shared" si="3"/>
        <v>4.1399999999999997</v>
      </c>
    </row>
    <row r="12" spans="1:36" ht="25.5" thickBot="1">
      <c r="A12" s="3813" t="s">
        <v>2625</v>
      </c>
      <c r="B12" s="2185" t="s">
        <v>2626</v>
      </c>
      <c r="C12" s="854">
        <f>ROUND(C15*D15*E15*F15*G15*H15*I15*J15,4)</f>
        <v>1</v>
      </c>
      <c r="D12" s="2186" t="s">
        <v>2627</v>
      </c>
      <c r="E12" s="2187"/>
      <c r="F12" s="2187"/>
      <c r="G12" s="2188"/>
      <c r="H12" s="2188"/>
      <c r="I12" s="2188"/>
      <c r="J12" s="2189"/>
      <c r="K12" s="1248"/>
      <c r="L12" s="2190" t="s">
        <v>2628</v>
      </c>
      <c r="M12" s="992">
        <f>SUMPRODUCT((区片价!B338:B344=I2)*(区片价!C3:F3=E2)*(区片价!C338:F344))</f>
        <v>0</v>
      </c>
      <c r="N12" s="993">
        <f>SUMPRODUCT((因素修正幅度!B338:B344=I2)*(因素修正幅度!C3:F3=E2)*(因素修正幅度!C338:F344))</f>
        <v>0</v>
      </c>
      <c r="O12" s="1248"/>
      <c r="P12" s="1248"/>
      <c r="Q12" s="1248"/>
      <c r="R12" s="1342">
        <v>11</v>
      </c>
      <c r="S12" s="1343"/>
      <c r="T12" s="1342" t="e">
        <f t="shared" si="0"/>
        <v>#DIV/0!</v>
      </c>
      <c r="U12" s="1343"/>
      <c r="V12" s="1342" t="e">
        <f t="shared" si="1"/>
        <v>#DIV/0!</v>
      </c>
      <c r="W12" s="3808"/>
      <c r="X12" s="1356" t="s">
        <v>2629</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815"/>
      <c r="B13" s="2191" t="s">
        <v>2630</v>
      </c>
      <c r="C13" s="2192" t="s">
        <v>2631</v>
      </c>
      <c r="D13" s="1500" t="s">
        <v>2632</v>
      </c>
      <c r="E13" s="1500" t="s">
        <v>2633</v>
      </c>
      <c r="F13" s="30" t="s">
        <v>2634</v>
      </c>
      <c r="G13" s="2193" t="s">
        <v>2635</v>
      </c>
      <c r="H13" s="2193" t="s">
        <v>2635</v>
      </c>
      <c r="I13" s="2193" t="s">
        <v>2635</v>
      </c>
      <c r="J13" s="2194" t="s">
        <v>2635</v>
      </c>
      <c r="K13" s="1248"/>
      <c r="L13" s="1248"/>
      <c r="M13" s="1248"/>
      <c r="N13" s="1248"/>
      <c r="O13" s="1248"/>
      <c r="P13" s="1248"/>
      <c r="Q13" s="1248"/>
      <c r="R13" s="1342">
        <v>12</v>
      </c>
      <c r="S13" s="1343"/>
      <c r="T13" s="1342" t="e">
        <f t="shared" si="0"/>
        <v>#DIV/0!</v>
      </c>
      <c r="U13" s="1343"/>
      <c r="V13" s="1342" t="e">
        <f t="shared" si="1"/>
        <v>#DIV/0!</v>
      </c>
      <c r="W13" s="3808"/>
      <c r="X13" s="1356"/>
      <c r="Y13" s="1353">
        <f>(-0.163*(Y12^2)-0.59*Y12+7617)*(10^(-4))/Y11</f>
        <v>0.18398550724637683</v>
      </c>
      <c r="Z13" s="1353">
        <f t="shared" ref="Z13:AJ13" si="5">(-0.163*(Z12^2)-0.59*Z12+7617)*(10^(-4))/Z11</f>
        <v>0.18398550724637683</v>
      </c>
      <c r="AA13" s="1353">
        <f t="shared" si="5"/>
        <v>0.18398550724637683</v>
      </c>
      <c r="AB13" s="1353">
        <f t="shared" si="5"/>
        <v>0.18398550724637683</v>
      </c>
      <c r="AC13" s="1353">
        <f t="shared" si="5"/>
        <v>0.18398550724637683</v>
      </c>
      <c r="AD13" s="1353">
        <f t="shared" si="5"/>
        <v>0.18398550724637683</v>
      </c>
      <c r="AE13" s="1353">
        <f t="shared" si="5"/>
        <v>0.18398550724637683</v>
      </c>
      <c r="AF13" s="1353">
        <f t="shared" si="5"/>
        <v>0.18398550724637683</v>
      </c>
      <c r="AG13" s="1353">
        <f t="shared" si="5"/>
        <v>0.18398550724637683</v>
      </c>
      <c r="AH13" s="1353">
        <f t="shared" si="5"/>
        <v>0.18398550724637683</v>
      </c>
      <c r="AI13" s="1353">
        <f t="shared" si="5"/>
        <v>0.18398550724637683</v>
      </c>
      <c r="AJ13" s="1353">
        <f t="shared" si="5"/>
        <v>0.18398550724637683</v>
      </c>
    </row>
    <row r="14" spans="1:36" ht="15">
      <c r="A14" s="3815"/>
      <c r="B14" s="2195"/>
      <c r="C14" s="2196"/>
      <c r="D14" s="2197"/>
      <c r="E14" s="2197"/>
      <c r="F14" s="2198"/>
      <c r="G14" s="2199" t="s">
        <v>2636</v>
      </c>
      <c r="H14" s="2200"/>
      <c r="I14" s="2201"/>
      <c r="J14" s="2202"/>
      <c r="K14" s="1248"/>
      <c r="L14" s="1248"/>
      <c r="M14" s="1248"/>
      <c r="N14" s="1248"/>
      <c r="O14" s="1248"/>
      <c r="P14" s="1248"/>
      <c r="Q14" s="1248"/>
      <c r="R14" s="1342">
        <v>13</v>
      </c>
      <c r="S14" s="1343"/>
      <c r="T14" s="1342" t="e">
        <f t="shared" si="0"/>
        <v>#DIV/0!</v>
      </c>
      <c r="U14" s="1343"/>
      <c r="V14" s="1342" t="e">
        <f t="shared" si="1"/>
        <v>#DIV/0!</v>
      </c>
      <c r="W14" s="1346"/>
      <c r="X14" s="1346"/>
      <c r="Y14" s="1346"/>
      <c r="Z14" s="1346"/>
      <c r="AA14" s="1346"/>
      <c r="AB14" s="1346"/>
      <c r="AC14" s="1347"/>
      <c r="AD14" s="2982"/>
      <c r="AE14" s="2982"/>
      <c r="AF14" s="2982"/>
      <c r="AG14" s="2982"/>
      <c r="AH14" s="2982"/>
      <c r="AI14" s="2982"/>
      <c r="AJ14" s="2983"/>
    </row>
    <row r="15" spans="1:36" ht="15.75" thickBot="1">
      <c r="A15" s="3816"/>
      <c r="B15" s="2203" t="s">
        <v>2637</v>
      </c>
      <c r="C15" s="193">
        <f>IF(C14="有",1.1,1)</f>
        <v>1</v>
      </c>
      <c r="D15" s="193">
        <f>IF(D14="有",1.1,1)</f>
        <v>1</v>
      </c>
      <c r="E15" s="193">
        <f>IF(E14="有",1.1,1)</f>
        <v>1</v>
      </c>
      <c r="F15" s="193">
        <f>IF(F14="500米范围内",1.2,IF(F14="500-1000米",1.1,1))</f>
        <v>1</v>
      </c>
      <c r="G15" s="879">
        <v>1</v>
      </c>
      <c r="H15" s="879">
        <v>1</v>
      </c>
      <c r="I15" s="879">
        <v>1</v>
      </c>
      <c r="J15" s="880">
        <v>1</v>
      </c>
      <c r="K15" s="1248"/>
      <c r="L15" s="2146"/>
      <c r="M15" s="2146"/>
      <c r="N15" s="2146"/>
      <c r="O15" s="2146"/>
      <c r="P15" s="2146"/>
      <c r="Q15" s="1248"/>
      <c r="R15" s="1342">
        <v>14</v>
      </c>
      <c r="S15" s="1343"/>
      <c r="T15" s="1342" t="e">
        <f t="shared" si="0"/>
        <v>#DIV/0!</v>
      </c>
      <c r="U15" s="1343"/>
      <c r="V15" s="1342" t="e">
        <f t="shared" si="1"/>
        <v>#DIV/0!</v>
      </c>
      <c r="W15" s="1346"/>
      <c r="X15" s="1346"/>
      <c r="Y15" s="1346"/>
      <c r="Z15" s="1346"/>
      <c r="AA15" s="1346"/>
      <c r="AB15" s="1346"/>
      <c r="AC15" s="1347"/>
      <c r="AD15" s="2982"/>
      <c r="AE15" s="2982"/>
      <c r="AF15" s="2982"/>
      <c r="AG15" s="2982"/>
      <c r="AH15" s="2982"/>
      <c r="AI15" s="2982"/>
      <c r="AJ15" s="2983"/>
    </row>
    <row r="16" spans="1:36" ht="24.6" customHeight="1">
      <c r="A16" s="3813" t="s">
        <v>2642</v>
      </c>
      <c r="B16" s="2172" t="s">
        <v>2643</v>
      </c>
      <c r="C16" s="2334" t="e">
        <f>ROUND(IF(F17="与级别开发程度一致",0,(G17-E17)/C17),0)</f>
        <v>#DIV/0!</v>
      </c>
      <c r="D16" s="3829" t="s">
        <v>2647</v>
      </c>
      <c r="E16" s="3830"/>
      <c r="F16" s="3829" t="s">
        <v>2644</v>
      </c>
      <c r="G16" s="3830"/>
      <c r="H16" s="2204"/>
      <c r="I16" s="2204"/>
      <c r="J16" s="2338"/>
      <c r="K16" s="2204"/>
      <c r="L16" s="2204"/>
      <c r="M16" s="2204"/>
      <c r="N16" s="2204"/>
      <c r="O16" s="2205"/>
      <c r="P16" s="2146"/>
      <c r="Q16" s="1248"/>
      <c r="R16" s="1342">
        <v>15</v>
      </c>
      <c r="S16" s="1343"/>
      <c r="T16" s="1342" t="e">
        <f t="shared" si="0"/>
        <v>#DIV/0!</v>
      </c>
      <c r="U16" s="1343"/>
      <c r="V16" s="1342" t="e">
        <f t="shared" si="1"/>
        <v>#DIV/0!</v>
      </c>
      <c r="W16" s="1346"/>
      <c r="X16" s="1346"/>
      <c r="Y16" s="1346"/>
      <c r="Z16" s="1346"/>
      <c r="AA16" s="1346"/>
      <c r="AB16" s="1346"/>
      <c r="AC16" s="1347"/>
      <c r="AD16" s="2982"/>
      <c r="AE16" s="2982"/>
      <c r="AF16" s="2982"/>
      <c r="AG16" s="2982"/>
      <c r="AH16" s="2982"/>
      <c r="AI16" s="2982"/>
      <c r="AJ16" s="2983"/>
    </row>
    <row r="17" spans="1:37" ht="13.5" thickBot="1">
      <c r="A17" s="3817"/>
      <c r="B17" s="2345" t="s">
        <v>2646</v>
      </c>
      <c r="C17" s="2346">
        <f>SUMPRODUCT((修正!A2:A5=E2)*(修正!B1:M1=G2)*(修正!B2:M5))</f>
        <v>0</v>
      </c>
      <c r="D17" s="193"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8"/>
      <c r="R17" s="1248"/>
      <c r="S17" s="1248"/>
      <c r="T17" s="1248"/>
      <c r="U17" s="1248"/>
      <c r="V17" s="1248"/>
      <c r="W17" s="1248"/>
      <c r="X17" s="1248"/>
      <c r="Y17" s="1248"/>
      <c r="Z17" s="1249"/>
      <c r="AA17" s="1249"/>
      <c r="AB17" s="1249"/>
      <c r="AC17" s="1249"/>
      <c r="AD17" s="1249"/>
      <c r="AE17" s="1248"/>
      <c r="AF17" s="1248"/>
      <c r="AG17" s="2146"/>
      <c r="AH17" s="2146"/>
      <c r="AI17" s="2146"/>
      <c r="AJ17" s="2146"/>
    </row>
    <row r="18" spans="1:37" s="2165" customFormat="1" ht="15.75" thickBot="1">
      <c r="A18" s="2339" t="s">
        <v>808</v>
      </c>
      <c r="B18" s="2340" t="s">
        <v>2649</v>
      </c>
      <c r="C18" s="2341">
        <f>SUMIF(修正!C18:C39,E3,修正!E18:E39)</f>
        <v>0</v>
      </c>
      <c r="D18" s="2342"/>
      <c r="E18" s="2343"/>
      <c r="F18" s="2343"/>
      <c r="G18" s="2343"/>
      <c r="H18" s="2343"/>
      <c r="I18" s="2343"/>
      <c r="J18" s="2344"/>
      <c r="K18" s="1255"/>
      <c r="L18" s="2981"/>
      <c r="M18" s="2981"/>
      <c r="N18" s="2981"/>
      <c r="O18" s="1253"/>
      <c r="P18" s="1253"/>
      <c r="Q18" s="1254"/>
      <c r="R18" s="1254"/>
      <c r="S18" s="1254"/>
      <c r="T18" s="1249"/>
      <c r="U18" s="1249"/>
      <c r="V18" s="1249"/>
      <c r="W18" s="1248"/>
      <c r="X18" s="1248"/>
      <c r="Y18" s="1248"/>
      <c r="Z18" s="1255"/>
      <c r="AA18" s="1255"/>
      <c r="AB18" s="1255"/>
      <c r="AC18" s="1255"/>
      <c r="AD18" s="1255"/>
      <c r="AE18" s="1249"/>
      <c r="AF18" s="1249"/>
      <c r="AG18" s="2303"/>
      <c r="AH18" s="2303"/>
      <c r="AI18" s="2303"/>
      <c r="AJ18" s="2981"/>
    </row>
    <row r="19" spans="1:37" s="2165" customFormat="1" ht="27.75" thickBot="1">
      <c r="A19" s="2209" t="s">
        <v>809</v>
      </c>
      <c r="B19" s="2210" t="s">
        <v>2650</v>
      </c>
      <c r="C19" s="859" t="e">
        <f>ROUND(IF(H19="按公示增长率计算",SUMPRODUCT((地价!A3:A37=YEAR(G19)&amp;"-"&amp;ROUNDUP(MONTH(G19)/3,0))*(地价!X2:AB2=E2)*(地价!X3:AB37)),IF(H19="地价指数",M20/M19,(1+I19)^O19)),4)</f>
        <v>#VALUE!</v>
      </c>
      <c r="D19" s="2214" t="s">
        <v>2651</v>
      </c>
      <c r="E19" s="860">
        <v>41640</v>
      </c>
      <c r="F19" s="2214" t="s">
        <v>2652</v>
      </c>
      <c r="G19" s="861">
        <f>'数据-取费表'!B2</f>
        <v>44652</v>
      </c>
      <c r="H19" s="2215"/>
      <c r="I19" s="862" t="str">
        <f>IF(H19="季度增幅（自定义）",SUMIF(N21:N24,E2,O21:O24),"")</f>
        <v/>
      </c>
      <c r="J19" s="2212"/>
      <c r="K19" s="1255"/>
      <c r="L19" s="2216" t="s">
        <v>2653</v>
      </c>
      <c r="M19" s="1464">
        <f>ROUND(SUMIF(地价!B2:F2,E2,地价!B37:F37),0)</f>
        <v>0</v>
      </c>
      <c r="N19" s="2217" t="s">
        <v>2654</v>
      </c>
      <c r="O19" s="863">
        <f>ROUNDDOWN(DATEDIF(E19,G19,"M")/3,0)</f>
        <v>33</v>
      </c>
      <c r="P19" s="1252"/>
      <c r="Q19" s="1254"/>
      <c r="R19" s="1254"/>
      <c r="S19" s="1254"/>
      <c r="T19" s="1249"/>
      <c r="U19" s="1249"/>
      <c r="V19" s="1249"/>
      <c r="W19" s="1248"/>
      <c r="X19" s="1248"/>
      <c r="Y19" s="1248"/>
      <c r="Z19" s="1255"/>
      <c r="AA19" s="1255"/>
      <c r="AB19" s="1255"/>
      <c r="AC19" s="1255"/>
      <c r="AD19" s="1255"/>
      <c r="AE19" s="1255"/>
      <c r="AF19" s="1254"/>
      <c r="AG19" s="2984"/>
      <c r="AH19" s="2303"/>
      <c r="AI19" s="2985"/>
      <c r="AJ19" s="2985"/>
      <c r="AK19" s="2218"/>
    </row>
    <row r="20" spans="1:37" s="2165" customFormat="1" ht="27.75" thickBot="1">
      <c r="A20" s="2219" t="s">
        <v>810</v>
      </c>
      <c r="B20" s="2220" t="s">
        <v>2655</v>
      </c>
      <c r="C20" s="864" t="e">
        <f>ROUND(POWER(1+G20,J20-I20)*(POWER(1+G20,I20)-1)/(POWER(1+G20,J20)-1),4)</f>
        <v>#DIV/0!</v>
      </c>
      <c r="D20" s="2221" t="s">
        <v>2656</v>
      </c>
      <c r="E20" s="1471">
        <f>存贷款利率!E20/100</f>
        <v>4.3499999999999997E-2</v>
      </c>
      <c r="F20" s="2221" t="s">
        <v>2648</v>
      </c>
      <c r="G20" s="869">
        <f>SUMIF(M26:P26,E2,M28:P28)</f>
        <v>0</v>
      </c>
      <c r="H20" s="2221" t="s">
        <v>2657</v>
      </c>
      <c r="I20" s="870" t="e">
        <f>SUMIF('数据-取费表'!C6:C15,E2,'数据-取费表'!F6:F15)/COUNTIF('数据-取费表'!C6:C15,E2)</f>
        <v>#DIV/0!</v>
      </c>
      <c r="J20" s="871">
        <f>IF(E2="住宅",70,IF(E2="商业",40,50))</f>
        <v>50</v>
      </c>
      <c r="K20" s="1255"/>
      <c r="L20" s="2222" t="s">
        <v>2658</v>
      </c>
      <c r="M20" s="1465">
        <f>ROUND(SUMPRODUCT((地价!A4:A37=YEAR(G19)&amp;"-"&amp;ROUNDUP(MONTH(G19)/3,0))*(地价!B2:F2=E2)*(地价!B4:F37)),0)</f>
        <v>0</v>
      </c>
      <c r="N20" s="2223" t="s">
        <v>2659</v>
      </c>
      <c r="O20" s="2224" t="s">
        <v>2660</v>
      </c>
      <c r="P20" s="2225" t="s">
        <v>2661</v>
      </c>
      <c r="Q20" s="2981"/>
      <c r="R20" s="1254"/>
      <c r="S20" s="1254"/>
      <c r="T20" s="1249"/>
      <c r="U20" s="1249"/>
      <c r="V20" s="1249"/>
      <c r="W20" s="1248"/>
      <c r="X20" s="1248"/>
      <c r="Y20" s="1248"/>
      <c r="Z20" s="1255"/>
      <c r="AA20" s="1255"/>
      <c r="AB20" s="1255"/>
      <c r="AC20" s="1255"/>
      <c r="AD20" s="1255"/>
      <c r="AE20" s="1255"/>
      <c r="AF20" s="1255"/>
      <c r="AG20" s="2981"/>
      <c r="AH20" s="2981"/>
      <c r="AI20" s="2981"/>
      <c r="AJ20" s="2981"/>
    </row>
    <row r="21" spans="1:37" s="2165" customFormat="1" ht="15">
      <c r="A21" s="2226" t="s">
        <v>811</v>
      </c>
      <c r="B21" s="2227" t="s">
        <v>2662</v>
      </c>
      <c r="C21" s="872">
        <f>IF(B21="容积率修正",IF(G3&lt;=10,D22,J22),C23)</f>
        <v>0</v>
      </c>
      <c r="D21" s="2228"/>
      <c r="E21" s="2228"/>
      <c r="F21" s="2228"/>
      <c r="G21" s="2228"/>
      <c r="H21" s="2228"/>
      <c r="I21" s="2228"/>
      <c r="J21" s="2229"/>
      <c r="K21" s="1255"/>
      <c r="L21" s="2981"/>
      <c r="M21" s="2981"/>
      <c r="N21" s="2230" t="s">
        <v>2663</v>
      </c>
      <c r="O21" s="1303"/>
      <c r="P21" s="1304">
        <f>SUMPRODUCT((地价!A3:A37=YEAR(G19)&amp;"-"&amp;ROUNDUP(MONTH(G19)/3,0))*(地价!AD2:AH2=N21)*(地价!AD3:AH37))</f>
        <v>0</v>
      </c>
      <c r="Q21" s="2981"/>
      <c r="R21" s="1254"/>
      <c r="S21" s="1254"/>
      <c r="T21" s="1249"/>
      <c r="U21" s="1249"/>
      <c r="V21" s="1249"/>
      <c r="W21" s="1248"/>
      <c r="X21" s="1248"/>
      <c r="Y21" s="1248"/>
      <c r="Z21" s="1255"/>
      <c r="AA21" s="1255"/>
      <c r="AB21" s="1255"/>
      <c r="AC21" s="1255"/>
      <c r="AD21" s="1255"/>
      <c r="AE21" s="1255"/>
      <c r="AF21" s="1255"/>
      <c r="AG21" s="2981"/>
      <c r="AH21" s="2981"/>
      <c r="AI21" s="2981"/>
      <c r="AJ21" s="2981"/>
    </row>
    <row r="22" spans="1:37" s="2165" customFormat="1" ht="14.25">
      <c r="A22" s="2104" t="s">
        <v>2664</v>
      </c>
      <c r="B22" s="2231" t="s">
        <v>2665</v>
      </c>
      <c r="C22" s="1502" t="s">
        <v>2666</v>
      </c>
      <c r="D22" s="1502">
        <f>IF(E22=G22,F22,IF(G3&lt;=10,ROUND(F22+(H22-F22)*(G3-E22)/(G22-E22),4),"——"))</f>
        <v>0</v>
      </c>
      <c r="E22" s="851">
        <f>ROUNDDOWN(G3,1)</f>
        <v>4.0999999999999996</v>
      </c>
      <c r="F22" s="15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4.1999999999999993</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2" t="s">
        <v>155</v>
      </c>
      <c r="J22" s="873" t="str">
        <f>IF(G3&gt;10,D113,"——")</f>
        <v>——</v>
      </c>
      <c r="K22" s="1255"/>
      <c r="L22" s="2981"/>
      <c r="M22" s="2981"/>
      <c r="N22" s="2230" t="s">
        <v>2667</v>
      </c>
      <c r="O22" s="1303"/>
      <c r="P22" s="1304">
        <f>SUMPRODUCT((地价!A3:A37=YEAR(G19)&amp;"-"&amp;ROUNDUP(MONTH(G19)/3,0))*(地价!AD2:AH2=N22)*(地价!AD3:AH37))</f>
        <v>0</v>
      </c>
      <c r="Q22" s="2981"/>
      <c r="R22" s="1254"/>
      <c r="S22" s="1254"/>
      <c r="T22" s="1249"/>
      <c r="U22" s="1249"/>
      <c r="V22" s="1249"/>
      <c r="W22" s="1248"/>
      <c r="X22" s="1248"/>
      <c r="Y22" s="1248"/>
      <c r="Z22" s="1255"/>
      <c r="AA22" s="1255"/>
      <c r="AB22" s="1255"/>
      <c r="AC22" s="1255"/>
      <c r="AD22" s="1255"/>
      <c r="AE22" s="1255"/>
      <c r="AF22" s="1255"/>
      <c r="AG22" s="2981"/>
      <c r="AH22" s="2981"/>
      <c r="AI22" s="2981"/>
      <c r="AJ22" s="2981"/>
    </row>
    <row r="23" spans="1:37" ht="27.75" thickBot="1">
      <c r="A23" s="2104" t="s">
        <v>2668</v>
      </c>
      <c r="B23" s="2232" t="s">
        <v>2669</v>
      </c>
      <c r="C23" s="946">
        <f>ROUND(IF(G3&gt;1,IF(I3&lt;7,SUMPRODUCT((B93:B98=I3)*(C92:N92=G2)*(C93:N98)),SUMIF(C92:N92,G2,C100:N100)),IF(I3&lt;7,SUMPRODUCT((B102:B107=I3)*(C92:N92=G2)*(C102:N107)),SUMIF(C92:N92,G2,C109:N109))),4)</f>
        <v>0</v>
      </c>
      <c r="D23" s="2200"/>
      <c r="E23" s="2200"/>
      <c r="F23" s="2233"/>
      <c r="G23" s="2234"/>
      <c r="H23" s="2235"/>
      <c r="I23" s="2236"/>
      <c r="J23" s="2237"/>
      <c r="K23" s="1248"/>
      <c r="L23" s="2146"/>
      <c r="M23" s="2146"/>
      <c r="N23" s="2230" t="s">
        <v>2670</v>
      </c>
      <c r="O23" s="1303"/>
      <c r="P23" s="1304">
        <f>SUMPRODUCT((地价!A3:A37=YEAR(G19)&amp;"-"&amp;ROUNDUP(MONTH(G19)/3,0))*(地价!AD2:AH2=N23)*(地价!AD3:AH37))</f>
        <v>0</v>
      </c>
      <c r="Q23" s="2146"/>
      <c r="R23" s="1254"/>
      <c r="S23" s="1254"/>
      <c r="T23" s="1249"/>
      <c r="U23" s="1249"/>
      <c r="V23" s="1249"/>
      <c r="W23" s="1248"/>
      <c r="X23" s="1248"/>
      <c r="Y23" s="1248"/>
      <c r="Z23" s="1255"/>
      <c r="AA23" s="1255"/>
      <c r="AB23" s="1255"/>
      <c r="AC23" s="1255"/>
      <c r="AD23" s="1255"/>
      <c r="AE23" s="1249"/>
      <c r="AF23" s="1249"/>
      <c r="AG23" s="2303"/>
      <c r="AH23" s="2303"/>
      <c r="AI23" s="2303"/>
      <c r="AJ23" s="2303"/>
      <c r="AK23" s="2213"/>
    </row>
    <row r="24" spans="1:37" s="2165" customFormat="1" ht="15.75" thickBot="1">
      <c r="A24" s="2219" t="s">
        <v>812</v>
      </c>
      <c r="B24" s="2210" t="s">
        <v>2671</v>
      </c>
      <c r="C24" s="859">
        <f>SUMIF(A45:A88,E2,B45:B88)</f>
        <v>0</v>
      </c>
      <c r="D24" s="2211"/>
      <c r="E24" s="2238"/>
      <c r="F24" s="2238"/>
      <c r="G24" s="2238"/>
      <c r="H24" s="2238"/>
      <c r="I24" s="2238"/>
      <c r="J24" s="2239"/>
      <c r="K24" s="1255"/>
      <c r="L24" s="2981"/>
      <c r="M24" s="2981"/>
      <c r="N24" s="2240" t="s">
        <v>2672</v>
      </c>
      <c r="O24" s="1305"/>
      <c r="P24" s="1306">
        <f>SUMPRODUCT((地价!A3:A37=YEAR(G19)&amp;"-"&amp;ROUNDUP(MONTH(G19)/3,0))*(地价!AD2:AH2=N24)*(地价!AD3:AH37))</f>
        <v>0</v>
      </c>
      <c r="Q24" s="2981"/>
      <c r="R24" s="1254"/>
      <c r="S24" s="1254"/>
      <c r="T24" s="1249"/>
      <c r="U24" s="1249"/>
      <c r="V24" s="1249"/>
      <c r="W24" s="1248"/>
      <c r="X24" s="1248"/>
      <c r="Y24" s="1248"/>
      <c r="Z24" s="1255"/>
      <c r="AA24" s="1255"/>
      <c r="AB24" s="1255"/>
      <c r="AC24" s="1255"/>
      <c r="AD24" s="1255"/>
      <c r="AE24" s="1255"/>
      <c r="AF24" s="1255"/>
      <c r="AG24" s="2981"/>
      <c r="AH24" s="2981"/>
      <c r="AI24" s="2981"/>
      <c r="AJ24" s="2981"/>
    </row>
    <row r="25" spans="1:37" ht="15.75" thickBot="1">
      <c r="A25" s="2219" t="s">
        <v>813</v>
      </c>
      <c r="B25" s="2241" t="s">
        <v>2673</v>
      </c>
      <c r="C25" s="865"/>
      <c r="D25" s="2175"/>
      <c r="E25" s="2175"/>
      <c r="F25" s="2242"/>
      <c r="G25" s="2175"/>
      <c r="H25" s="2175"/>
      <c r="I25" s="2175"/>
      <c r="J25" s="2176"/>
      <c r="K25" s="1248"/>
      <c r="L25" s="2146"/>
      <c r="M25" s="2146"/>
      <c r="N25" s="2976" t="s">
        <v>2674</v>
      </c>
      <c r="O25" s="2977"/>
      <c r="P25" s="2978">
        <f>SUMPRODUCT((地价!A3:A37=YEAR(G19)&amp;"-"&amp;ROUNDUP(MONTH(G19)/3,0))*(地价!AD2:AH2=N25)*(地价!AD3:AH37))</f>
        <v>0</v>
      </c>
      <c r="Q25" s="2146"/>
      <c r="R25" s="1254"/>
      <c r="S25" s="1254"/>
      <c r="T25" s="1249"/>
      <c r="U25" s="1249"/>
      <c r="V25" s="1249"/>
      <c r="W25" s="1248"/>
      <c r="X25" s="1248"/>
      <c r="Y25" s="1248"/>
      <c r="Z25" s="1255"/>
      <c r="AA25" s="1255"/>
      <c r="AB25" s="1255"/>
      <c r="AC25" s="1255"/>
      <c r="AD25" s="1255"/>
      <c r="AE25" s="1249"/>
      <c r="AF25" s="1249"/>
      <c r="AG25" s="2303"/>
      <c r="AH25" s="2303"/>
      <c r="AI25" s="2303"/>
      <c r="AJ25" s="2303"/>
    </row>
    <row r="26" spans="1:37" ht="15">
      <c r="A26" s="2243"/>
      <c r="B26" s="2231" t="s">
        <v>2675</v>
      </c>
      <c r="C26" s="2505" t="e">
        <f>IF(B21="容积率修正",E29+SUM(E33:E39),SUM(V2:V16)+SUM(E33:E39))</f>
        <v>#DIV/0!</v>
      </c>
      <c r="D26" s="2244"/>
      <c r="E26" s="2200"/>
      <c r="F26" s="2245"/>
      <c r="G26" s="2200"/>
      <c r="H26" s="2200"/>
      <c r="I26" s="2200"/>
      <c r="J26" s="2246"/>
      <c r="K26" s="1248"/>
      <c r="L26" s="2979" t="s">
        <v>2573</v>
      </c>
      <c r="M26" s="2173" t="s">
        <v>2638</v>
      </c>
      <c r="N26" s="2173" t="s">
        <v>2639</v>
      </c>
      <c r="O26" s="2173" t="s">
        <v>2640</v>
      </c>
      <c r="P26" s="2980" t="s">
        <v>2641</v>
      </c>
      <c r="Q26" s="2146"/>
      <c r="R26" s="1254"/>
      <c r="S26" s="1254"/>
      <c r="T26" s="1249"/>
      <c r="U26" s="1249"/>
      <c r="V26" s="1249"/>
      <c r="W26" s="1248"/>
      <c r="X26" s="1248"/>
      <c r="Y26" s="1248"/>
      <c r="Z26" s="1255"/>
      <c r="AA26" s="1255"/>
      <c r="AB26" s="1255"/>
      <c r="AC26" s="1255"/>
      <c r="AD26" s="1255"/>
      <c r="AE26" s="1249"/>
      <c r="AF26" s="1249"/>
      <c r="AG26" s="2303"/>
      <c r="AH26" s="2303"/>
      <c r="AI26" s="2303"/>
      <c r="AJ26" s="2303"/>
    </row>
    <row r="27" spans="1:37" ht="15.75" thickBot="1">
      <c r="A27" s="2243"/>
      <c r="B27" s="2247" t="s">
        <v>2676</v>
      </c>
      <c r="C27" s="866" t="e">
        <f>E30+SUM(I33:I39)</f>
        <v>#DIV/0!</v>
      </c>
      <c r="D27" s="2248"/>
      <c r="E27" s="2249"/>
      <c r="F27" s="2250"/>
      <c r="G27" s="2249"/>
      <c r="H27" s="2249"/>
      <c r="I27" s="2249"/>
      <c r="J27" s="2251"/>
      <c r="K27" s="1248"/>
      <c r="L27" s="2206" t="s">
        <v>2645</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3"/>
      <c r="AH27" s="2303"/>
      <c r="AI27" s="2303"/>
      <c r="AJ27" s="2303"/>
    </row>
    <row r="28" spans="1:37" ht="15.75" thickBot="1">
      <c r="A28" s="2252"/>
      <c r="B28" s="2253" t="s">
        <v>2677</v>
      </c>
      <c r="C28" s="2254" t="s">
        <v>2678</v>
      </c>
      <c r="D28" s="2254" t="s">
        <v>2679</v>
      </c>
      <c r="E28" s="2255" t="s">
        <v>2680</v>
      </c>
      <c r="F28" s="2256"/>
      <c r="G28" s="2188"/>
      <c r="H28" s="2188"/>
      <c r="I28" s="2188"/>
      <c r="J28" s="2189"/>
      <c r="K28" s="1248"/>
      <c r="L28" s="2207" t="s">
        <v>2648</v>
      </c>
      <c r="M28" s="183">
        <f>ROUND($E$20*(1+M27),3)</f>
        <v>5.3999999999999999E-2</v>
      </c>
      <c r="N28" s="183">
        <f>ROUND($E$20*(1+N27),3)</f>
        <v>5.1999999999999998E-2</v>
      </c>
      <c r="O28" s="183">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3"/>
      <c r="AH28" s="2303"/>
      <c r="AI28" s="2303"/>
      <c r="AJ28" s="2303"/>
    </row>
    <row r="29" spans="1:37" ht="22.5" customHeight="1">
      <c r="A29" s="2257"/>
      <c r="B29" s="2258" t="s">
        <v>2681</v>
      </c>
      <c r="C29" s="180" t="e">
        <f>ROUND(C5*C18*C19*C20*C21*C24,0)</f>
        <v>#DIV/0!</v>
      </c>
      <c r="D29" s="2259"/>
      <c r="E29" s="875" t="e">
        <f>ROUND(C29*D29/10000,0)</f>
        <v>#DIV/0!</v>
      </c>
      <c r="F29" s="2260" t="s">
        <v>2682</v>
      </c>
      <c r="G29" s="2261"/>
      <c r="H29" s="2261"/>
      <c r="I29" s="2261"/>
      <c r="J29" s="2262"/>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6"/>
      <c r="AH29" s="2146"/>
      <c r="AI29" s="2146"/>
      <c r="AJ29" s="2146"/>
    </row>
    <row r="30" spans="1:37" ht="25.5" thickBot="1">
      <c r="A30" s="2263"/>
      <c r="B30" s="2264" t="s">
        <v>2683</v>
      </c>
      <c r="C30" s="193" t="e">
        <f>ROUND(IF(E2="工业",C29*M39,C29*M38),0)</f>
        <v>#DIV/0!</v>
      </c>
      <c r="D30" s="2265"/>
      <c r="E30" s="875" t="e">
        <f>ROUND(C30*D30/10000,0)</f>
        <v>#DIV/0!</v>
      </c>
      <c r="F30" s="2266" t="s">
        <v>2684</v>
      </c>
      <c r="G30" s="2267"/>
      <c r="H30" s="2267"/>
      <c r="I30" s="2267"/>
      <c r="J30" s="2268"/>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6"/>
      <c r="AH30" s="2146"/>
      <c r="AI30" s="2146"/>
      <c r="AJ30" s="2146"/>
    </row>
    <row r="31" spans="1:37" ht="14.25">
      <c r="A31" s="2269"/>
      <c r="B31" s="2270" t="s">
        <v>2685</v>
      </c>
      <c r="C31" s="2271" t="s">
        <v>2686</v>
      </c>
      <c r="D31" s="2188"/>
      <c r="E31" s="2271"/>
      <c r="F31" s="2271"/>
      <c r="G31" s="2186" t="s">
        <v>2687</v>
      </c>
      <c r="H31" s="2188"/>
      <c r="I31" s="2272"/>
      <c r="J31" s="2189"/>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6"/>
      <c r="AH31" s="2146"/>
      <c r="AI31" s="2146"/>
      <c r="AJ31" s="2146"/>
    </row>
    <row r="32" spans="1:37" ht="24">
      <c r="A32" s="2257"/>
      <c r="B32" s="2273"/>
      <c r="C32" s="458" t="s">
        <v>2678</v>
      </c>
      <c r="D32" s="455" t="s">
        <v>2679</v>
      </c>
      <c r="E32" s="455" t="s">
        <v>2680</v>
      </c>
      <c r="F32" s="348" t="s">
        <v>2688</v>
      </c>
      <c r="G32" s="2274" t="s">
        <v>2678</v>
      </c>
      <c r="H32" s="2274" t="s">
        <v>2679</v>
      </c>
      <c r="I32" s="2274" t="s">
        <v>2680</v>
      </c>
      <c r="J32" s="249"/>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6"/>
      <c r="AH32" s="2146"/>
      <c r="AI32" s="2146"/>
      <c r="AJ32" s="2146"/>
    </row>
    <row r="33" spans="1:37" ht="36" customHeight="1">
      <c r="A33" s="3826"/>
      <c r="B33" s="2275" t="s">
        <v>2689</v>
      </c>
      <c r="C33" s="180" t="e">
        <f>ROUND(D5*C19*C20*C24*F33,0)</f>
        <v>#DIV/0!</v>
      </c>
      <c r="D33" s="2259"/>
      <c r="E33" s="176" t="e">
        <f>ROUND(C33*D33/10000,0)</f>
        <v>#DIV/0!</v>
      </c>
      <c r="F33" s="176">
        <f>SUMIF(修正!A45:A56,G2,修正!B45:B56)</f>
        <v>0</v>
      </c>
      <c r="G33" s="176" t="e">
        <f t="shared" ref="G33" si="6">ROUND(IF(E2="工业",C33*$M$39,C33*$M$38),0)</f>
        <v>#DIV/0!</v>
      </c>
      <c r="H33" s="176">
        <f>D33</f>
        <v>0</v>
      </c>
      <c r="I33" s="176" t="e">
        <f>ROUND(G33*H33/10000,0)</f>
        <v>#DIV/0!</v>
      </c>
      <c r="J33" s="3831" t="s">
        <v>2993</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3"/>
      <c r="AH33" s="2303"/>
      <c r="AI33" s="2303"/>
      <c r="AJ33" s="2303"/>
    </row>
    <row r="34" spans="1:37" ht="14.25">
      <c r="A34" s="3827"/>
      <c r="B34" s="2192" t="s">
        <v>2690</v>
      </c>
      <c r="C34" s="180" t="e">
        <f>ROUND(D5*C19*C20*C24*F34,0)</f>
        <v>#DIV/0!</v>
      </c>
      <c r="D34" s="2259"/>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827"/>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3"/>
      <c r="AH34" s="2303"/>
      <c r="AI34" s="2303"/>
      <c r="AJ34" s="2303"/>
    </row>
    <row r="35" spans="1:37">
      <c r="A35" s="3827"/>
      <c r="B35" s="2192" t="s">
        <v>2691</v>
      </c>
      <c r="C35" s="180" t="e">
        <f>ROUND(D5*C19*C20*C24*F35,0)</f>
        <v>#DIV/0!</v>
      </c>
      <c r="D35" s="2259"/>
      <c r="E35" s="176" t="e">
        <f t="shared" si="7"/>
        <v>#DIV/0!</v>
      </c>
      <c r="F35" s="176">
        <f>SUMIF(修正!A45:A56,G2,修正!D45:D56)</f>
        <v>0</v>
      </c>
      <c r="G35" s="176" t="e">
        <f>ROUND(IF(E2="工业",C35*$M$39,C35*$M$38),0)</f>
        <v>#DIV/0!</v>
      </c>
      <c r="H35" s="176">
        <f t="shared" si="8"/>
        <v>0</v>
      </c>
      <c r="I35" s="176" t="e">
        <f t="shared" si="9"/>
        <v>#DIV/0!</v>
      </c>
      <c r="J35" s="3827"/>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3"/>
      <c r="AH35" s="2303"/>
      <c r="AI35" s="2303"/>
      <c r="AJ35" s="2303"/>
    </row>
    <row r="36" spans="1:37" ht="13.5" thickBot="1">
      <c r="A36" s="3828"/>
      <c r="B36" s="2192" t="s">
        <v>2692</v>
      </c>
      <c r="C36" s="180" t="e">
        <f>ROUND(D5*C19*C20*C24*F36,0)</f>
        <v>#DIV/0!</v>
      </c>
      <c r="D36" s="2259"/>
      <c r="E36" s="176" t="e">
        <f t="shared" si="7"/>
        <v>#DIV/0!</v>
      </c>
      <c r="F36" s="176">
        <f>SUMIF(修正!A45:A56,G2,修正!E45:E56)</f>
        <v>0</v>
      </c>
      <c r="G36" s="176" t="e">
        <f>ROUND(IF(E2="工业",C36*$M$39,C36*$M$38),0)</f>
        <v>#DIV/0!</v>
      </c>
      <c r="H36" s="176">
        <f t="shared" si="8"/>
        <v>0</v>
      </c>
      <c r="I36" s="176" t="e">
        <f t="shared" si="9"/>
        <v>#DIV/0!</v>
      </c>
      <c r="J36" s="3828"/>
      <c r="K36" s="1248"/>
      <c r="L36" s="2146"/>
      <c r="M36" s="2146"/>
      <c r="N36" s="1248"/>
      <c r="O36" s="1248"/>
      <c r="P36" s="1248"/>
      <c r="Q36" s="1248"/>
      <c r="R36" s="1248"/>
      <c r="S36" s="1248"/>
      <c r="T36" s="1248"/>
      <c r="U36" s="1248"/>
      <c r="V36" s="1248"/>
      <c r="W36" s="1248"/>
      <c r="X36" s="1248"/>
      <c r="Y36" s="1248"/>
      <c r="Z36" s="1249"/>
      <c r="AA36" s="1249"/>
      <c r="AB36" s="1249"/>
      <c r="AC36" s="1249"/>
      <c r="AD36" s="1249"/>
      <c r="AE36" s="1249"/>
      <c r="AF36" s="1249"/>
      <c r="AG36" s="2303"/>
      <c r="AH36" s="2303"/>
      <c r="AI36" s="2303"/>
      <c r="AJ36" s="2303"/>
    </row>
    <row r="37" spans="1:37">
      <c r="A37" s="2277"/>
      <c r="B37" s="2192" t="s">
        <v>2693</v>
      </c>
      <c r="C37" s="176" t="e">
        <f>ROUND(D5*C19*C20*C24*F37,0)</f>
        <v>#DIV/0!</v>
      </c>
      <c r="D37" s="2259"/>
      <c r="E37" s="176" t="e">
        <f t="shared" si="7"/>
        <v>#DIV/0!</v>
      </c>
      <c r="F37" s="180">
        <f>SUMIF(修正!A45:A56,G2,修正!F45:F56)</f>
        <v>0</v>
      </c>
      <c r="G37" s="176" t="e">
        <f>ROUND(IF(E2="工业",C37*$M$39,C37*$M$38),0)</f>
        <v>#DIV/0!</v>
      </c>
      <c r="H37" s="176">
        <f t="shared" si="8"/>
        <v>0</v>
      </c>
      <c r="I37" s="176" t="e">
        <f t="shared" si="9"/>
        <v>#DIV/0!</v>
      </c>
      <c r="J37" s="2276"/>
      <c r="K37" s="1248"/>
      <c r="L37" s="2278" t="s">
        <v>2694</v>
      </c>
      <c r="M37" s="2279"/>
      <c r="N37" s="1248"/>
      <c r="O37" s="1248"/>
      <c r="P37" s="1248"/>
      <c r="Q37" s="1248"/>
      <c r="R37" s="1248"/>
      <c r="S37" s="1248"/>
      <c r="T37" s="1248"/>
      <c r="U37" s="1248"/>
      <c r="V37" s="1248"/>
      <c r="W37" s="1248"/>
      <c r="X37" s="1248"/>
      <c r="Y37" s="1248"/>
      <c r="Z37" s="1249"/>
      <c r="AA37" s="1249"/>
      <c r="AB37" s="1249"/>
      <c r="AC37" s="1249"/>
      <c r="AD37" s="1249"/>
      <c r="AE37" s="1249"/>
      <c r="AF37" s="1249"/>
      <c r="AG37" s="2303"/>
      <c r="AH37" s="2303"/>
      <c r="AI37" s="2303"/>
      <c r="AJ37" s="2303"/>
    </row>
    <row r="38" spans="1:37">
      <c r="A38" s="2277"/>
      <c r="B38" s="2192" t="s">
        <v>2695</v>
      </c>
      <c r="C38" s="176" t="e">
        <f>ROUND(D5*C19*C41*C24*F38,0)</f>
        <v>#DIV/0!</v>
      </c>
      <c r="D38" s="2259"/>
      <c r="E38" s="176" t="e">
        <f t="shared" si="7"/>
        <v>#DIV/0!</v>
      </c>
      <c r="F38" s="180">
        <f>SUMIF(修正!A45:A56,G2,修正!G45:G56)</f>
        <v>0</v>
      </c>
      <c r="G38" s="176" t="e">
        <f>ROUND(IF(E2="工业",C38*$M$39,C38*$M$38),0)</f>
        <v>#DIV/0!</v>
      </c>
      <c r="H38" s="176">
        <f t="shared" si="8"/>
        <v>0</v>
      </c>
      <c r="I38" s="176" t="e">
        <f t="shared" si="9"/>
        <v>#DIV/0!</v>
      </c>
      <c r="J38" s="2276"/>
      <c r="K38" s="1248"/>
      <c r="L38" s="1571" t="s">
        <v>2696</v>
      </c>
      <c r="M38" s="2280">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3"/>
      <c r="B39" s="2281" t="s">
        <v>2697</v>
      </c>
      <c r="C39" s="193" t="e">
        <f>ROUND(D5*C19*C41*C24*F39,0)</f>
        <v>#DIV/0!</v>
      </c>
      <c r="D39" s="2265"/>
      <c r="E39" s="193" t="e">
        <f t="shared" si="7"/>
        <v>#DIV/0!</v>
      </c>
      <c r="F39" s="867">
        <f>SUMIF(修正!A45:A56,G2,修正!H45:H56)</f>
        <v>0</v>
      </c>
      <c r="G39" s="193" t="e">
        <f>ROUND(IF(E2="工业",C39*$M$39,C39*$M$38),0)</f>
        <v>#DIV/0!</v>
      </c>
      <c r="H39" s="193">
        <f t="shared" si="8"/>
        <v>0</v>
      </c>
      <c r="I39" s="193" t="e">
        <f t="shared" si="9"/>
        <v>#DIV/0!</v>
      </c>
      <c r="J39" s="2282"/>
      <c r="K39" s="1248"/>
      <c r="L39" s="2283" t="s">
        <v>2641</v>
      </c>
      <c r="M39" s="2284">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3" t="s">
        <v>2802</v>
      </c>
      <c r="C41" s="348" t="e">
        <f>ROUND(POWER(1+E41,H41-G41)*(POWER(1+E41,G41)-1)/(POWER(1+E41,H41)-1),4)</f>
        <v>#DIV/0!</v>
      </c>
      <c r="D41" s="176" t="s">
        <v>2648</v>
      </c>
      <c r="E41" s="2332">
        <f>G20</f>
        <v>0</v>
      </c>
      <c r="F41" s="176" t="s">
        <v>2657</v>
      </c>
      <c r="G41" s="189"/>
      <c r="H41" s="176">
        <v>50</v>
      </c>
      <c r="Z41" s="1249"/>
      <c r="AA41" s="1249"/>
      <c r="AB41" s="1249"/>
      <c r="AC41" s="1249"/>
      <c r="AD41" s="1249"/>
      <c r="AE41" s="1249"/>
      <c r="AF41" s="1249"/>
      <c r="AG41" s="1249"/>
      <c r="AH41" s="1249"/>
      <c r="AI41" s="1249"/>
      <c r="AJ41" s="1249"/>
    </row>
    <row r="42" spans="1:37" s="1248" customFormat="1">
      <c r="A42" s="1249"/>
      <c r="B42" s="2285"/>
      <c r="Z42" s="1249"/>
      <c r="AA42" s="1249"/>
      <c r="AB42" s="1249"/>
      <c r="AC42" s="1249"/>
      <c r="AD42" s="1249"/>
      <c r="AE42" s="1249"/>
      <c r="AF42" s="1249"/>
      <c r="AG42" s="1249"/>
      <c r="AH42" s="1249"/>
      <c r="AI42" s="1249"/>
      <c r="AJ42" s="1249"/>
    </row>
    <row r="43" spans="1:37" s="1248" customFormat="1">
      <c r="A43" s="1249"/>
      <c r="B43" s="2285"/>
      <c r="Z43" s="1249"/>
      <c r="AA43" s="1249"/>
      <c r="AB43" s="1249"/>
      <c r="AC43" s="1249"/>
      <c r="AD43" s="1249"/>
      <c r="AE43" s="1249"/>
      <c r="AF43" s="1249"/>
      <c r="AG43" s="1249"/>
      <c r="AH43" s="1249"/>
      <c r="AI43" s="1249"/>
      <c r="AJ43" s="1249"/>
    </row>
    <row r="44" spans="1:37" s="1248" customFormat="1">
      <c r="A44" s="1249"/>
      <c r="B44" s="2285"/>
      <c r="Z44" s="1249"/>
      <c r="AA44" s="1249"/>
      <c r="AB44" s="1249"/>
      <c r="AC44" s="1249"/>
      <c r="AD44" s="1249"/>
      <c r="AE44" s="1249"/>
      <c r="AF44" s="1249"/>
      <c r="AG44" s="1249"/>
      <c r="AH44" s="1249"/>
      <c r="AI44" s="1249"/>
      <c r="AJ44" s="1249"/>
    </row>
    <row r="45" spans="1:37" s="1248" customFormat="1" ht="15.75" thickBot="1">
      <c r="A45" s="2286" t="s">
        <v>2698</v>
      </c>
      <c r="B45" s="2287"/>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88" t="s">
        <v>2699</v>
      </c>
      <c r="B46" s="2289">
        <f>1+E48</f>
        <v>1</v>
      </c>
      <c r="C46" s="2290"/>
      <c r="D46" s="749"/>
      <c r="E46" s="750"/>
      <c r="F46" s="2291"/>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2" t="s">
        <v>2700</v>
      </c>
      <c r="B47" s="1501" t="s">
        <v>2701</v>
      </c>
      <c r="C47" s="1501" t="s">
        <v>2702</v>
      </c>
      <c r="D47" s="1501" t="s">
        <v>2703</v>
      </c>
      <c r="E47" s="754" t="s">
        <v>2704</v>
      </c>
      <c r="F47" s="2293" t="s">
        <v>2705</v>
      </c>
      <c r="G47" s="1501" t="s">
        <v>754</v>
      </c>
      <c r="H47" s="2294" t="s">
        <v>2706</v>
      </c>
      <c r="I47" s="1501" t="s">
        <v>2707</v>
      </c>
      <c r="J47" s="560" t="s">
        <v>2356</v>
      </c>
      <c r="K47" s="560" t="s">
        <v>2357</v>
      </c>
      <c r="L47" s="560" t="s">
        <v>2358</v>
      </c>
      <c r="M47" s="560" t="s">
        <v>2359</v>
      </c>
      <c r="N47" s="560" t="s">
        <v>2360</v>
      </c>
      <c r="AA47" s="1249"/>
      <c r="AB47" s="1249"/>
      <c r="AC47" s="1249"/>
      <c r="AD47" s="1249"/>
      <c r="AE47" s="1249"/>
      <c r="AF47" s="1249"/>
      <c r="AG47" s="1249"/>
      <c r="AH47" s="1249"/>
      <c r="AI47" s="1249"/>
      <c r="AJ47" s="1249"/>
      <c r="AK47" s="1249"/>
    </row>
    <row r="48" spans="1:37" s="1248" customFormat="1" ht="38.25">
      <c r="A48" s="2292" t="s">
        <v>2708</v>
      </c>
      <c r="B48" s="2295" t="str">
        <f>估价对象房地状况!C4</f>
        <v>估价对象位于XX商圈，周边商业氛围成熟，人流量大，商业繁华度好</v>
      </c>
      <c r="C48" s="2197"/>
      <c r="D48" s="1192">
        <f t="shared" ref="D48:D56" si="10">SUMIF($J$47:$N$47,C48,J48:N48)</f>
        <v>0</v>
      </c>
      <c r="E48" s="756">
        <f>ROUND(SUM(D48:D56),4)</f>
        <v>0</v>
      </c>
      <c r="F48" s="1965"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114.75">
      <c r="A49" s="2292" t="s">
        <v>2709</v>
      </c>
      <c r="B49"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49" s="2197"/>
      <c r="D49" s="1192">
        <f t="shared" si="10"/>
        <v>0</v>
      </c>
      <c r="E49" s="757"/>
      <c r="F49" s="1965"/>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2" t="s">
        <v>2710</v>
      </c>
      <c r="B50" s="2296">
        <f>估价对象房地状况!C19</f>
        <v>0</v>
      </c>
      <c r="C50" s="2197"/>
      <c r="D50" s="1192">
        <f t="shared" si="10"/>
        <v>0</v>
      </c>
      <c r="E50" s="757"/>
      <c r="F50" s="1965"/>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36.75">
      <c r="A51" s="2292" t="s">
        <v>2711</v>
      </c>
      <c r="B51" s="2297" t="s">
        <v>2712</v>
      </c>
      <c r="C51" s="2197"/>
      <c r="D51" s="1192">
        <f t="shared" si="10"/>
        <v>0</v>
      </c>
      <c r="E51" s="757"/>
      <c r="F51" s="1965"/>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2" t="s">
        <v>2713</v>
      </c>
      <c r="B52" s="2296">
        <f>估价对象房地状况!C24</f>
        <v>0</v>
      </c>
      <c r="C52" s="2197"/>
      <c r="D52" s="1192">
        <f t="shared" si="10"/>
        <v>0</v>
      </c>
      <c r="E52" s="757"/>
      <c r="F52" s="1965"/>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24">
      <c r="A53" s="2292" t="s">
        <v>2714</v>
      </c>
      <c r="B53" s="2298" t="s">
        <v>2715</v>
      </c>
      <c r="C53" s="2197"/>
      <c r="D53" s="1192">
        <f t="shared" si="10"/>
        <v>0</v>
      </c>
      <c r="E53" s="757"/>
      <c r="F53" s="1965"/>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04">
      <c r="A54" s="2299" t="s">
        <v>2716</v>
      </c>
      <c r="B54"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4" s="2197"/>
      <c r="D54" s="1192">
        <f t="shared" si="10"/>
        <v>0</v>
      </c>
      <c r="E54" s="757"/>
      <c r="F54" s="1965"/>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5.5">
      <c r="A55" s="2299" t="s">
        <v>2717</v>
      </c>
      <c r="B55" s="2296" t="str">
        <f>估价对象房地状况!C22</f>
        <v>估价对象所在区域基础设施水平</v>
      </c>
      <c r="C55" s="2197"/>
      <c r="D55" s="1192">
        <f t="shared" si="10"/>
        <v>0</v>
      </c>
      <c r="E55" s="757"/>
      <c r="F55" s="1965"/>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77.25" thickBot="1">
      <c r="A56" s="2300" t="s">
        <v>2718</v>
      </c>
      <c r="B56" s="2301" t="str">
        <f>估价对象房地状况!C20</f>
        <v>自然环境有西湖园、社区文化公园等自然景观；人文环境无；距离北京首都国际机场1.5公里，机场噪音大，综合评价环境状况较差。</v>
      </c>
      <c r="C56" s="2197"/>
      <c r="D56" s="1192">
        <f t="shared" si="10"/>
        <v>0</v>
      </c>
      <c r="E56" s="760"/>
      <c r="F56" s="1965"/>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5">
      <c r="A57" s="2288" t="s">
        <v>2719</v>
      </c>
      <c r="B57" s="2289">
        <f>1+E59</f>
        <v>1</v>
      </c>
      <c r="C57" s="749"/>
      <c r="D57" s="749"/>
      <c r="E57" s="750"/>
      <c r="F57" s="2291"/>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2" t="s">
        <v>2700</v>
      </c>
      <c r="B58" s="1501"/>
      <c r="C58" s="1501" t="s">
        <v>2702</v>
      </c>
      <c r="D58" s="1501" t="s">
        <v>2703</v>
      </c>
      <c r="E58" s="754" t="s">
        <v>2704</v>
      </c>
      <c r="F58" s="2293" t="s">
        <v>2720</v>
      </c>
      <c r="G58" s="1501" t="s">
        <v>754</v>
      </c>
      <c r="H58" s="2294" t="s">
        <v>2706</v>
      </c>
      <c r="I58" s="1501" t="s">
        <v>2707</v>
      </c>
      <c r="J58" s="560" t="s">
        <v>2356</v>
      </c>
      <c r="K58" s="560" t="s">
        <v>2357</v>
      </c>
      <c r="L58" s="560" t="s">
        <v>2358</v>
      </c>
      <c r="M58" s="560" t="s">
        <v>2359</v>
      </c>
      <c r="N58" s="560" t="s">
        <v>2360</v>
      </c>
      <c r="AA58" s="1249"/>
      <c r="AB58" s="1249"/>
      <c r="AC58" s="1249"/>
      <c r="AD58" s="1249"/>
      <c r="AE58" s="1249"/>
      <c r="AF58" s="1249"/>
      <c r="AG58" s="1249"/>
      <c r="AH58" s="1249"/>
      <c r="AI58" s="1249"/>
      <c r="AJ58" s="1249"/>
      <c r="AK58" s="1249"/>
    </row>
    <row r="59" spans="1:37" s="1248" customFormat="1" ht="38.25">
      <c r="A59" s="2292" t="s">
        <v>2721</v>
      </c>
      <c r="B59" s="2295" t="str">
        <f>估价对象房地状况!C17</f>
        <v>估价对象位于XX商圈，周边办公楼项目较多，入驻率高，办公集聚程度较好</v>
      </c>
      <c r="C59" s="2197"/>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114.75">
      <c r="A60" s="2292" t="s">
        <v>2709</v>
      </c>
      <c r="B60"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0" s="2197"/>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2" t="s">
        <v>2710</v>
      </c>
      <c r="B61" s="2296">
        <f>估价对象房地状况!C19</f>
        <v>0</v>
      </c>
      <c r="C61" s="2197"/>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2" t="s">
        <v>2711</v>
      </c>
      <c r="B62" s="2297" t="s">
        <v>2712</v>
      </c>
      <c r="C62" s="2197"/>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2" t="s">
        <v>2713</v>
      </c>
      <c r="B63" s="2296">
        <f>估价对象房地状况!C24</f>
        <v>0</v>
      </c>
      <c r="C63" s="2197"/>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2" t="s">
        <v>2714</v>
      </c>
      <c r="B64" s="2298" t="s">
        <v>2715</v>
      </c>
      <c r="C64" s="2197"/>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04">
      <c r="A65" s="2292" t="s">
        <v>2716</v>
      </c>
      <c r="B65"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5" s="2197"/>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2" t="s">
        <v>2717</v>
      </c>
      <c r="B66" s="1462" t="str">
        <f>估价对象房地状况!C22</f>
        <v>估价对象所在区域基础设施水平</v>
      </c>
      <c r="C66" s="2197"/>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77.25" thickBot="1">
      <c r="A67" s="2300" t="s">
        <v>2718</v>
      </c>
      <c r="B67" s="2302" t="str">
        <f>估价对象房地状况!C20</f>
        <v>自然环境有西湖园、社区文化公园等自然景观；人文环境无；距离北京首都国际机场1.5公里，机场噪音大，综合评价环境状况较差。</v>
      </c>
      <c r="C67" s="2197"/>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88" t="s">
        <v>2722</v>
      </c>
      <c r="B68" s="2289">
        <f>1+E70</f>
        <v>1</v>
      </c>
      <c r="C68" s="749"/>
      <c r="D68" s="749"/>
      <c r="E68" s="750"/>
      <c r="F68" s="2291"/>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2" t="s">
        <v>2700</v>
      </c>
      <c r="B69" s="1501"/>
      <c r="C69" s="1501" t="s">
        <v>2702</v>
      </c>
      <c r="D69" s="1501" t="s">
        <v>2703</v>
      </c>
      <c r="E69" s="754" t="s">
        <v>2704</v>
      </c>
      <c r="F69" s="2293" t="s">
        <v>2720</v>
      </c>
      <c r="G69" s="1501" t="s">
        <v>754</v>
      </c>
      <c r="H69" s="2294" t="s">
        <v>2706</v>
      </c>
      <c r="I69" s="1501" t="s">
        <v>2707</v>
      </c>
      <c r="J69" s="560" t="s">
        <v>2356</v>
      </c>
      <c r="K69" s="560" t="s">
        <v>2357</v>
      </c>
      <c r="L69" s="560" t="s">
        <v>2358</v>
      </c>
      <c r="M69" s="560" t="s">
        <v>2359</v>
      </c>
      <c r="N69" s="560" t="s">
        <v>2360</v>
      </c>
      <c r="AA69" s="1249"/>
      <c r="AB69" s="1249"/>
      <c r="AC69" s="1249"/>
      <c r="AD69" s="1249"/>
      <c r="AE69" s="1249"/>
      <c r="AF69" s="1249"/>
      <c r="AG69" s="1249"/>
      <c r="AH69" s="1249"/>
      <c r="AI69" s="1249"/>
      <c r="AJ69" s="1249"/>
      <c r="AK69" s="1249"/>
    </row>
    <row r="70" spans="1:37" s="1248" customFormat="1" ht="102">
      <c r="A70" s="2292" t="s">
        <v>2723</v>
      </c>
      <c r="B70" s="2295" t="str">
        <f>估价对象房地状况!C15</f>
        <v>周边2公里内有南平里、南平东里、南竺园、天竺家园、蓝海苑、蓝天苑、燕翔西里等居住项目项目，房屋出租使用率较高，居住环境、小区规模较适宜，居住社区成熟度较好。</v>
      </c>
      <c r="C70" s="2197"/>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114.75">
      <c r="A71" s="2292" t="s">
        <v>2709</v>
      </c>
      <c r="B71"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1" s="2197"/>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2" t="s">
        <v>2710</v>
      </c>
      <c r="B72" s="2296">
        <f>估价对象房地状况!C19</f>
        <v>0</v>
      </c>
      <c r="C72" s="2197"/>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2" t="s">
        <v>2724</v>
      </c>
      <c r="B73" s="2296">
        <f>估价对象房地状况!C24</f>
        <v>0</v>
      </c>
      <c r="C73" s="2197"/>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04">
      <c r="A74" s="2292" t="s">
        <v>2716</v>
      </c>
      <c r="B74"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4" s="2197"/>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2" t="s">
        <v>2717</v>
      </c>
      <c r="B75" s="1462" t="str">
        <f>估价对象房地状况!C22</f>
        <v>估价对象所在区域基础设施水平</v>
      </c>
      <c r="C75" s="2197"/>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6" customFormat="1" ht="24">
      <c r="A76" s="2292" t="s">
        <v>2714</v>
      </c>
      <c r="B76" s="2298" t="s">
        <v>2715</v>
      </c>
      <c r="C76" s="2197"/>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3"/>
      <c r="AB76" s="1249"/>
      <c r="AC76" s="1249"/>
      <c r="AD76" s="1249"/>
      <c r="AE76" s="1249"/>
      <c r="AF76" s="1249"/>
      <c r="AG76" s="1249"/>
      <c r="AH76" s="2303"/>
      <c r="AI76" s="2303"/>
      <c r="AJ76" s="2303"/>
      <c r="AK76" s="2303"/>
    </row>
    <row r="77" spans="1:37" ht="76.5">
      <c r="A77" s="2292" t="s">
        <v>2718</v>
      </c>
      <c r="B77" s="2295" t="str">
        <f>估价对象房地状况!C20</f>
        <v>自然环境有西湖园、社区文化公园等自然景观；人文环境无；距离北京首都国际机场1.5公里，机场噪音大，综合评价环境状况较差。</v>
      </c>
      <c r="C77" s="2197"/>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7"/>
      <c r="AA77" s="2213"/>
      <c r="AG77" s="1250"/>
      <c r="AK77" s="2213"/>
    </row>
    <row r="78" spans="1:37" ht="24.75" thickBot="1">
      <c r="A78" s="2300" t="s">
        <v>2725</v>
      </c>
      <c r="B78" s="2304"/>
      <c r="C78" s="2197"/>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7"/>
      <c r="AA78" s="2213"/>
      <c r="AG78" s="1250"/>
      <c r="AK78" s="2213"/>
    </row>
    <row r="79" spans="1:37" ht="15">
      <c r="A79" s="2288" t="s">
        <v>2726</v>
      </c>
      <c r="B79" s="2289">
        <f>1+E81</f>
        <v>1</v>
      </c>
      <c r="C79" s="749"/>
      <c r="D79" s="749"/>
      <c r="E79" s="750"/>
      <c r="F79" s="2291"/>
      <c r="G79" s="6"/>
      <c r="H79" s="6"/>
      <c r="I79" s="6"/>
      <c r="J79" s="7"/>
      <c r="K79" s="7"/>
      <c r="L79" s="7"/>
      <c r="M79" s="7"/>
      <c r="N79" s="7"/>
      <c r="Z79" s="2147"/>
      <c r="AA79" s="2213"/>
      <c r="AG79" s="1250"/>
      <c r="AK79" s="2213"/>
    </row>
    <row r="80" spans="1:37" ht="24.75">
      <c r="A80" s="2292" t="s">
        <v>2700</v>
      </c>
      <c r="B80" s="1501"/>
      <c r="C80" s="1501" t="s">
        <v>2702</v>
      </c>
      <c r="D80" s="1501" t="s">
        <v>2703</v>
      </c>
      <c r="E80" s="754" t="s">
        <v>2704</v>
      </c>
      <c r="F80" s="2293" t="s">
        <v>2720</v>
      </c>
      <c r="G80" s="1501" t="s">
        <v>754</v>
      </c>
      <c r="H80" s="2294" t="s">
        <v>2706</v>
      </c>
      <c r="I80" s="1501" t="s">
        <v>2707</v>
      </c>
      <c r="J80" s="560" t="s">
        <v>2356</v>
      </c>
      <c r="K80" s="560" t="s">
        <v>2357</v>
      </c>
      <c r="L80" s="560" t="s">
        <v>2358</v>
      </c>
      <c r="M80" s="560" t="s">
        <v>2359</v>
      </c>
      <c r="N80" s="560" t="s">
        <v>2360</v>
      </c>
      <c r="Z80" s="2147"/>
      <c r="AA80" s="2213"/>
      <c r="AG80" s="1250"/>
      <c r="AK80" s="2213"/>
    </row>
    <row r="81" spans="1:37" ht="38.25">
      <c r="A81" s="2292" t="s">
        <v>2727</v>
      </c>
      <c r="B81" s="2296" t="str">
        <f>估价对象房地状况!G15</f>
        <v>估价对象位于XX开发区，园区建设成熟度XX，产业集聚程度XX</v>
      </c>
      <c r="C81" s="2197"/>
      <c r="D81" s="1192">
        <f t="shared" ref="D81:D88" si="25">SUMIF($J$80:$N$80,C81,J81:N81)</f>
        <v>0</v>
      </c>
      <c r="E81" s="756">
        <f>ROUND(SUM(D81:D88),4)</f>
        <v>0</v>
      </c>
      <c r="F81" s="1965"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47"/>
      <c r="AA81" s="2213"/>
      <c r="AG81" s="1250"/>
      <c r="AK81" s="2213"/>
    </row>
    <row r="82" spans="1:37" ht="51">
      <c r="A82" s="2292" t="s">
        <v>2709</v>
      </c>
      <c r="B82" s="2296" t="str">
        <f>估价对象房地状况!G16</f>
        <v>估价对象周边道路状况、公共交通通达情况、停车便捷程度，综合评价交通便捷度较好</v>
      </c>
      <c r="C82" s="2197"/>
      <c r="D82" s="1192">
        <f t="shared" si="25"/>
        <v>0</v>
      </c>
      <c r="E82" s="761"/>
      <c r="F82" s="1965"/>
      <c r="G82" s="1190"/>
      <c r="H82" s="1194" t="str">
        <f t="shared" si="26"/>
        <v>——</v>
      </c>
      <c r="I82" s="755">
        <v>0.33</v>
      </c>
      <c r="J82" s="1191">
        <f t="shared" si="27"/>
        <v>0</v>
      </c>
      <c r="K82" s="1191">
        <f t="shared" si="28"/>
        <v>0</v>
      </c>
      <c r="L82" s="1191">
        <v>0</v>
      </c>
      <c r="M82" s="1191">
        <f t="shared" si="29"/>
        <v>0</v>
      </c>
      <c r="N82" s="1191">
        <f t="shared" si="29"/>
        <v>0</v>
      </c>
      <c r="Z82" s="2147"/>
      <c r="AA82" s="2213"/>
      <c r="AG82" s="1250"/>
      <c r="AK82" s="2213"/>
    </row>
    <row r="83" spans="1:37" ht="24">
      <c r="A83" s="2292" t="s">
        <v>2710</v>
      </c>
      <c r="B83" s="2296">
        <f>估价对象房地状况!G17</f>
        <v>0</v>
      </c>
      <c r="C83" s="2197"/>
      <c r="D83" s="1192">
        <f t="shared" si="25"/>
        <v>0</v>
      </c>
      <c r="E83" s="761"/>
      <c r="F83" s="1965"/>
      <c r="G83" s="1190"/>
      <c r="H83" s="1194" t="str">
        <f t="shared" si="26"/>
        <v>——</v>
      </c>
      <c r="I83" s="755">
        <v>0.05</v>
      </c>
      <c r="J83" s="1191">
        <f t="shared" si="27"/>
        <v>0</v>
      </c>
      <c r="K83" s="1191">
        <f t="shared" si="28"/>
        <v>0</v>
      </c>
      <c r="L83" s="1191">
        <v>0</v>
      </c>
      <c r="M83" s="1191">
        <f t="shared" si="29"/>
        <v>0</v>
      </c>
      <c r="N83" s="1191">
        <f t="shared" si="29"/>
        <v>0</v>
      </c>
      <c r="Z83" s="2147"/>
      <c r="AA83" s="2213"/>
      <c r="AG83" s="1250"/>
      <c r="AK83" s="2213"/>
    </row>
    <row r="84" spans="1:37" ht="14.25">
      <c r="A84" s="2292" t="s">
        <v>2724</v>
      </c>
      <c r="B84" s="2296">
        <f>估价对象房地状况!G22</f>
        <v>0</v>
      </c>
      <c r="C84" s="2197"/>
      <c r="D84" s="1192">
        <f t="shared" si="25"/>
        <v>0</v>
      </c>
      <c r="E84" s="761"/>
      <c r="F84" s="1965"/>
      <c r="G84" s="1190"/>
      <c r="H84" s="1194" t="str">
        <f t="shared" si="26"/>
        <v>——</v>
      </c>
      <c r="I84" s="755">
        <v>0.04</v>
      </c>
      <c r="J84" s="1191">
        <f t="shared" si="27"/>
        <v>0</v>
      </c>
      <c r="K84" s="1191">
        <f t="shared" si="28"/>
        <v>0</v>
      </c>
      <c r="L84" s="1191">
        <v>0</v>
      </c>
      <c r="M84" s="1191">
        <f t="shared" si="29"/>
        <v>0</v>
      </c>
      <c r="N84" s="1191">
        <f t="shared" si="29"/>
        <v>0</v>
      </c>
      <c r="Z84" s="2147"/>
      <c r="AA84" s="2213"/>
      <c r="AG84" s="1250"/>
      <c r="AK84" s="2213"/>
    </row>
    <row r="85" spans="1:37" ht="25.5">
      <c r="A85" s="2292" t="s">
        <v>2716</v>
      </c>
      <c r="B85" s="1462" t="str">
        <f>估价对象房地状况!G19</f>
        <v>估价对象所在区域公共配套设施齐备情况</v>
      </c>
      <c r="C85" s="2197"/>
      <c r="D85" s="1192">
        <f t="shared" si="25"/>
        <v>0</v>
      </c>
      <c r="E85" s="761"/>
      <c r="F85" s="1965"/>
      <c r="G85" s="1190"/>
      <c r="H85" s="1194" t="str">
        <f t="shared" si="26"/>
        <v>——</v>
      </c>
      <c r="I85" s="755">
        <v>0.06</v>
      </c>
      <c r="J85" s="1191">
        <f t="shared" si="27"/>
        <v>0</v>
      </c>
      <c r="K85" s="1191">
        <f t="shared" si="28"/>
        <v>0</v>
      </c>
      <c r="L85" s="1191">
        <v>0</v>
      </c>
      <c r="M85" s="1191">
        <f t="shared" si="29"/>
        <v>0</v>
      </c>
      <c r="N85" s="1191">
        <f t="shared" si="29"/>
        <v>0</v>
      </c>
      <c r="Z85" s="2147"/>
      <c r="AA85" s="2213"/>
      <c r="AG85" s="1250"/>
      <c r="AK85" s="2213"/>
    </row>
    <row r="86" spans="1:37" ht="25.5">
      <c r="A86" s="2292" t="s">
        <v>2717</v>
      </c>
      <c r="B86" s="1462" t="str">
        <f>估价对象房地状况!G20</f>
        <v>估价对象所在区域基础设施水平</v>
      </c>
      <c r="C86" s="2197"/>
      <c r="D86" s="1192">
        <f t="shared" si="25"/>
        <v>0</v>
      </c>
      <c r="E86" s="761"/>
      <c r="F86" s="1965"/>
      <c r="G86" s="1190"/>
      <c r="H86" s="1194" t="str">
        <f t="shared" si="26"/>
        <v>——</v>
      </c>
      <c r="I86" s="755">
        <v>0.15</v>
      </c>
      <c r="J86" s="1191">
        <f t="shared" si="27"/>
        <v>0</v>
      </c>
      <c r="K86" s="1191">
        <f t="shared" si="28"/>
        <v>0</v>
      </c>
      <c r="L86" s="1191">
        <v>0</v>
      </c>
      <c r="M86" s="1191">
        <f t="shared" si="29"/>
        <v>0</v>
      </c>
      <c r="N86" s="1191">
        <f t="shared" si="29"/>
        <v>0</v>
      </c>
      <c r="Z86" s="2147"/>
      <c r="AA86" s="2213"/>
      <c r="AG86" s="1250"/>
      <c r="AK86" s="2213"/>
    </row>
    <row r="87" spans="1:37" ht="24">
      <c r="A87" s="2292" t="s">
        <v>2714</v>
      </c>
      <c r="B87" s="2298" t="s">
        <v>2728</v>
      </c>
      <c r="C87" s="2197"/>
      <c r="D87" s="1192">
        <f t="shared" si="25"/>
        <v>0</v>
      </c>
      <c r="E87" s="761"/>
      <c r="F87" s="1965"/>
      <c r="G87" s="1190"/>
      <c r="H87" s="1194" t="str">
        <f t="shared" si="26"/>
        <v>——</v>
      </c>
      <c r="I87" s="755">
        <v>0.05</v>
      </c>
      <c r="J87" s="1191">
        <f t="shared" si="27"/>
        <v>0</v>
      </c>
      <c r="K87" s="1191">
        <f t="shared" si="28"/>
        <v>0</v>
      </c>
      <c r="L87" s="1191">
        <v>0</v>
      </c>
      <c r="M87" s="1191">
        <f t="shared" si="29"/>
        <v>0</v>
      </c>
      <c r="N87" s="1191">
        <f t="shared" si="29"/>
        <v>0</v>
      </c>
      <c r="Z87" s="2147"/>
      <c r="AA87" s="2213"/>
      <c r="AG87" s="1250"/>
      <c r="AK87" s="2213"/>
    </row>
    <row r="88" spans="1:37" ht="39" thickBot="1">
      <c r="A88" s="2300" t="s">
        <v>2729</v>
      </c>
      <c r="B88" s="2305" t="str">
        <f>估价对象房地状况!G18</f>
        <v>该园区内是否有污染型企业，绿化情况，卫生条件，整体环境状况判断</v>
      </c>
      <c r="C88" s="2197"/>
      <c r="D88" s="1192">
        <f t="shared" si="25"/>
        <v>0</v>
      </c>
      <c r="E88" s="762"/>
      <c r="F88" s="1965"/>
      <c r="G88" s="1190"/>
      <c r="H88" s="1194" t="str">
        <f t="shared" si="26"/>
        <v>——</v>
      </c>
      <c r="I88" s="759">
        <v>0.06</v>
      </c>
      <c r="J88" s="1191">
        <f t="shared" si="27"/>
        <v>0</v>
      </c>
      <c r="K88" s="1191">
        <f t="shared" si="28"/>
        <v>0</v>
      </c>
      <c r="L88" s="1191">
        <v>0</v>
      </c>
      <c r="M88" s="1191">
        <f t="shared" si="29"/>
        <v>0</v>
      </c>
      <c r="N88" s="1191">
        <f t="shared" si="29"/>
        <v>0</v>
      </c>
      <c r="Z88" s="2147"/>
      <c r="AA88" s="2213"/>
      <c r="AG88" s="1250"/>
      <c r="AK88" s="2213"/>
    </row>
    <row r="90" spans="1:37">
      <c r="A90" s="3818" t="s">
        <v>2730</v>
      </c>
      <c r="B90" s="3818"/>
      <c r="C90" s="3818"/>
      <c r="D90" s="3818"/>
      <c r="E90" s="3818"/>
      <c r="F90" s="3818"/>
      <c r="G90" s="3818"/>
      <c r="H90" s="3818"/>
      <c r="I90" s="3818"/>
      <c r="J90" s="3818"/>
      <c r="K90" s="2306"/>
      <c r="L90" s="2306"/>
      <c r="M90" s="2306"/>
      <c r="N90" s="2306"/>
    </row>
    <row r="91" spans="1:37">
      <c r="A91" s="3820" t="s">
        <v>2731</v>
      </c>
      <c r="B91" s="3820" t="s">
        <v>2732</v>
      </c>
      <c r="C91" s="2260" t="s">
        <v>2733</v>
      </c>
      <c r="D91" s="2261"/>
      <c r="E91" s="2261"/>
      <c r="F91" s="2261"/>
      <c r="G91" s="2261"/>
      <c r="H91" s="2261"/>
      <c r="I91" s="2261"/>
      <c r="J91" s="2307"/>
      <c r="K91" s="2308"/>
      <c r="L91" s="2308"/>
      <c r="M91" s="2308"/>
      <c r="N91" s="2308"/>
    </row>
    <row r="92" spans="1:37">
      <c r="A92" s="3820"/>
      <c r="B92" s="3820"/>
      <c r="C92" s="875" t="s">
        <v>2600</v>
      </c>
      <c r="D92" s="875" t="s">
        <v>2601</v>
      </c>
      <c r="E92" s="875" t="s">
        <v>2602</v>
      </c>
      <c r="F92" s="875" t="s">
        <v>2603</v>
      </c>
      <c r="G92" s="875" t="s">
        <v>2604</v>
      </c>
      <c r="H92" s="875" t="s">
        <v>2605</v>
      </c>
      <c r="I92" s="875" t="s">
        <v>2606</v>
      </c>
      <c r="J92" s="875" t="s">
        <v>2607</v>
      </c>
      <c r="K92" s="875" t="s">
        <v>2608</v>
      </c>
      <c r="L92" s="875" t="s">
        <v>2609</v>
      </c>
      <c r="M92" s="875" t="s">
        <v>2610</v>
      </c>
      <c r="N92" s="875" t="s">
        <v>2611</v>
      </c>
    </row>
    <row r="93" spans="1:37">
      <c r="A93" s="3821" t="s">
        <v>2734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82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82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82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82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82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822"/>
      <c r="B99" s="2309" t="s">
        <v>2616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82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821" t="s">
        <v>2735</v>
      </c>
      <c r="B101" s="2313" t="s">
        <v>2736</v>
      </c>
      <c r="C101" s="2314">
        <f>$G$3</f>
        <v>4.1399999999999997</v>
      </c>
      <c r="D101" s="2314">
        <f t="shared" ref="D101:N101" si="31">$G$3</f>
        <v>4.1399999999999997</v>
      </c>
      <c r="E101" s="2314">
        <f t="shared" si="31"/>
        <v>4.1399999999999997</v>
      </c>
      <c r="F101" s="2314">
        <f t="shared" si="31"/>
        <v>4.1399999999999997</v>
      </c>
      <c r="G101" s="2314">
        <f t="shared" si="31"/>
        <v>4.1399999999999997</v>
      </c>
      <c r="H101" s="2314">
        <f t="shared" si="31"/>
        <v>4.1399999999999997</v>
      </c>
      <c r="I101" s="2314">
        <f t="shared" si="31"/>
        <v>4.1399999999999997</v>
      </c>
      <c r="J101" s="2314">
        <f t="shared" si="31"/>
        <v>4.1399999999999997</v>
      </c>
      <c r="K101" s="2314">
        <f t="shared" si="31"/>
        <v>4.1399999999999997</v>
      </c>
      <c r="L101" s="2314">
        <f t="shared" si="31"/>
        <v>4.1399999999999997</v>
      </c>
      <c r="M101" s="2314">
        <f t="shared" si="31"/>
        <v>4.1399999999999997</v>
      </c>
      <c r="N101" s="2314">
        <f t="shared" si="31"/>
        <v>4.1399999999999997</v>
      </c>
    </row>
    <row r="102" spans="1:14">
      <c r="A102" s="3822"/>
      <c r="B102" s="2309">
        <v>1</v>
      </c>
      <c r="C102" s="2310">
        <f>1.9362/C101</f>
        <v>0.46768115942028987</v>
      </c>
      <c r="D102" s="2310">
        <f>1.9362/D101</f>
        <v>0.46768115942028987</v>
      </c>
      <c r="E102" s="2310">
        <f>1.8629/E101</f>
        <v>0.44997584541062807</v>
      </c>
      <c r="F102" s="2310">
        <f>1.8629/F101</f>
        <v>0.44997584541062807</v>
      </c>
      <c r="G102" s="2310">
        <f>1.8629/G101</f>
        <v>0.44997584541062807</v>
      </c>
      <c r="H102" s="2310">
        <f>1.8629/H101</f>
        <v>0.44997584541062807</v>
      </c>
      <c r="I102" s="2310">
        <f>1.8629/I101</f>
        <v>0.44997584541062807</v>
      </c>
      <c r="J102" s="2310">
        <f>1.942/J101</f>
        <v>0.46908212560386475</v>
      </c>
      <c r="K102" s="2310">
        <f>1.942/K101</f>
        <v>0.46908212560386475</v>
      </c>
      <c r="L102" s="2310">
        <f>1.942/L101</f>
        <v>0.46908212560386475</v>
      </c>
      <c r="M102" s="2310">
        <f>1.942/M101</f>
        <v>0.46908212560386475</v>
      </c>
      <c r="N102" s="2310">
        <f>1.942/N101</f>
        <v>0.46908212560386475</v>
      </c>
    </row>
    <row r="103" spans="1:14">
      <c r="A103" s="3822"/>
      <c r="B103" s="2309">
        <v>2</v>
      </c>
      <c r="C103" s="2310">
        <f>1.4198/C101</f>
        <v>0.34294685990338164</v>
      </c>
      <c r="D103" s="2310">
        <f>1.4198/D101</f>
        <v>0.34294685990338164</v>
      </c>
      <c r="E103" s="2310">
        <f>1.3372/E101</f>
        <v>0.32299516908212561</v>
      </c>
      <c r="F103" s="2310">
        <f>1.3372/F101</f>
        <v>0.32299516908212561</v>
      </c>
      <c r="G103" s="2310">
        <f>1.3372/G101</f>
        <v>0.32299516908212561</v>
      </c>
      <c r="H103" s="2310">
        <f>1.3372/H101</f>
        <v>0.32299516908212561</v>
      </c>
      <c r="I103" s="2310">
        <f>1.3372/I101</f>
        <v>0.32299516908212561</v>
      </c>
      <c r="J103" s="2310">
        <f>1.2799/J101</f>
        <v>0.3091545893719807</v>
      </c>
      <c r="K103" s="2310">
        <f>1.2799/K101</f>
        <v>0.3091545893719807</v>
      </c>
      <c r="L103" s="2310">
        <f>1.2799/L101</f>
        <v>0.3091545893719807</v>
      </c>
      <c r="M103" s="2310">
        <f>1.2799/M101</f>
        <v>0.3091545893719807</v>
      </c>
      <c r="N103" s="2310">
        <f>1.2799/N101</f>
        <v>0.3091545893719807</v>
      </c>
    </row>
    <row r="104" spans="1:14">
      <c r="A104" s="3822"/>
      <c r="B104" s="2309">
        <v>3</v>
      </c>
      <c r="C104" s="2310">
        <f>1.1594/C101</f>
        <v>0.28004830917874396</v>
      </c>
      <c r="D104" s="2310">
        <f>1.1594/D101</f>
        <v>0.28004830917874396</v>
      </c>
      <c r="E104" s="2310">
        <f>1.0788/E101</f>
        <v>0.26057971014492753</v>
      </c>
      <c r="F104" s="2310">
        <f>1.0788/F101</f>
        <v>0.26057971014492753</v>
      </c>
      <c r="G104" s="2310">
        <f>1.0788/G101</f>
        <v>0.26057971014492753</v>
      </c>
      <c r="H104" s="2310">
        <f>1.0788/H101</f>
        <v>0.26057971014492753</v>
      </c>
      <c r="I104" s="2310">
        <f>1.0788/I101</f>
        <v>0.26057971014492753</v>
      </c>
      <c r="J104" s="2310">
        <f>1.0072/J101</f>
        <v>0.24328502415458941</v>
      </c>
      <c r="K104" s="2310">
        <f>1.0072/K101</f>
        <v>0.24328502415458941</v>
      </c>
      <c r="L104" s="2310">
        <f>1.0072/L101</f>
        <v>0.24328502415458941</v>
      </c>
      <c r="M104" s="2310">
        <f>1.0072/M101</f>
        <v>0.24328502415458941</v>
      </c>
      <c r="N104" s="2310">
        <f>1.0072/N101</f>
        <v>0.24328502415458941</v>
      </c>
    </row>
    <row r="105" spans="1:14">
      <c r="A105" s="3822"/>
      <c r="B105" s="2309">
        <v>4</v>
      </c>
      <c r="C105" s="2310">
        <f>0.9622/C101</f>
        <v>0.23241545893719809</v>
      </c>
      <c r="D105" s="2310">
        <f>0.9622/D101</f>
        <v>0.23241545893719809</v>
      </c>
      <c r="E105" s="2310">
        <f>0.8656/E101</f>
        <v>0.20908212560386477</v>
      </c>
      <c r="F105" s="2310">
        <f>0.8656/F101</f>
        <v>0.20908212560386477</v>
      </c>
      <c r="G105" s="2310">
        <f>0.8656/G101</f>
        <v>0.20908212560386477</v>
      </c>
      <c r="H105" s="2310">
        <f>0.8656/H101</f>
        <v>0.20908212560386477</v>
      </c>
      <c r="I105" s="2310">
        <f>0.8656/I101</f>
        <v>0.20908212560386477</v>
      </c>
      <c r="J105" s="2310">
        <f>0.7525/J101</f>
        <v>0.18176328502415459</v>
      </c>
      <c r="K105" s="2310">
        <f>0.7525/K101</f>
        <v>0.18176328502415459</v>
      </c>
      <c r="L105" s="2310">
        <f>0.7525/L101</f>
        <v>0.18176328502415459</v>
      </c>
      <c r="M105" s="2310">
        <f>0.7525/M101</f>
        <v>0.18176328502415459</v>
      </c>
      <c r="N105" s="2310">
        <f>0.7525/N101</f>
        <v>0.18176328502415459</v>
      </c>
    </row>
    <row r="106" spans="1:14">
      <c r="A106" s="3822"/>
      <c r="B106" s="2309">
        <v>5</v>
      </c>
      <c r="C106" s="2310">
        <f>0.8417/C101</f>
        <v>0.20330917874396137</v>
      </c>
      <c r="D106" s="2310">
        <f>0.8417/D101</f>
        <v>0.20330917874396137</v>
      </c>
      <c r="E106" s="2310">
        <f>0.7371/E101</f>
        <v>0.17804347826086958</v>
      </c>
      <c r="F106" s="2310">
        <f>0.7371/F101</f>
        <v>0.17804347826086958</v>
      </c>
      <c r="G106" s="2310">
        <f>0.7371/G101</f>
        <v>0.17804347826086958</v>
      </c>
      <c r="H106" s="2310">
        <f>0.7371/H101</f>
        <v>0.17804347826086958</v>
      </c>
      <c r="I106" s="2310">
        <f>0.7371/I101</f>
        <v>0.17804347826086958</v>
      </c>
      <c r="J106" s="2310">
        <f>0.5659/J101</f>
        <v>0.13669082125603865</v>
      </c>
      <c r="K106" s="2310">
        <f>0.5659/K101</f>
        <v>0.13669082125603865</v>
      </c>
      <c r="L106" s="2310">
        <f>0.5659/L101</f>
        <v>0.13669082125603865</v>
      </c>
      <c r="M106" s="2310">
        <f>0.5659/M101</f>
        <v>0.13669082125603865</v>
      </c>
      <c r="N106" s="2310">
        <f>0.5659/N101</f>
        <v>0.13669082125603865</v>
      </c>
    </row>
    <row r="107" spans="1:14">
      <c r="A107" s="3822"/>
      <c r="B107" s="2309">
        <v>6</v>
      </c>
      <c r="C107" s="2310">
        <f>0.7608/C101</f>
        <v>0.18376811594202902</v>
      </c>
      <c r="D107" s="2310">
        <f>0.7608/D101</f>
        <v>0.18376811594202902</v>
      </c>
      <c r="E107" s="2310">
        <f>0.6482/E101</f>
        <v>0.15657004830917876</v>
      </c>
      <c r="F107" s="2310">
        <f>0.6482/F101</f>
        <v>0.15657004830917876</v>
      </c>
      <c r="G107" s="2310">
        <f>0.6482/G101</f>
        <v>0.15657004830917876</v>
      </c>
      <c r="H107" s="2310">
        <f>0.6482/H101</f>
        <v>0.15657004830917876</v>
      </c>
      <c r="I107" s="2310">
        <f>0.6482/I101</f>
        <v>0.15657004830917876</v>
      </c>
      <c r="J107" s="2310">
        <f>0.4525/J101</f>
        <v>0.10929951690821257</v>
      </c>
      <c r="K107" s="2310">
        <f>0.4525/K101</f>
        <v>0.10929951690821257</v>
      </c>
      <c r="L107" s="2310">
        <f>0.4525/L101</f>
        <v>0.10929951690821257</v>
      </c>
      <c r="M107" s="2310">
        <f>0.4525/M101</f>
        <v>0.10929951690821257</v>
      </c>
      <c r="N107" s="2310">
        <f>0.4525/N101</f>
        <v>0.10929951690821257</v>
      </c>
    </row>
    <row r="108" spans="1:14">
      <c r="A108" s="3822"/>
      <c r="B108" s="3824" t="s">
        <v>2737</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823"/>
      <c r="B109" s="3825"/>
      <c r="C109" s="2312">
        <f>(-0.163*(C108^2)-0.59*C108+7617)*(10^(-4))/C101</f>
        <v>0.18398550724637683</v>
      </c>
      <c r="D109" s="2312">
        <f>(-0.163*(D108^2)-0.59*D108+7617)*(10^(-4))/D101</f>
        <v>0.18398550724637683</v>
      </c>
      <c r="E109" s="2312">
        <f>(-0.161*(E108^2)-7.509*E108+6533)*(10^(-4))/E101</f>
        <v>0.15780193236714976</v>
      </c>
      <c r="F109" s="2312">
        <f>(-0.161*(F108^2)-7.509*F108+6533)*(10^(-4))/F101</f>
        <v>0.15780193236714976</v>
      </c>
      <c r="G109" s="2312">
        <f>(-0.161*(G108^2)-7.509*G108+6533)*(10^(-4))/G101</f>
        <v>0.15780193236714976</v>
      </c>
      <c r="H109" s="2312">
        <f>(-0.161*(H108^2)-7.509*H108+6533)*(10^(-4))/H101</f>
        <v>0.15780193236714976</v>
      </c>
      <c r="I109" s="2312">
        <f>(-0.161*(I108^2)-7.509*I108+6533)*(10^(-4))/I101</f>
        <v>0.15780193236714976</v>
      </c>
      <c r="J109" s="2312">
        <f>(-0.214*(J108^2)-21.991*J108+4665)*(10^(-4))/J101</f>
        <v>0.11268115942028988</v>
      </c>
      <c r="K109" s="2312">
        <f>(-0.214*(K108^2)-21.991*K108+4665)*(10^(-4))/K101</f>
        <v>0.11268115942028988</v>
      </c>
      <c r="L109" s="2312">
        <f>(-0.214*(L108^2)-21.991*L108+4665)*(10^(-4))/L101</f>
        <v>0.11268115942028988</v>
      </c>
      <c r="M109" s="2312">
        <f>(-0.214*(M108^2)-21.991*M108+4665)*(10^(-4))/M101</f>
        <v>0.11268115942028988</v>
      </c>
      <c r="N109" s="2312">
        <f>(-0.214*(N108^2)-21.991*N108+4665)*(10^(-4))/N101</f>
        <v>0.11268115942028988</v>
      </c>
    </row>
    <row r="110" spans="1:14">
      <c r="A110" s="3819" t="s">
        <v>2738</v>
      </c>
      <c r="B110" s="3819"/>
      <c r="C110" s="3819"/>
      <c r="D110" s="3819"/>
      <c r="E110" s="3819"/>
      <c r="F110" s="3819"/>
      <c r="G110" s="3819"/>
      <c r="H110" s="3819"/>
      <c r="I110" s="3819"/>
      <c r="J110" s="3819"/>
      <c r="K110" s="2315"/>
      <c r="L110" s="2315"/>
      <c r="M110" s="2315"/>
      <c r="N110" s="2315"/>
    </row>
    <row r="112" spans="1:14" ht="13.5" thickBot="1"/>
    <row r="113" spans="1:13" ht="25.5" thickBot="1">
      <c r="A113" s="838" t="s">
        <v>2739</v>
      </c>
      <c r="B113" s="1193">
        <f>G3</f>
        <v>4.1399999999999997</v>
      </c>
      <c r="C113" s="839" t="s">
        <v>2740</v>
      </c>
      <c r="D113" s="840">
        <f>SUMPRODUCT((A115:A118=F113)*(B114:M114=H113)*B115:M118)</f>
        <v>0</v>
      </c>
      <c r="E113" s="2151" t="s">
        <v>2573</v>
      </c>
      <c r="F113" s="2317">
        <f>E2</f>
        <v>0</v>
      </c>
      <c r="G113" s="2151" t="s">
        <v>2574</v>
      </c>
      <c r="H113" s="2317">
        <f>G2</f>
        <v>0</v>
      </c>
      <c r="I113" s="2151"/>
      <c r="J113" s="2318"/>
      <c r="K113" s="2318"/>
      <c r="L113" s="2318"/>
      <c r="M113" s="2318"/>
    </row>
    <row r="114" spans="1:13">
      <c r="A114" s="843"/>
      <c r="B114" s="2319" t="s">
        <v>2741</v>
      </c>
      <c r="C114" s="2319" t="s">
        <v>2742</v>
      </c>
      <c r="D114" s="2319" t="s">
        <v>2743</v>
      </c>
      <c r="E114" s="2320" t="s">
        <v>2744</v>
      </c>
      <c r="F114" s="2320" t="s">
        <v>2745</v>
      </c>
      <c r="G114" s="2320" t="s">
        <v>2746</v>
      </c>
      <c r="H114" s="2321" t="s">
        <v>2747</v>
      </c>
      <c r="I114" s="2321" t="s">
        <v>2748</v>
      </c>
      <c r="J114" s="2322" t="s">
        <v>2749</v>
      </c>
      <c r="K114" s="2322" t="s">
        <v>2750</v>
      </c>
      <c r="L114" s="2322" t="s">
        <v>2751</v>
      </c>
      <c r="M114" s="2323" t="s">
        <v>2752</v>
      </c>
    </row>
    <row r="115" spans="1:13">
      <c r="A115" s="844" t="s">
        <v>2638</v>
      </c>
      <c r="B115" s="845">
        <f>ROUND(0.9335-0.0094*B113,4)</f>
        <v>0.89459999999999995</v>
      </c>
      <c r="C115" s="845">
        <f>B115</f>
        <v>0.89459999999999995</v>
      </c>
      <c r="D115" s="845">
        <f>ROUND(0.8331-0.0109*B113,4)</f>
        <v>0.78800000000000003</v>
      </c>
      <c r="E115" s="845">
        <f>D115</f>
        <v>0.78800000000000003</v>
      </c>
      <c r="F115" s="845">
        <f>E115</f>
        <v>0.78800000000000003</v>
      </c>
      <c r="G115" s="845">
        <f>F115</f>
        <v>0.78800000000000003</v>
      </c>
      <c r="H115" s="845">
        <f>G115</f>
        <v>0.78800000000000003</v>
      </c>
      <c r="I115" s="845">
        <f>ROUND(0.689-0.0155*B113,4)</f>
        <v>0.62480000000000002</v>
      </c>
      <c r="J115" s="845">
        <f t="shared" ref="J115:M118" si="33">I115</f>
        <v>0.62480000000000002</v>
      </c>
      <c r="K115" s="845">
        <f t="shared" si="33"/>
        <v>0.62480000000000002</v>
      </c>
      <c r="L115" s="845">
        <f t="shared" si="33"/>
        <v>0.62480000000000002</v>
      </c>
      <c r="M115" s="846">
        <f t="shared" si="33"/>
        <v>0.62480000000000002</v>
      </c>
    </row>
    <row r="116" spans="1:13">
      <c r="A116" s="844" t="s">
        <v>2639</v>
      </c>
      <c r="B116" s="845">
        <f>ROUND(0.949-0.012*B113,4)</f>
        <v>0.89929999999999999</v>
      </c>
      <c r="C116" s="845">
        <f>B116</f>
        <v>0.89929999999999999</v>
      </c>
      <c r="D116" s="845">
        <f>ROUND(0.8567-0.013*B113,4)</f>
        <v>0.80289999999999995</v>
      </c>
      <c r="E116" s="845">
        <f t="shared" ref="E116:H117" si="34">D116</f>
        <v>0.80289999999999995</v>
      </c>
      <c r="F116" s="845">
        <f t="shared" si="34"/>
        <v>0.80289999999999995</v>
      </c>
      <c r="G116" s="845">
        <f t="shared" si="34"/>
        <v>0.80289999999999995</v>
      </c>
      <c r="H116" s="845">
        <f t="shared" si="34"/>
        <v>0.80289999999999995</v>
      </c>
      <c r="I116" s="845">
        <f>ROUND(0.7694-0.014*B113,4)</f>
        <v>0.71140000000000003</v>
      </c>
      <c r="J116" s="845">
        <f t="shared" si="33"/>
        <v>0.71140000000000003</v>
      </c>
      <c r="K116" s="845">
        <f t="shared" si="33"/>
        <v>0.71140000000000003</v>
      </c>
      <c r="L116" s="845">
        <f t="shared" si="33"/>
        <v>0.71140000000000003</v>
      </c>
      <c r="M116" s="846">
        <f t="shared" si="33"/>
        <v>0.71140000000000003</v>
      </c>
    </row>
    <row r="117" spans="1:13">
      <c r="A117" s="844" t="s">
        <v>2640</v>
      </c>
      <c r="B117" s="845">
        <f>ROUND(0.8808-0.006*B113,4)</f>
        <v>0.85599999999999998</v>
      </c>
      <c r="C117" s="845">
        <f>B117</f>
        <v>0.85599999999999998</v>
      </c>
      <c r="D117" s="845">
        <f>ROUND(0.8748-0.008*B113,4)</f>
        <v>0.8417</v>
      </c>
      <c r="E117" s="845">
        <f t="shared" si="34"/>
        <v>0.8417</v>
      </c>
      <c r="F117" s="845">
        <f t="shared" si="34"/>
        <v>0.8417</v>
      </c>
      <c r="G117" s="845">
        <f t="shared" si="34"/>
        <v>0.8417</v>
      </c>
      <c r="H117" s="845">
        <f t="shared" si="34"/>
        <v>0.8417</v>
      </c>
      <c r="I117" s="845">
        <f>ROUND(0.7412-0.0095*B113,4)</f>
        <v>0.70189999999999997</v>
      </c>
      <c r="J117" s="845">
        <f t="shared" si="33"/>
        <v>0.70189999999999997</v>
      </c>
      <c r="K117" s="845">
        <f t="shared" si="33"/>
        <v>0.70189999999999997</v>
      </c>
      <c r="L117" s="845">
        <f t="shared" si="33"/>
        <v>0.70189999999999997</v>
      </c>
      <c r="M117" s="846">
        <f t="shared" si="33"/>
        <v>0.70189999999999997</v>
      </c>
    </row>
    <row r="118" spans="1:13" ht="13.5" thickBot="1">
      <c r="A118" s="670" t="s">
        <v>2641</v>
      </c>
      <c r="B118" s="847">
        <f>ROUND(0.7275-0.01*B113,4)</f>
        <v>0.68610000000000004</v>
      </c>
      <c r="C118" s="847">
        <f>B118</f>
        <v>0.68610000000000004</v>
      </c>
      <c r="D118" s="847">
        <f>ROUND(0.7043-0.012*B113,4)</f>
        <v>0.65459999999999996</v>
      </c>
      <c r="E118" s="847">
        <f>D118</f>
        <v>0.65459999999999996</v>
      </c>
      <c r="F118" s="847">
        <f>E118</f>
        <v>0.65459999999999996</v>
      </c>
      <c r="G118" s="847">
        <f>ROUND(0.6299-0.0122*B113,4)</f>
        <v>0.57940000000000003</v>
      </c>
      <c r="H118" s="847">
        <f>G118</f>
        <v>0.57940000000000003</v>
      </c>
      <c r="I118" s="847">
        <f>ROUND(0.5667-0.0136*B113,4)</f>
        <v>0.51039999999999996</v>
      </c>
      <c r="J118" s="847">
        <f t="shared" si="33"/>
        <v>0.51039999999999996</v>
      </c>
      <c r="K118" s="847">
        <f t="shared" si="33"/>
        <v>0.51039999999999996</v>
      </c>
      <c r="L118" s="847">
        <f t="shared" si="33"/>
        <v>0.51039999999999996</v>
      </c>
      <c r="M118" s="848">
        <f t="shared" si="33"/>
        <v>0.51039999999999996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832" t="s">
        <v>183</v>
      </c>
      <c r="B18" s="817" t="s">
        <v>560</v>
      </c>
      <c r="C18" s="818" t="s">
        <v>561</v>
      </c>
      <c r="D18" s="819"/>
      <c r="E18" s="817">
        <v>1</v>
      </c>
      <c r="F18" s="820" t="s">
        <v>562</v>
      </c>
      <c r="G18" s="821"/>
      <c r="H18" s="813"/>
      <c r="I18" s="813"/>
    </row>
    <row r="19" spans="1:9" s="822" customFormat="1" ht="19.5" customHeight="1">
      <c r="A19" s="3832"/>
      <c r="B19" s="3832" t="s">
        <v>563</v>
      </c>
      <c r="C19" s="818" t="s">
        <v>564</v>
      </c>
      <c r="D19" s="819"/>
      <c r="E19" s="817">
        <v>0.9</v>
      </c>
      <c r="F19" s="820" t="s">
        <v>565</v>
      </c>
      <c r="G19" s="821"/>
      <c r="H19" s="813"/>
      <c r="I19" s="813"/>
    </row>
    <row r="20" spans="1:9" s="822" customFormat="1" ht="19.5" customHeight="1">
      <c r="A20" s="3832"/>
      <c r="B20" s="3832"/>
      <c r="C20" s="818" t="s">
        <v>566</v>
      </c>
      <c r="D20" s="819"/>
      <c r="E20" s="817">
        <v>1.1000000000000001</v>
      </c>
      <c r="F20" s="820" t="s">
        <v>567</v>
      </c>
      <c r="G20" s="821"/>
      <c r="H20" s="813"/>
      <c r="I20" s="813"/>
    </row>
    <row r="21" spans="1:9" s="822" customFormat="1" ht="19.5" customHeight="1">
      <c r="A21" s="3832"/>
      <c r="B21" s="3832"/>
      <c r="C21" s="818" t="s">
        <v>568</v>
      </c>
      <c r="D21" s="819"/>
      <c r="E21" s="817">
        <v>0.8</v>
      </c>
      <c r="F21" s="820" t="s">
        <v>569</v>
      </c>
      <c r="G21" s="821"/>
      <c r="H21" s="813"/>
      <c r="I21" s="813"/>
    </row>
    <row r="22" spans="1:9" s="822" customFormat="1" ht="19.5" customHeight="1">
      <c r="A22" s="3832"/>
      <c r="B22" s="3832"/>
      <c r="C22" s="818" t="s">
        <v>570</v>
      </c>
      <c r="D22" s="819"/>
      <c r="E22" s="817">
        <v>0.5</v>
      </c>
      <c r="F22" s="820"/>
      <c r="G22" s="821"/>
      <c r="H22" s="813"/>
      <c r="I22" s="813"/>
    </row>
    <row r="23" spans="1:9" s="822" customFormat="1" ht="19.5" customHeight="1">
      <c r="A23" s="3832" t="s">
        <v>184</v>
      </c>
      <c r="B23" s="817" t="s">
        <v>560</v>
      </c>
      <c r="C23" s="818" t="s">
        <v>571</v>
      </c>
      <c r="D23" s="819"/>
      <c r="E23" s="817">
        <v>1</v>
      </c>
      <c r="F23" s="820" t="s">
        <v>572</v>
      </c>
      <c r="G23" s="821"/>
      <c r="H23" s="813"/>
      <c r="I23" s="813"/>
    </row>
    <row r="24" spans="1:9" s="822" customFormat="1" ht="19.5" customHeight="1">
      <c r="A24" s="3832"/>
      <c r="B24" s="3832" t="s">
        <v>563</v>
      </c>
      <c r="C24" s="818" t="s">
        <v>573</v>
      </c>
      <c r="D24" s="819"/>
      <c r="E24" s="817">
        <v>0.5</v>
      </c>
      <c r="F24" s="820"/>
      <c r="G24" s="821"/>
      <c r="H24" s="813"/>
      <c r="I24" s="813"/>
    </row>
    <row r="25" spans="1:9" s="822" customFormat="1" ht="19.5" customHeight="1">
      <c r="A25" s="3832"/>
      <c r="B25" s="3832"/>
      <c r="C25" s="818" t="s">
        <v>574</v>
      </c>
      <c r="D25" s="819"/>
      <c r="E25" s="817">
        <v>1.1000000000000001</v>
      </c>
      <c r="F25" s="820"/>
      <c r="G25" s="821"/>
      <c r="H25" s="813"/>
      <c r="I25" s="813"/>
    </row>
    <row r="26" spans="1:9" s="822" customFormat="1" ht="19.5" customHeight="1">
      <c r="A26" s="3832"/>
      <c r="B26" s="3832"/>
      <c r="C26" s="818" t="s">
        <v>575</v>
      </c>
      <c r="D26" s="819"/>
      <c r="E26" s="817">
        <v>1.1000000000000001</v>
      </c>
      <c r="F26" s="820"/>
      <c r="G26" s="821"/>
      <c r="H26" s="813"/>
      <c r="I26" s="813"/>
    </row>
    <row r="27" spans="1:9" s="822" customFormat="1" ht="19.5" customHeight="1">
      <c r="A27" s="3832"/>
      <c r="B27" s="3832"/>
      <c r="C27" s="818" t="s">
        <v>576</v>
      </c>
      <c r="D27" s="819"/>
      <c r="E27" s="817">
        <v>0.9</v>
      </c>
      <c r="F27" s="820" t="s">
        <v>577</v>
      </c>
      <c r="G27" s="821"/>
      <c r="H27" s="813"/>
      <c r="I27" s="813"/>
    </row>
    <row r="28" spans="1:9" s="822" customFormat="1" ht="19.5" customHeight="1">
      <c r="A28" s="3832"/>
      <c r="B28" s="3832"/>
      <c r="C28" s="818" t="s">
        <v>578</v>
      </c>
      <c r="D28" s="819"/>
      <c r="E28" s="817">
        <v>0.9</v>
      </c>
      <c r="F28" s="820" t="s">
        <v>579</v>
      </c>
      <c r="G28" s="821"/>
      <c r="H28" s="813"/>
      <c r="I28" s="813"/>
    </row>
    <row r="29" spans="1:9" s="822" customFormat="1" ht="19.5" customHeight="1">
      <c r="A29" s="3832"/>
      <c r="B29" s="3832"/>
      <c r="C29" s="818" t="s">
        <v>580</v>
      </c>
      <c r="D29" s="819"/>
      <c r="E29" s="817">
        <v>0.9</v>
      </c>
      <c r="F29" s="820" t="s">
        <v>581</v>
      </c>
      <c r="G29" s="821"/>
      <c r="H29" s="813"/>
      <c r="I29" s="813"/>
    </row>
    <row r="30" spans="1:9" s="822" customFormat="1" ht="19.5" customHeight="1">
      <c r="A30" s="3832"/>
      <c r="B30" s="3832"/>
      <c r="C30" s="818" t="s">
        <v>582</v>
      </c>
      <c r="D30" s="819"/>
      <c r="E30" s="817">
        <v>0.9</v>
      </c>
      <c r="F30" s="820" t="s">
        <v>583</v>
      </c>
      <c r="G30" s="821"/>
      <c r="H30" s="813"/>
      <c r="I30" s="813"/>
    </row>
    <row r="31" spans="1:9" s="822" customFormat="1" ht="19.5" customHeight="1">
      <c r="A31" s="3832"/>
      <c r="B31" s="3832"/>
      <c r="C31" s="818" t="s">
        <v>584</v>
      </c>
      <c r="D31" s="819"/>
      <c r="E31" s="817">
        <v>0.8</v>
      </c>
      <c r="F31" s="820" t="s">
        <v>585</v>
      </c>
      <c r="G31" s="821"/>
      <c r="H31" s="813"/>
      <c r="I31" s="813"/>
    </row>
    <row r="32" spans="1:9" s="822" customFormat="1" ht="19.5" customHeight="1">
      <c r="A32" s="3832"/>
      <c r="B32" s="3832"/>
      <c r="C32" s="818" t="s">
        <v>586</v>
      </c>
      <c r="D32" s="819"/>
      <c r="E32" s="817">
        <v>0.8</v>
      </c>
      <c r="F32" s="820" t="s">
        <v>587</v>
      </c>
      <c r="G32" s="821"/>
      <c r="H32" s="813"/>
      <c r="I32" s="813"/>
    </row>
    <row r="33" spans="1:9" s="822" customFormat="1" ht="19.5" customHeight="1">
      <c r="A33" s="3832" t="s">
        <v>185</v>
      </c>
      <c r="B33" s="817" t="s">
        <v>560</v>
      </c>
      <c r="C33" s="818" t="s">
        <v>588</v>
      </c>
      <c r="D33" s="819"/>
      <c r="E33" s="817">
        <v>1</v>
      </c>
      <c r="F33" s="820" t="s">
        <v>589</v>
      </c>
      <c r="G33" s="821"/>
      <c r="H33" s="813"/>
      <c r="I33" s="813"/>
    </row>
    <row r="34" spans="1:9" s="822" customFormat="1" ht="19.5" customHeight="1">
      <c r="A34" s="3832"/>
      <c r="B34" s="817" t="s">
        <v>563</v>
      </c>
      <c r="C34" s="818" t="s">
        <v>590</v>
      </c>
      <c r="D34" s="819"/>
      <c r="E34" s="817">
        <v>1.5</v>
      </c>
      <c r="F34" s="820" t="s">
        <v>591</v>
      </c>
      <c r="G34" s="821"/>
      <c r="H34" s="813"/>
      <c r="I34" s="813"/>
    </row>
    <row r="35" spans="1:9" s="822" customFormat="1" ht="19.5" customHeight="1">
      <c r="A35" s="3832" t="s">
        <v>186</v>
      </c>
      <c r="B35" s="817" t="s">
        <v>560</v>
      </c>
      <c r="C35" s="818" t="s">
        <v>592</v>
      </c>
      <c r="D35" s="819"/>
      <c r="E35" s="817">
        <v>1</v>
      </c>
      <c r="F35" s="820" t="s">
        <v>593</v>
      </c>
      <c r="G35" s="821"/>
      <c r="H35" s="813"/>
      <c r="I35" s="813"/>
    </row>
    <row r="36" spans="1:9" s="822" customFormat="1" ht="19.5" customHeight="1">
      <c r="A36" s="3832"/>
      <c r="B36" s="3832" t="s">
        <v>563</v>
      </c>
      <c r="C36" s="818" t="s">
        <v>594</v>
      </c>
      <c r="D36" s="819"/>
      <c r="E36" s="817">
        <v>1</v>
      </c>
      <c r="F36" s="820" t="s">
        <v>595</v>
      </c>
      <c r="G36" s="821"/>
      <c r="H36" s="813"/>
      <c r="I36" s="813"/>
    </row>
    <row r="37" spans="1:9" s="822" customFormat="1" ht="19.5" customHeight="1">
      <c r="A37" s="3832"/>
      <c r="B37" s="3832"/>
      <c r="C37" s="818" t="s">
        <v>596</v>
      </c>
      <c r="D37" s="819"/>
      <c r="E37" s="817">
        <v>1.5</v>
      </c>
      <c r="F37" s="820" t="s">
        <v>597</v>
      </c>
      <c r="G37" s="821"/>
      <c r="H37" s="813"/>
      <c r="I37" s="813"/>
    </row>
    <row r="38" spans="1:9" s="822" customFormat="1" ht="19.5" customHeight="1">
      <c r="A38" s="3832"/>
      <c r="B38" s="3832"/>
      <c r="C38" s="818" t="s">
        <v>598</v>
      </c>
      <c r="D38" s="819"/>
      <c r="E38" s="817">
        <v>1</v>
      </c>
      <c r="F38" s="820" t="s">
        <v>599</v>
      </c>
      <c r="G38" s="821"/>
      <c r="H38" s="813"/>
      <c r="I38" s="813"/>
    </row>
    <row r="39" spans="1:9" s="822" customFormat="1" ht="19.5" customHeight="1">
      <c r="A39" s="3832"/>
      <c r="B39" s="383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832" t="s">
        <v>614</v>
      </c>
      <c r="C61" s="753" t="s">
        <v>615</v>
      </c>
      <c r="D61" s="753" t="s">
        <v>616</v>
      </c>
      <c r="E61" s="830">
        <v>0.5</v>
      </c>
      <c r="F61" s="817">
        <v>80</v>
      </c>
    </row>
    <row r="62" spans="1:8" s="813" customFormat="1" ht="24">
      <c r="A62" s="817">
        <v>2</v>
      </c>
      <c r="B62" s="3832"/>
      <c r="C62" s="753" t="s">
        <v>617</v>
      </c>
      <c r="D62" s="753" t="s">
        <v>618</v>
      </c>
      <c r="E62" s="830">
        <v>0.5</v>
      </c>
      <c r="F62" s="817">
        <v>80</v>
      </c>
    </row>
    <row r="63" spans="1:8" s="813" customFormat="1" ht="36">
      <c r="A63" s="817">
        <v>3</v>
      </c>
      <c r="B63" s="3832"/>
      <c r="C63" s="753" t="s">
        <v>619</v>
      </c>
      <c r="D63" s="753" t="s">
        <v>620</v>
      </c>
      <c r="E63" s="830">
        <v>0.5</v>
      </c>
      <c r="F63" s="817">
        <v>80</v>
      </c>
    </row>
    <row r="64" spans="1:8" s="813" customFormat="1" ht="36">
      <c r="A64" s="817">
        <v>4</v>
      </c>
      <c r="B64" s="3832"/>
      <c r="C64" s="753" t="s">
        <v>621</v>
      </c>
      <c r="D64" s="753" t="s">
        <v>622</v>
      </c>
      <c r="E64" s="830">
        <v>0.4</v>
      </c>
      <c r="F64" s="817">
        <v>60</v>
      </c>
    </row>
    <row r="65" spans="1:6" s="813" customFormat="1" ht="36">
      <c r="A65" s="817">
        <v>5</v>
      </c>
      <c r="B65" s="3832"/>
      <c r="C65" s="753" t="s">
        <v>623</v>
      </c>
      <c r="D65" s="753" t="s">
        <v>624</v>
      </c>
      <c r="E65" s="830">
        <v>0.2</v>
      </c>
      <c r="F65" s="817">
        <v>30</v>
      </c>
    </row>
    <row r="66" spans="1:6" s="813" customFormat="1" ht="36">
      <c r="A66" s="817">
        <v>6</v>
      </c>
      <c r="B66" s="3832"/>
      <c r="C66" s="753" t="s">
        <v>625</v>
      </c>
      <c r="D66" s="753" t="s">
        <v>626</v>
      </c>
      <c r="E66" s="830">
        <v>0.3</v>
      </c>
      <c r="F66" s="817">
        <v>50</v>
      </c>
    </row>
    <row r="67" spans="1:6" s="813" customFormat="1" ht="36">
      <c r="A67" s="817">
        <v>7</v>
      </c>
      <c r="B67" s="3832"/>
      <c r="C67" s="753" t="s">
        <v>627</v>
      </c>
      <c r="D67" s="753" t="s">
        <v>628</v>
      </c>
      <c r="E67" s="830">
        <v>0.2</v>
      </c>
      <c r="F67" s="817">
        <v>30</v>
      </c>
    </row>
    <row r="68" spans="1:6" s="813" customFormat="1" ht="36">
      <c r="A68" s="817">
        <v>8</v>
      </c>
      <c r="B68" s="3832"/>
      <c r="C68" s="753" t="s">
        <v>629</v>
      </c>
      <c r="D68" s="753" t="s">
        <v>630</v>
      </c>
      <c r="E68" s="830">
        <v>0.2</v>
      </c>
      <c r="F68" s="817">
        <v>30</v>
      </c>
    </row>
    <row r="69" spans="1:6" s="813" customFormat="1" ht="36">
      <c r="A69" s="817">
        <v>9</v>
      </c>
      <c r="B69" s="3832"/>
      <c r="C69" s="753" t="s">
        <v>631</v>
      </c>
      <c r="D69" s="753" t="s">
        <v>632</v>
      </c>
      <c r="E69" s="830">
        <v>0.2</v>
      </c>
      <c r="F69" s="817">
        <v>30</v>
      </c>
    </row>
    <row r="70" spans="1:6" s="813" customFormat="1" ht="48">
      <c r="A70" s="817">
        <v>10</v>
      </c>
      <c r="B70" s="3832"/>
      <c r="C70" s="753" t="s">
        <v>633</v>
      </c>
      <c r="D70" s="753" t="s">
        <v>634</v>
      </c>
      <c r="E70" s="830">
        <v>0.2</v>
      </c>
      <c r="F70" s="817">
        <v>30</v>
      </c>
    </row>
    <row r="71" spans="1:6" s="813" customFormat="1" ht="48">
      <c r="A71" s="817">
        <v>11</v>
      </c>
      <c r="B71" s="3832"/>
      <c r="C71" s="753" t="s">
        <v>635</v>
      </c>
      <c r="D71" s="753" t="s">
        <v>636</v>
      </c>
      <c r="E71" s="830">
        <v>0.2</v>
      </c>
      <c r="F71" s="817">
        <v>30</v>
      </c>
    </row>
    <row r="72" spans="1:6" s="813" customFormat="1" ht="36">
      <c r="A72" s="817">
        <v>12</v>
      </c>
      <c r="B72" s="3832"/>
      <c r="C72" s="753" t="s">
        <v>637</v>
      </c>
      <c r="D72" s="753" t="s">
        <v>638</v>
      </c>
      <c r="E72" s="830">
        <v>0.5</v>
      </c>
      <c r="F72" s="817">
        <v>80</v>
      </c>
    </row>
    <row r="73" spans="1:6" s="813" customFormat="1" ht="24">
      <c r="A73" s="817">
        <v>13</v>
      </c>
      <c r="B73" s="3832"/>
      <c r="C73" s="753" t="s">
        <v>639</v>
      </c>
      <c r="D73" s="753" t="s">
        <v>640</v>
      </c>
      <c r="E73" s="830">
        <v>0.4</v>
      </c>
      <c r="F73" s="817">
        <v>60</v>
      </c>
    </row>
    <row r="74" spans="1:6" s="813" customFormat="1" ht="24">
      <c r="A74" s="817">
        <v>14</v>
      </c>
      <c r="B74" s="3832"/>
      <c r="C74" s="753" t="s">
        <v>641</v>
      </c>
      <c r="D74" s="753" t="s">
        <v>642</v>
      </c>
      <c r="E74" s="830">
        <v>0.2</v>
      </c>
      <c r="F74" s="817">
        <v>30</v>
      </c>
    </row>
    <row r="75" spans="1:6" s="813" customFormat="1" ht="24">
      <c r="A75" s="817">
        <v>15</v>
      </c>
      <c r="B75" s="3832"/>
      <c r="C75" s="753" t="s">
        <v>643</v>
      </c>
      <c r="D75" s="753" t="s">
        <v>644</v>
      </c>
      <c r="E75" s="830">
        <v>0.2</v>
      </c>
      <c r="F75" s="817">
        <v>30</v>
      </c>
    </row>
    <row r="76" spans="1:6" s="813" customFormat="1" ht="24">
      <c r="A76" s="817">
        <v>16</v>
      </c>
      <c r="B76" s="3832" t="s">
        <v>645</v>
      </c>
      <c r="C76" s="753" t="s">
        <v>646</v>
      </c>
      <c r="D76" s="753" t="s">
        <v>647</v>
      </c>
      <c r="E76" s="830">
        <v>0.5</v>
      </c>
      <c r="F76" s="817">
        <v>80</v>
      </c>
    </row>
    <row r="77" spans="1:6" s="813" customFormat="1" ht="24">
      <c r="A77" s="817">
        <v>17</v>
      </c>
      <c r="B77" s="3832"/>
      <c r="C77" s="753" t="s">
        <v>648</v>
      </c>
      <c r="D77" s="753" t="s">
        <v>649</v>
      </c>
      <c r="E77" s="830">
        <v>0.5</v>
      </c>
      <c r="F77" s="817">
        <v>80</v>
      </c>
    </row>
    <row r="78" spans="1:6" s="813" customFormat="1" ht="24">
      <c r="A78" s="817">
        <v>18</v>
      </c>
      <c r="B78" s="3832"/>
      <c r="C78" s="753" t="s">
        <v>650</v>
      </c>
      <c r="D78" s="753" t="s">
        <v>651</v>
      </c>
      <c r="E78" s="830">
        <v>0.2</v>
      </c>
      <c r="F78" s="817">
        <v>30</v>
      </c>
    </row>
    <row r="79" spans="1:6" s="813" customFormat="1" ht="24">
      <c r="A79" s="817">
        <v>19</v>
      </c>
      <c r="B79" s="3832"/>
      <c r="C79" s="753" t="s">
        <v>652</v>
      </c>
      <c r="D79" s="753" t="s">
        <v>653</v>
      </c>
      <c r="E79" s="830">
        <v>0.5</v>
      </c>
      <c r="F79" s="817">
        <v>80</v>
      </c>
    </row>
    <row r="80" spans="1:6" s="813" customFormat="1" ht="36">
      <c r="A80" s="817">
        <v>20</v>
      </c>
      <c r="B80" s="3832"/>
      <c r="C80" s="753" t="s">
        <v>654</v>
      </c>
      <c r="D80" s="753" t="s">
        <v>655</v>
      </c>
      <c r="E80" s="830">
        <v>0.2</v>
      </c>
      <c r="F80" s="817">
        <v>30</v>
      </c>
    </row>
    <row r="81" spans="1:6" s="813" customFormat="1" ht="36">
      <c r="A81" s="817">
        <v>21</v>
      </c>
      <c r="B81" s="3832"/>
      <c r="C81" s="753" t="s">
        <v>656</v>
      </c>
      <c r="D81" s="753" t="s">
        <v>657</v>
      </c>
      <c r="E81" s="830">
        <v>0.2</v>
      </c>
      <c r="F81" s="817">
        <v>30</v>
      </c>
    </row>
    <row r="82" spans="1:6" s="813" customFormat="1" ht="48">
      <c r="A82" s="817">
        <v>22</v>
      </c>
      <c r="B82" s="3832"/>
      <c r="C82" s="753" t="s">
        <v>658</v>
      </c>
      <c r="D82" s="753" t="s">
        <v>659</v>
      </c>
      <c r="E82" s="830">
        <v>0.2</v>
      </c>
      <c r="F82" s="817">
        <v>30</v>
      </c>
    </row>
    <row r="83" spans="1:6" s="813" customFormat="1" ht="48">
      <c r="A83" s="817">
        <v>23</v>
      </c>
      <c r="B83" s="3832"/>
      <c r="C83" s="753" t="s">
        <v>660</v>
      </c>
      <c r="D83" s="753" t="s">
        <v>661</v>
      </c>
      <c r="E83" s="830">
        <v>0.2</v>
      </c>
      <c r="F83" s="817">
        <v>30</v>
      </c>
    </row>
    <row r="84" spans="1:6" s="813" customFormat="1" ht="36">
      <c r="A84" s="817">
        <v>24</v>
      </c>
      <c r="B84" s="3832"/>
      <c r="C84" s="753" t="s">
        <v>662</v>
      </c>
      <c r="D84" s="753" t="s">
        <v>663</v>
      </c>
      <c r="E84" s="830">
        <v>0.2</v>
      </c>
      <c r="F84" s="817">
        <v>30</v>
      </c>
    </row>
    <row r="85" spans="1:6" s="813" customFormat="1" ht="36">
      <c r="A85" s="817">
        <v>25</v>
      </c>
      <c r="B85" s="3832"/>
      <c r="C85" s="753" t="s">
        <v>664</v>
      </c>
      <c r="D85" s="753" t="s">
        <v>665</v>
      </c>
      <c r="E85" s="830">
        <v>0.5</v>
      </c>
      <c r="F85" s="817">
        <v>80</v>
      </c>
    </row>
    <row r="86" spans="1:6" s="813" customFormat="1" ht="36">
      <c r="A86" s="817">
        <v>26</v>
      </c>
      <c r="B86" s="3832"/>
      <c r="C86" s="753" t="s">
        <v>666</v>
      </c>
      <c r="D86" s="753" t="s">
        <v>667</v>
      </c>
      <c r="E86" s="830">
        <v>0.2</v>
      </c>
      <c r="F86" s="817">
        <v>30</v>
      </c>
    </row>
    <row r="87" spans="1:6" s="813" customFormat="1" ht="36">
      <c r="A87" s="817">
        <v>27</v>
      </c>
      <c r="B87" s="3832"/>
      <c r="C87" s="753" t="s">
        <v>668</v>
      </c>
      <c r="D87" s="753" t="s">
        <v>669</v>
      </c>
      <c r="E87" s="830">
        <v>0.2</v>
      </c>
      <c r="F87" s="817">
        <v>30</v>
      </c>
    </row>
    <row r="88" spans="1:6" s="813" customFormat="1" ht="36">
      <c r="A88" s="817">
        <v>28</v>
      </c>
      <c r="B88" s="3832"/>
      <c r="C88" s="753" t="s">
        <v>670</v>
      </c>
      <c r="D88" s="753" t="s">
        <v>671</v>
      </c>
      <c r="E88" s="830">
        <v>0.2</v>
      </c>
      <c r="F88" s="817">
        <v>30</v>
      </c>
    </row>
    <row r="89" spans="1:6" s="813" customFormat="1" ht="24">
      <c r="A89" s="817">
        <v>29</v>
      </c>
      <c r="B89" s="3832"/>
      <c r="C89" s="753" t="s">
        <v>672</v>
      </c>
      <c r="D89" s="753" t="s">
        <v>673</v>
      </c>
      <c r="E89" s="830">
        <v>0.2</v>
      </c>
      <c r="F89" s="817">
        <v>30</v>
      </c>
    </row>
    <row r="90" spans="1:6" s="813" customFormat="1" ht="24">
      <c r="A90" s="817">
        <v>30</v>
      </c>
      <c r="B90" s="3832"/>
      <c r="C90" s="753" t="s">
        <v>674</v>
      </c>
      <c r="D90" s="753" t="s">
        <v>675</v>
      </c>
      <c r="E90" s="830">
        <v>0.2</v>
      </c>
      <c r="F90" s="817">
        <v>30</v>
      </c>
    </row>
    <row r="91" spans="1:6" s="813" customFormat="1" ht="36">
      <c r="A91" s="817">
        <v>31</v>
      </c>
      <c r="B91" s="3832"/>
      <c r="C91" s="753" t="s">
        <v>676</v>
      </c>
      <c r="D91" s="753" t="s">
        <v>677</v>
      </c>
      <c r="E91" s="830">
        <v>0.2</v>
      </c>
      <c r="F91" s="817">
        <v>30</v>
      </c>
    </row>
    <row r="92" spans="1:6" s="813" customFormat="1" ht="24">
      <c r="A92" s="817">
        <v>32</v>
      </c>
      <c r="B92" s="3832" t="s">
        <v>678</v>
      </c>
      <c r="C92" s="817" t="s">
        <v>679</v>
      </c>
      <c r="D92" s="753" t="s">
        <v>680</v>
      </c>
      <c r="E92" s="830">
        <v>0.2</v>
      </c>
      <c r="F92" s="817">
        <v>30</v>
      </c>
    </row>
    <row r="93" spans="1:6" s="813" customFormat="1" ht="36">
      <c r="A93" s="817">
        <v>33</v>
      </c>
      <c r="B93" s="3832"/>
      <c r="C93" s="817" t="s">
        <v>681</v>
      </c>
      <c r="D93" s="753" t="s">
        <v>682</v>
      </c>
      <c r="E93" s="830">
        <v>0.2</v>
      </c>
      <c r="F93" s="817">
        <v>30</v>
      </c>
    </row>
    <row r="94" spans="1:6" s="813" customFormat="1" ht="48">
      <c r="A94" s="817">
        <v>34</v>
      </c>
      <c r="B94" s="3832"/>
      <c r="C94" s="817" t="s">
        <v>683</v>
      </c>
      <c r="D94" s="753" t="s">
        <v>684</v>
      </c>
      <c r="E94" s="830">
        <v>0.2</v>
      </c>
      <c r="F94" s="817">
        <v>30</v>
      </c>
    </row>
    <row r="95" spans="1:6" s="813" customFormat="1" ht="36">
      <c r="A95" s="817">
        <v>35</v>
      </c>
      <c r="B95" s="3832"/>
      <c r="C95" s="817" t="s">
        <v>685</v>
      </c>
      <c r="D95" s="753" t="s">
        <v>686</v>
      </c>
      <c r="E95" s="830">
        <v>0.2</v>
      </c>
      <c r="F95" s="817">
        <v>30</v>
      </c>
    </row>
    <row r="96" spans="1:6" s="813" customFormat="1" ht="48">
      <c r="A96" s="817">
        <v>36</v>
      </c>
      <c r="B96" s="3832"/>
      <c r="C96" s="753" t="s">
        <v>687</v>
      </c>
      <c r="D96" s="753" t="s">
        <v>688</v>
      </c>
      <c r="E96" s="830">
        <v>0.2</v>
      </c>
      <c r="F96" s="817">
        <v>30</v>
      </c>
    </row>
    <row r="97" spans="1:6" s="813" customFormat="1" ht="36">
      <c r="A97" s="817">
        <v>37</v>
      </c>
      <c r="B97" s="3832"/>
      <c r="C97" s="817" t="s">
        <v>689</v>
      </c>
      <c r="D97" s="753" t="s">
        <v>690</v>
      </c>
      <c r="E97" s="830">
        <v>0.2</v>
      </c>
      <c r="F97" s="817">
        <v>30</v>
      </c>
    </row>
    <row r="98" spans="1:6" s="813" customFormat="1" ht="36">
      <c r="A98" s="817">
        <v>38</v>
      </c>
      <c r="B98" s="3832"/>
      <c r="C98" s="817" t="s">
        <v>691</v>
      </c>
      <c r="D98" s="753" t="s">
        <v>692</v>
      </c>
      <c r="E98" s="830">
        <v>0.2</v>
      </c>
      <c r="F98" s="817">
        <v>30</v>
      </c>
    </row>
    <row r="99" spans="1:6" s="813" customFormat="1" ht="36">
      <c r="A99" s="817">
        <v>39</v>
      </c>
      <c r="B99" s="3832" t="s">
        <v>693</v>
      </c>
      <c r="C99" s="817" t="s">
        <v>694</v>
      </c>
      <c r="D99" s="753" t="s">
        <v>695</v>
      </c>
      <c r="E99" s="830">
        <v>0.3</v>
      </c>
      <c r="F99" s="817">
        <v>50</v>
      </c>
    </row>
    <row r="100" spans="1:6" s="813" customFormat="1" ht="24">
      <c r="A100" s="817">
        <v>40</v>
      </c>
      <c r="B100" s="3832"/>
      <c r="C100" s="817" t="s">
        <v>696</v>
      </c>
      <c r="D100" s="753" t="s">
        <v>697</v>
      </c>
      <c r="E100" s="830">
        <v>0.2</v>
      </c>
      <c r="F100" s="817">
        <v>30</v>
      </c>
    </row>
    <row r="101" spans="1:6" s="813" customFormat="1" ht="36">
      <c r="A101" s="817">
        <v>41</v>
      </c>
      <c r="B101" s="383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832" t="s">
        <v>708</v>
      </c>
      <c r="C105" s="817" t="s">
        <v>709</v>
      </c>
      <c r="D105" s="753" t="s">
        <v>710</v>
      </c>
      <c r="E105" s="830">
        <v>0.2</v>
      </c>
      <c r="F105" s="817">
        <v>30</v>
      </c>
    </row>
    <row r="106" spans="1:6" s="813" customFormat="1" ht="36">
      <c r="A106" s="817">
        <v>46</v>
      </c>
      <c r="B106" s="3832"/>
      <c r="C106" s="817" t="s">
        <v>711</v>
      </c>
      <c r="D106" s="753" t="s">
        <v>712</v>
      </c>
      <c r="E106" s="830">
        <v>0.2</v>
      </c>
      <c r="F106" s="817">
        <v>30</v>
      </c>
    </row>
    <row r="107" spans="1:6" s="813" customFormat="1" ht="36">
      <c r="A107" s="817">
        <v>47</v>
      </c>
      <c r="B107" s="3832" t="s">
        <v>713</v>
      </c>
      <c r="C107" s="817" t="s">
        <v>714</v>
      </c>
      <c r="D107" s="753" t="s">
        <v>715</v>
      </c>
      <c r="E107" s="830">
        <v>0.3</v>
      </c>
      <c r="F107" s="817">
        <v>50</v>
      </c>
    </row>
    <row r="108" spans="1:6" s="813" customFormat="1" ht="36">
      <c r="A108" s="817">
        <v>48</v>
      </c>
      <c r="B108" s="383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832" t="s">
        <v>724</v>
      </c>
      <c r="C111" s="817" t="s">
        <v>725</v>
      </c>
      <c r="D111" s="753" t="s">
        <v>726</v>
      </c>
      <c r="E111" s="830">
        <v>0.2</v>
      </c>
      <c r="F111" s="817">
        <v>30</v>
      </c>
    </row>
    <row r="112" spans="1:6" s="813" customFormat="1" ht="24">
      <c r="A112" s="817">
        <v>52</v>
      </c>
      <c r="B112" s="3832"/>
      <c r="C112" s="817" t="s">
        <v>727</v>
      </c>
      <c r="D112" s="753" t="s">
        <v>728</v>
      </c>
      <c r="E112" s="830">
        <v>0.2</v>
      </c>
      <c r="F112" s="817">
        <v>30</v>
      </c>
    </row>
    <row r="113" spans="1:6" s="813" customFormat="1" ht="24">
      <c r="A113" s="817">
        <v>53</v>
      </c>
      <c r="B113" s="383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832" t="s">
        <v>737</v>
      </c>
      <c r="C116" s="817" t="s">
        <v>738</v>
      </c>
      <c r="D116" s="753" t="s">
        <v>739</v>
      </c>
      <c r="E116" s="830">
        <v>0.2</v>
      </c>
      <c r="F116" s="817">
        <v>30</v>
      </c>
    </row>
    <row r="117" spans="1:6" ht="36">
      <c r="A117" s="817">
        <v>57</v>
      </c>
      <c r="B117" s="383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8" t="s">
        <v>2761</v>
      </c>
      <c r="B1" s="2326"/>
      <c r="C1" s="2326"/>
      <c r="D1" s="2326"/>
      <c r="E1" s="2326"/>
      <c r="F1" s="2986"/>
      <c r="G1" s="2986"/>
      <c r="H1" s="2986"/>
      <c r="I1" s="2986"/>
      <c r="J1" s="2986"/>
      <c r="K1" s="2986"/>
      <c r="L1" s="2986"/>
      <c r="M1" s="2986"/>
      <c r="N1" s="2986"/>
      <c r="O1" s="2986"/>
      <c r="P1" s="2986"/>
    </row>
    <row r="2" spans="1:16" ht="15.75">
      <c r="A2" s="2324" t="s">
        <v>2753</v>
      </c>
      <c r="B2" s="2790" t="e">
        <f ca="1">SUMIF(B6:B13,"&lt;&gt;#ref!",B6:B13)</f>
        <v>#DIV/0!</v>
      </c>
      <c r="C2" s="2324" t="s">
        <v>2754</v>
      </c>
      <c r="D2" s="2324" t="s">
        <v>2755</v>
      </c>
      <c r="E2" s="2800">
        <f ca="1">SUMIF(E6:E13,"&lt;&gt;#ref!",E6:E13)</f>
        <v>0</v>
      </c>
      <c r="F2" s="2986"/>
      <c r="G2" s="2986"/>
      <c r="H2" s="2986"/>
      <c r="I2" s="2986"/>
      <c r="J2" s="2986"/>
      <c r="K2" s="2986"/>
      <c r="L2" s="2986"/>
      <c r="M2" s="2986"/>
      <c r="N2" s="2986"/>
      <c r="O2" s="2986"/>
      <c r="P2" s="2986"/>
    </row>
    <row r="3" spans="1:16" ht="15.75">
      <c r="A3" s="2324" t="s">
        <v>2756</v>
      </c>
      <c r="B3" s="2790" t="e">
        <f ca="1">ROUND(B2*10000/E2,0)</f>
        <v>#DIV/0!</v>
      </c>
      <c r="C3" s="2324" t="s">
        <v>2762</v>
      </c>
      <c r="D3" s="2986"/>
      <c r="E3" s="2986"/>
      <c r="F3" s="2986"/>
      <c r="G3" s="2986"/>
      <c r="H3" s="2986"/>
      <c r="I3" s="2986"/>
      <c r="J3" s="2986"/>
      <c r="K3" s="2986"/>
      <c r="L3" s="2986"/>
      <c r="M3" s="2986"/>
      <c r="N3" s="2986"/>
      <c r="O3" s="2986"/>
      <c r="P3" s="2986"/>
    </row>
    <row r="4" spans="1:16" ht="15.75">
      <c r="A4" s="2987"/>
      <c r="B4" s="2986"/>
      <c r="C4" s="2986"/>
      <c r="D4" s="2986"/>
      <c r="E4" s="2986"/>
      <c r="F4" s="2986"/>
      <c r="G4" s="2986"/>
      <c r="H4" s="2986"/>
      <c r="I4" s="2986"/>
      <c r="J4" s="2986"/>
      <c r="K4" s="2986"/>
      <c r="L4" s="2986"/>
      <c r="M4" s="2986"/>
      <c r="N4" s="2986"/>
      <c r="O4" s="2986"/>
      <c r="P4" s="2986"/>
    </row>
    <row r="5" spans="1:16" ht="28.5">
      <c r="A5" s="2796" t="s">
        <v>2757</v>
      </c>
      <c r="B5" s="2798" t="s">
        <v>2758</v>
      </c>
      <c r="C5" s="2325"/>
      <c r="D5" s="2986"/>
      <c r="E5" s="2799" t="s">
        <v>2759</v>
      </c>
      <c r="F5" s="2986"/>
      <c r="G5" s="2986"/>
      <c r="H5" s="2986"/>
      <c r="I5" s="2986"/>
      <c r="J5" s="2986"/>
      <c r="K5" s="2986"/>
      <c r="L5" s="2986"/>
      <c r="M5" s="2986"/>
      <c r="N5" s="2986"/>
      <c r="O5" s="2986"/>
      <c r="P5" s="2986"/>
    </row>
    <row r="6" spans="1:16" ht="15.75">
      <c r="A6" s="2797" t="s">
        <v>2760</v>
      </c>
      <c r="B6" s="2790" t="e">
        <f ca="1">SUMIF(INDIRECT("'"&amp;A6&amp;"'"&amp;"!A:A"),"总价",INDIRECT("'"&amp;A6&amp;"'"&amp;"!B:B"))</f>
        <v>#DIV/0!</v>
      </c>
      <c r="C6" s="2324" t="s">
        <v>2754</v>
      </c>
      <c r="D6" s="2986"/>
      <c r="E6" s="2800">
        <f ca="1">SUMIF(INDIRECT("'"&amp;A6&amp;"'"&amp;"!C:C"),"建筑面积",INDIRECT("'"&amp;A6&amp;"'"&amp;"!D:D"))</f>
        <v>0</v>
      </c>
      <c r="F6" s="2986"/>
      <c r="G6" s="2986"/>
      <c r="H6" s="2986"/>
      <c r="I6" s="2986"/>
      <c r="J6" s="2986"/>
      <c r="K6" s="2986"/>
      <c r="L6" s="2986"/>
      <c r="M6" s="2986"/>
      <c r="N6" s="2986"/>
      <c r="O6" s="2986"/>
      <c r="P6" s="2986"/>
    </row>
    <row r="7" spans="1:16" ht="15.75">
      <c r="A7" s="2797"/>
      <c r="B7" s="2790" t="e">
        <f ca="1">SUMIF(INDIRECT("'"&amp;A7&amp;"'"&amp;"!A:A"),"总价",INDIRECT("'"&amp;A7&amp;"'"&amp;"!B:B"))</f>
        <v>#REF!</v>
      </c>
      <c r="C7" s="2324" t="s">
        <v>2754</v>
      </c>
      <c r="D7" s="2986"/>
      <c r="E7" s="2800" t="e">
        <f t="shared" ref="E7:E13" ca="1" si="0">SUMIF(INDIRECT("'"&amp;A7&amp;"'"&amp;"!C:C"),"建筑面积",INDIRECT("'"&amp;A7&amp;"'"&amp;"!D:D"))</f>
        <v>#REF!</v>
      </c>
      <c r="F7" s="2986"/>
      <c r="G7" s="2986"/>
      <c r="H7" s="2986"/>
      <c r="I7" s="2986"/>
      <c r="J7" s="2986"/>
      <c r="K7" s="2986"/>
      <c r="L7" s="2986"/>
      <c r="M7" s="2986"/>
      <c r="N7" s="2986"/>
      <c r="O7" s="2986"/>
      <c r="P7" s="2986"/>
    </row>
    <row r="8" spans="1:16" ht="15.75">
      <c r="A8" s="2797"/>
      <c r="B8" s="2790" t="e">
        <f t="shared" ref="B8:B13" ca="1" si="1">SUMIF(INDIRECT("'"&amp;A8&amp;"'"&amp;"!A:A"),"总价",INDIRECT("'"&amp;A8&amp;"'"&amp;"!B:B"))</f>
        <v>#REF!</v>
      </c>
      <c r="C8" s="2324" t="s">
        <v>2754</v>
      </c>
      <c r="D8" s="2986"/>
      <c r="E8" s="2800" t="e">
        <f t="shared" ca="1" si="0"/>
        <v>#REF!</v>
      </c>
      <c r="F8" s="2986"/>
      <c r="G8" s="2986"/>
      <c r="H8" s="2986"/>
      <c r="I8" s="2986"/>
      <c r="J8" s="2986"/>
      <c r="K8" s="2986"/>
      <c r="L8" s="2986"/>
      <c r="M8" s="2986"/>
      <c r="N8" s="2986"/>
      <c r="O8" s="2986"/>
      <c r="P8" s="2986"/>
    </row>
    <row r="9" spans="1:16" ht="15.75">
      <c r="A9" s="2797"/>
      <c r="B9" s="2790" t="e">
        <f t="shared" ca="1" si="1"/>
        <v>#REF!</v>
      </c>
      <c r="C9" s="2324" t="s">
        <v>2754</v>
      </c>
      <c r="D9" s="2986"/>
      <c r="E9" s="2800" t="e">
        <f t="shared" ca="1" si="0"/>
        <v>#REF!</v>
      </c>
      <c r="F9" s="2986"/>
      <c r="G9" s="2986"/>
      <c r="H9" s="2986"/>
      <c r="I9" s="2986"/>
      <c r="J9" s="2986"/>
      <c r="K9" s="2986"/>
      <c r="L9" s="2986"/>
      <c r="M9" s="2986"/>
      <c r="N9" s="2986"/>
      <c r="O9" s="2986"/>
      <c r="P9" s="2986"/>
    </row>
    <row r="10" spans="1:16" ht="15.75">
      <c r="A10" s="2797"/>
      <c r="B10" s="2790" t="e">
        <f t="shared" ca="1" si="1"/>
        <v>#REF!</v>
      </c>
      <c r="C10" s="2324" t="s">
        <v>2754</v>
      </c>
      <c r="D10" s="2986"/>
      <c r="E10" s="2800" t="e">
        <f t="shared" ca="1" si="0"/>
        <v>#REF!</v>
      </c>
      <c r="F10" s="2986"/>
      <c r="G10" s="2986"/>
      <c r="H10" s="2986"/>
      <c r="I10" s="2986"/>
      <c r="J10" s="2986"/>
      <c r="K10" s="2986"/>
      <c r="L10" s="2986"/>
      <c r="M10" s="2986"/>
      <c r="N10" s="2986"/>
      <c r="O10" s="2986"/>
      <c r="P10" s="2986"/>
    </row>
    <row r="11" spans="1:16" ht="15.75">
      <c r="A11" s="2797"/>
      <c r="B11" s="2790" t="e">
        <f t="shared" ca="1" si="1"/>
        <v>#REF!</v>
      </c>
      <c r="C11" s="2324" t="s">
        <v>2754</v>
      </c>
      <c r="D11" s="2986"/>
      <c r="E11" s="2800" t="e">
        <f t="shared" ca="1" si="0"/>
        <v>#REF!</v>
      </c>
      <c r="F11" s="2986"/>
      <c r="G11" s="2986"/>
      <c r="H11" s="2986"/>
      <c r="I11" s="2986"/>
      <c r="J11" s="2986"/>
      <c r="K11" s="2986"/>
      <c r="L11" s="2986"/>
      <c r="M11" s="2986"/>
      <c r="N11" s="2986"/>
      <c r="O11" s="2986"/>
      <c r="P11" s="2986"/>
    </row>
    <row r="12" spans="1:16" ht="15.75">
      <c r="A12" s="2797"/>
      <c r="B12" s="2790" t="e">
        <f t="shared" ca="1" si="1"/>
        <v>#REF!</v>
      </c>
      <c r="C12" s="2324" t="s">
        <v>2754</v>
      </c>
      <c r="D12" s="2986"/>
      <c r="E12" s="2800" t="e">
        <f t="shared" ca="1" si="0"/>
        <v>#REF!</v>
      </c>
      <c r="F12" s="2986"/>
      <c r="G12" s="2986"/>
      <c r="H12" s="2986"/>
      <c r="I12" s="2986"/>
      <c r="J12" s="2986"/>
      <c r="K12" s="2986"/>
      <c r="L12" s="2986"/>
      <c r="M12" s="2986"/>
      <c r="N12" s="2986"/>
      <c r="O12" s="2986"/>
      <c r="P12" s="2986"/>
    </row>
    <row r="13" spans="1:16" ht="15.75">
      <c r="A13" s="2797"/>
      <c r="B13" s="2790" t="e">
        <f t="shared" ca="1" si="1"/>
        <v>#REF!</v>
      </c>
      <c r="C13" s="2324" t="s">
        <v>2754</v>
      </c>
      <c r="D13" s="2986"/>
      <c r="E13" s="2800" t="e">
        <f t="shared" ca="1" si="0"/>
        <v>#REF!</v>
      </c>
      <c r="F13" s="2986"/>
      <c r="G13" s="2986"/>
      <c r="H13" s="2986"/>
      <c r="I13" s="2986"/>
      <c r="J13" s="2986"/>
      <c r="K13" s="2986"/>
      <c r="L13" s="2986"/>
      <c r="M13" s="2986"/>
      <c r="N13" s="2986"/>
      <c r="O13" s="2986"/>
      <c r="P13" s="2986"/>
    </row>
    <row r="14" spans="1:16">
      <c r="A14" s="2986"/>
      <c r="B14" s="2986"/>
      <c r="C14" s="2986"/>
      <c r="D14" s="2986"/>
      <c r="E14" s="2986"/>
      <c r="F14" s="2986"/>
      <c r="G14" s="2986"/>
      <c r="H14" s="2986"/>
      <c r="I14" s="2986"/>
      <c r="J14" s="2986"/>
      <c r="K14" s="2986"/>
      <c r="L14" s="2986"/>
      <c r="M14" s="2986"/>
      <c r="N14" s="2986"/>
      <c r="O14" s="2986"/>
      <c r="P14" s="2986"/>
    </row>
    <row r="15" spans="1:16">
      <c r="A15" s="2986"/>
      <c r="B15" s="2986"/>
      <c r="C15" s="2986"/>
      <c r="D15" s="2986"/>
      <c r="E15" s="2986"/>
      <c r="F15" s="2986"/>
      <c r="G15" s="2986"/>
      <c r="H15" s="2986"/>
      <c r="I15" s="2986"/>
      <c r="J15" s="2986"/>
      <c r="K15" s="2986"/>
      <c r="L15" s="2986"/>
      <c r="M15" s="2986"/>
      <c r="N15" s="2986"/>
      <c r="O15" s="2986"/>
      <c r="P15" s="2986"/>
    </row>
    <row r="16" spans="1:16">
      <c r="A16" s="2986"/>
      <c r="B16" s="2986"/>
      <c r="C16" s="2986"/>
      <c r="D16" s="2986"/>
      <c r="E16" s="2986"/>
      <c r="F16" s="2986"/>
      <c r="G16" s="2986"/>
      <c r="H16" s="2986"/>
      <c r="I16" s="2986"/>
      <c r="J16" s="2986"/>
      <c r="K16" s="2986"/>
      <c r="L16" s="2986"/>
      <c r="M16" s="2986"/>
      <c r="N16" s="2986"/>
      <c r="O16" s="2986"/>
      <c r="P16" s="2986"/>
    </row>
    <row r="17" spans="1:16">
      <c r="A17" s="2986"/>
      <c r="B17" s="2986"/>
      <c r="C17" s="2986"/>
      <c r="D17" s="2986"/>
      <c r="E17" s="2986"/>
      <c r="F17" s="2986"/>
      <c r="G17" s="2986"/>
      <c r="H17" s="2986"/>
      <c r="I17" s="2986"/>
      <c r="J17" s="2986"/>
      <c r="K17" s="2986"/>
      <c r="L17" s="2986"/>
      <c r="M17" s="2986"/>
      <c r="N17" s="2986"/>
      <c r="O17" s="2986"/>
      <c r="P17" s="2986"/>
    </row>
    <row r="18" spans="1:16">
      <c r="A18" s="2986"/>
      <c r="B18" s="2986"/>
      <c r="C18" s="2986"/>
      <c r="D18" s="2986"/>
      <c r="E18" s="2986"/>
      <c r="F18" s="2986"/>
      <c r="G18" s="2986"/>
      <c r="H18" s="2986"/>
      <c r="I18" s="2986"/>
      <c r="J18" s="2986"/>
      <c r="K18" s="2986"/>
      <c r="L18" s="2986"/>
      <c r="M18" s="2986"/>
      <c r="N18" s="2986"/>
      <c r="O18" s="2986"/>
      <c r="P18" s="2986"/>
    </row>
    <row r="19" spans="1:16">
      <c r="A19" s="2986"/>
      <c r="B19" s="2986"/>
      <c r="C19" s="2986"/>
      <c r="D19" s="2986"/>
      <c r="E19" s="2986"/>
      <c r="F19" s="2986"/>
      <c r="G19" s="2986"/>
      <c r="H19" s="2986"/>
      <c r="I19" s="2986"/>
      <c r="J19" s="2986"/>
      <c r="K19" s="2986"/>
      <c r="L19" s="2986"/>
      <c r="M19" s="2986"/>
      <c r="N19" s="2986"/>
      <c r="O19" s="2986"/>
      <c r="P19" s="2986"/>
    </row>
    <row r="20" spans="1:16">
      <c r="A20" s="2986"/>
      <c r="B20" s="2986"/>
      <c r="C20" s="2986"/>
      <c r="D20" s="2986"/>
      <c r="E20" s="2986"/>
      <c r="F20" s="2986"/>
      <c r="G20" s="2986"/>
      <c r="H20" s="2986"/>
      <c r="I20" s="2986"/>
      <c r="J20" s="2986"/>
      <c r="K20" s="2986"/>
      <c r="L20" s="2986"/>
      <c r="M20" s="2986"/>
      <c r="N20" s="2986"/>
      <c r="O20" s="2986"/>
      <c r="P20" s="2986"/>
    </row>
    <row r="21" spans="1:16">
      <c r="A21" s="2986"/>
      <c r="B21" s="2986"/>
      <c r="C21" s="2986"/>
      <c r="D21" s="2986"/>
      <c r="E21" s="2986"/>
      <c r="F21" s="2986"/>
      <c r="G21" s="2986"/>
      <c r="H21" s="2986"/>
      <c r="I21" s="2986"/>
      <c r="J21" s="2986"/>
      <c r="K21" s="2986"/>
      <c r="L21" s="2986"/>
      <c r="M21" s="2986"/>
      <c r="N21" s="2986"/>
      <c r="O21" s="2986"/>
      <c r="P21" s="298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I6" sqref="I6:L6"/>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838" t="s">
        <v>1058</v>
      </c>
      <c r="C1" s="3838"/>
      <c r="D1" s="3838"/>
      <c r="E1" s="3838"/>
      <c r="F1" s="3838"/>
      <c r="G1" s="3837" t="s">
        <v>1059</v>
      </c>
      <c r="H1" s="3837"/>
      <c r="I1" s="3837"/>
      <c r="J1" s="3837"/>
      <c r="K1" s="3837"/>
      <c r="L1" s="3837"/>
      <c r="N1" s="3837" t="s">
        <v>1060</v>
      </c>
      <c r="O1" s="3837"/>
      <c r="P1" s="3837"/>
      <c r="Q1" s="3837"/>
      <c r="S1" s="3837" t="s">
        <v>1061</v>
      </c>
      <c r="T1" s="3837"/>
      <c r="U1" s="3837"/>
      <c r="V1" s="3837"/>
      <c r="X1" s="3836" t="s">
        <v>1062</v>
      </c>
      <c r="Y1" s="3837"/>
      <c r="Z1" s="3837"/>
      <c r="AA1" s="3837"/>
      <c r="AB1" s="3837"/>
      <c r="AD1" s="3836" t="s">
        <v>1063</v>
      </c>
      <c r="AE1" s="3837"/>
      <c r="AF1" s="3837"/>
      <c r="AG1" s="3837"/>
      <c r="AH1" s="3837"/>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2794</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3125</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8">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2795</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3124</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8">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3001</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3">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3000</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2">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2999</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6">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2996</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5">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2995</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2">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2811</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2809</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2808</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5" thickBot="1">
      <c r="A15" s="2386" t="s">
        <v>2807</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2805</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5" thickBot="1">
      <c r="A17" s="2386" t="s">
        <v>2803</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2806</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834">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5" customHeight="1">
      <c r="A19" s="2386" t="s">
        <v>2801</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834"/>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5" customHeight="1">
      <c r="A20" s="2386" t="s">
        <v>2800</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834"/>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2793</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843"/>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2791</v>
      </c>
      <c r="B22" s="2401">
        <v>439</v>
      </c>
      <c r="C22" s="2401">
        <v>327</v>
      </c>
      <c r="D22" s="2401">
        <f>C22</f>
        <v>327</v>
      </c>
      <c r="E22" s="2401">
        <v>627</v>
      </c>
      <c r="F22" s="2402">
        <v>283</v>
      </c>
      <c r="G22" s="3839">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5" customHeight="1">
      <c r="A23" s="2386" t="s">
        <v>2792</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834"/>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5"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834"/>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843"/>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839">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834"/>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834"/>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5"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835"/>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5" thickBot="1">
      <c r="A30" s="2386" t="s">
        <v>151</v>
      </c>
      <c r="B30" s="2401">
        <v>333</v>
      </c>
      <c r="C30" s="2401">
        <v>277</v>
      </c>
      <c r="D30" s="2401">
        <f t="shared" si="213"/>
        <v>277</v>
      </c>
      <c r="E30" s="2401">
        <v>459</v>
      </c>
      <c r="F30" s="2402">
        <v>249</v>
      </c>
      <c r="G30" s="3833">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834"/>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834"/>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835"/>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13"/>
        <v>268</v>
      </c>
      <c r="E34" s="2415">
        <v>437</v>
      </c>
      <c r="F34" s="2416">
        <v>237</v>
      </c>
      <c r="G34" s="3833">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834"/>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5"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834"/>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5"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835"/>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5" thickBot="1">
      <c r="A38" s="2386" t="s">
        <v>1071</v>
      </c>
      <c r="B38" s="2401">
        <v>299</v>
      </c>
      <c r="C38" s="2401">
        <v>252</v>
      </c>
      <c r="D38" s="2401">
        <f t="shared" si="213"/>
        <v>252</v>
      </c>
      <c r="E38" s="2401">
        <v>409</v>
      </c>
      <c r="F38" s="2402">
        <v>227</v>
      </c>
      <c r="G38" s="3840">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841"/>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841"/>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842"/>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13"/>
        <v>234</v>
      </c>
      <c r="E42" s="2436">
        <v>379</v>
      </c>
      <c r="F42" s="2437">
        <v>220</v>
      </c>
      <c r="G42" s="3833">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834"/>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834"/>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5" thickBot="1">
      <c r="A45" s="2386" t="s">
        <v>1078</v>
      </c>
      <c r="B45" s="2387">
        <f>B44/(1+N44)</f>
        <v>275.19025476197027</v>
      </c>
      <c r="C45" s="2438">
        <v>232</v>
      </c>
      <c r="D45" s="2438">
        <f t="shared" si="213"/>
        <v>232</v>
      </c>
      <c r="E45" s="2387">
        <f t="shared" si="224"/>
        <v>375.65990977608692</v>
      </c>
      <c r="F45" s="2387">
        <f t="shared" si="224"/>
        <v>214.12518283971252</v>
      </c>
      <c r="G45" s="3835"/>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13"/>
        <v>232</v>
      </c>
      <c r="E46" s="2401">
        <v>376</v>
      </c>
      <c r="F46" s="2402">
        <v>213</v>
      </c>
      <c r="G46" s="3833">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834">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834">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5"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835">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13"/>
        <v>221</v>
      </c>
      <c r="E50" s="2401">
        <v>373</v>
      </c>
      <c r="F50" s="2402">
        <v>196</v>
      </c>
      <c r="G50" s="3833">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834">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834">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5"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835">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13"/>
        <v>187</v>
      </c>
      <c r="E54" s="2401">
        <v>301</v>
      </c>
      <c r="F54" s="2402">
        <v>168</v>
      </c>
      <c r="G54" s="3833">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834">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834">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835">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13"/>
        <v>188</v>
      </c>
      <c r="E58" s="2436">
        <v>289</v>
      </c>
      <c r="F58" s="2437">
        <v>166</v>
      </c>
      <c r="G58" s="3833">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834">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834">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5"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835">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13"/>
        <v>165</v>
      </c>
      <c r="E62" s="2401">
        <v>254</v>
      </c>
      <c r="F62" s="2402">
        <v>148</v>
      </c>
      <c r="G62" s="3833">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834">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834">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835">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13"/>
        <v>141</v>
      </c>
      <c r="E66" s="2415">
        <v>195</v>
      </c>
      <c r="F66" s="2416">
        <v>122</v>
      </c>
      <c r="G66" s="3833">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834">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834">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835">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13"/>
        <v>131</v>
      </c>
      <c r="E70" s="2415">
        <v>155</v>
      </c>
      <c r="F70" s="2416">
        <v>114</v>
      </c>
      <c r="G70" s="3833">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834">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834">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835">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13"/>
        <v>122</v>
      </c>
      <c r="E74" s="2436">
        <v>124</v>
      </c>
      <c r="F74" s="2437">
        <v>107</v>
      </c>
      <c r="G74" s="3833">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834">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834">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5"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835">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13"/>
        <v>114</v>
      </c>
      <c r="E78" s="2456">
        <v>108</v>
      </c>
      <c r="F78" s="2457">
        <v>104</v>
      </c>
      <c r="G78" s="3833">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834">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834">
        <v>2003</v>
      </c>
      <c r="H80" s="2399">
        <v>2</v>
      </c>
      <c r="I80" s="2458"/>
      <c r="J80" s="2458"/>
      <c r="K80" s="2458"/>
      <c r="L80" s="2458"/>
      <c r="X80" s="2450"/>
      <c r="Y80" s="2450"/>
      <c r="Z80" s="2450"/>
    </row>
    <row r="81" spans="1:26" ht="13.5" thickBot="1">
      <c r="A81" s="2386" t="s">
        <v>1114</v>
      </c>
      <c r="B81" s="2460">
        <f t="shared" si="249"/>
        <v>107.25</v>
      </c>
      <c r="C81" s="2460">
        <f t="shared" si="249"/>
        <v>108.75</v>
      </c>
      <c r="D81" s="2460">
        <f t="shared" si="213"/>
        <v>108.75</v>
      </c>
      <c r="E81" s="2460">
        <f t="shared" si="250"/>
        <v>105.75</v>
      </c>
      <c r="F81" s="2460">
        <f t="shared" si="250"/>
        <v>102.5</v>
      </c>
      <c r="G81" s="3835">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13"/>
        <v>107</v>
      </c>
      <c r="E82" s="2462">
        <v>105</v>
      </c>
      <c r="F82" s="2463">
        <v>102</v>
      </c>
      <c r="G82" s="3833">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834">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834">
        <v>2002</v>
      </c>
      <c r="H84" s="2399">
        <v>2</v>
      </c>
      <c r="I84" s="2458"/>
      <c r="J84" s="2458"/>
      <c r="K84" s="2458"/>
      <c r="L84" s="2458"/>
      <c r="X84" s="2450"/>
      <c r="Y84" s="2450"/>
      <c r="Z84" s="2450"/>
    </row>
    <row r="85" spans="1:26" s="2423" customFormat="1" ht="13.5" thickBot="1">
      <c r="A85" s="2419" t="s">
        <v>1118</v>
      </c>
      <c r="B85" s="2426">
        <f t="shared" si="251"/>
        <v>103</v>
      </c>
      <c r="C85" s="2426">
        <f t="shared" si="251"/>
        <v>104</v>
      </c>
      <c r="D85" s="2426">
        <f t="shared" si="213"/>
        <v>104</v>
      </c>
      <c r="E85" s="2426">
        <f t="shared" si="252"/>
        <v>103.5</v>
      </c>
      <c r="F85" s="2426">
        <f t="shared" si="252"/>
        <v>100.5</v>
      </c>
      <c r="G85" s="3835">
        <v>2002</v>
      </c>
      <c r="H85" s="2464">
        <v>1</v>
      </c>
      <c r="I85" s="2465"/>
      <c r="J85" s="2465"/>
      <c r="K85" s="2465"/>
      <c r="L85" s="2465"/>
      <c r="N85" s="2466"/>
      <c r="S85" s="2466"/>
      <c r="X85" s="2467"/>
      <c r="Y85" s="2467"/>
      <c r="Z85" s="2467"/>
    </row>
    <row r="86" spans="1:26" ht="13.5"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2763</v>
      </c>
      <c r="C1" s="3847" t="s">
        <v>2764</v>
      </c>
      <c r="D1" s="3848"/>
      <c r="E1" s="3848"/>
      <c r="F1" s="3848"/>
      <c r="G1" s="3848"/>
      <c r="H1" s="3848"/>
      <c r="I1" s="3848"/>
      <c r="J1" s="3848"/>
      <c r="K1" s="3848"/>
      <c r="L1" s="3848"/>
      <c r="M1" s="3848"/>
      <c r="N1" s="3848"/>
      <c r="O1" s="3848"/>
      <c r="P1" s="3848"/>
      <c r="Q1" s="3848"/>
      <c r="R1" s="3848"/>
      <c r="S1" s="3849"/>
      <c r="T1" s="1110" t="s">
        <v>2765</v>
      </c>
    </row>
    <row r="2" spans="1:45" s="663" customFormat="1">
      <c r="A2" s="1111"/>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41"/>
      <c r="G3" s="1441"/>
      <c r="H3" s="1441"/>
      <c r="I3" s="1441"/>
      <c r="J3" s="1441"/>
      <c r="K3" s="1441"/>
      <c r="L3" s="1442"/>
      <c r="M3" s="1443"/>
      <c r="N3" s="1443"/>
      <c r="O3" s="1441"/>
      <c r="P3" s="1441"/>
      <c r="Q3" s="1441"/>
      <c r="R3" s="1441"/>
      <c r="S3" s="144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45"/>
      <c r="G4" s="1445"/>
      <c r="H4" s="1445"/>
      <c r="I4" s="1445"/>
      <c r="J4" s="1445"/>
      <c r="K4" s="1445"/>
      <c r="L4" s="1445"/>
      <c r="M4" s="1446"/>
      <c r="N4" s="1446"/>
      <c r="O4" s="1445"/>
      <c r="P4" s="1445"/>
      <c r="Q4" s="1445"/>
      <c r="R4" s="1445"/>
      <c r="S4" s="1447"/>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72" t="s">
        <v>2767</v>
      </c>
      <c r="C5" s="1122"/>
      <c r="D5" s="1123"/>
      <c r="E5" s="1123"/>
      <c r="F5" s="1448"/>
      <c r="G5" s="1448"/>
      <c r="H5" s="1448"/>
      <c r="I5" s="1448"/>
      <c r="J5" s="1448"/>
      <c r="K5" s="1448"/>
      <c r="L5" s="1449"/>
      <c r="M5" s="1450"/>
      <c r="N5" s="1450"/>
      <c r="O5" s="1448"/>
      <c r="P5" s="1448"/>
      <c r="Q5" s="1448"/>
      <c r="R5" s="1448"/>
      <c r="S5" s="1451"/>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73" t="s">
        <v>2768</v>
      </c>
      <c r="C7" s="1031"/>
      <c r="D7" s="1025"/>
      <c r="E7" s="1025"/>
      <c r="F7" s="1453"/>
      <c r="G7" s="1453"/>
      <c r="H7" s="1453"/>
      <c r="I7" s="1453"/>
      <c r="J7" s="1453"/>
      <c r="K7" s="1453"/>
      <c r="L7" s="1453"/>
      <c r="M7" s="1454"/>
      <c r="N7" s="1455"/>
      <c r="O7" s="1456"/>
      <c r="P7" s="1457"/>
      <c r="Q7" s="1458"/>
      <c r="R7" s="1459"/>
      <c r="S7" s="146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73" t="s">
        <v>2769</v>
      </c>
      <c r="C9" s="1031"/>
      <c r="D9" s="1025"/>
      <c r="E9" s="1025"/>
      <c r="F9" s="1453"/>
      <c r="G9" s="1453"/>
      <c r="H9" s="1453"/>
      <c r="I9" s="1453"/>
      <c r="J9" s="1453"/>
      <c r="K9" s="1453"/>
      <c r="L9" s="1461"/>
      <c r="M9" s="1454"/>
      <c r="N9" s="1455"/>
      <c r="O9" s="1456"/>
      <c r="P9" s="1457"/>
      <c r="Q9" s="1458"/>
      <c r="R9" s="1459"/>
      <c r="S9" s="146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72" t="s">
        <v>2770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72" t="s">
        <v>2771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72" t="s">
        <v>2772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7" t="s">
        <v>2773</v>
      </c>
      <c r="B17" s="2328" t="s">
        <v>2774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29" t="s">
        <v>2775</v>
      </c>
      <c r="E19" s="1490"/>
      <c r="F19" s="1490"/>
      <c r="G19" s="1490"/>
      <c r="H19" s="1186"/>
      <c r="I19" s="164"/>
      <c r="J19" s="164"/>
      <c r="K19" s="164"/>
      <c r="L19" s="164"/>
      <c r="M19" s="164"/>
      <c r="N19" s="164"/>
      <c r="O19" s="164"/>
      <c r="P19" s="164"/>
      <c r="Q19" s="164"/>
      <c r="R19" s="727"/>
      <c r="S19" s="134"/>
    </row>
    <row r="20" spans="1:45" ht="16.5" thickBot="1">
      <c r="A20" s="671" t="s">
        <v>2776</v>
      </c>
      <c r="B20" s="300" t="e">
        <f ca="1">IF(D20="——",S22,S22-F20)</f>
        <v>#REF!</v>
      </c>
      <c r="C20" s="164"/>
      <c r="D20" s="2330"/>
      <c r="E20" s="1491"/>
      <c r="F20" s="1110" t="e">
        <f ca="1">SUMIF(INDIRECT("'"&amp;H20&amp;"'"&amp;"!A:A"),"承租人权益价值",INDIRECT("'"&amp;H20&amp;"'"&amp;"!c:c"))</f>
        <v>#REF!</v>
      </c>
      <c r="G20" s="1110" t="s">
        <v>2777</v>
      </c>
      <c r="H20" s="2331"/>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844" t="s">
        <v>33</v>
      </c>
      <c r="D22" s="3845"/>
      <c r="E22" s="3845"/>
      <c r="F22" s="3845"/>
      <c r="G22" s="3845"/>
      <c r="H22" s="3845"/>
      <c r="I22" s="3845"/>
      <c r="J22" s="3845"/>
      <c r="K22" s="3845"/>
      <c r="L22" s="3845"/>
      <c r="M22" s="3845"/>
      <c r="N22" s="3845"/>
      <c r="O22" s="3845"/>
      <c r="P22" s="3845"/>
      <c r="Q22" s="384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3">
        <v>1</v>
      </c>
      <c r="D24" s="3004"/>
      <c r="E24" s="3003">
        <v>1</v>
      </c>
      <c r="F24" s="3004"/>
      <c r="G24" s="3003">
        <v>1</v>
      </c>
      <c r="H24" s="3004"/>
      <c r="I24" s="3003">
        <v>1</v>
      </c>
      <c r="J24" s="3004"/>
      <c r="K24" s="3003">
        <v>1</v>
      </c>
      <c r="L24" s="3004"/>
      <c r="M24" s="3003">
        <v>1</v>
      </c>
      <c r="N24" s="3004"/>
      <c r="O24" s="3003">
        <v>1</v>
      </c>
      <c r="P24" s="3004"/>
      <c r="Q24" s="300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3"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55109</v>
      </c>
      <c r="C2" s="2" t="s">
        <v>133</v>
      </c>
      <c r="D2" s="205"/>
      <c r="E2" s="205"/>
      <c r="F2" s="205"/>
      <c r="G2" s="205"/>
    </row>
    <row r="3" spans="1:7" s="206" customFormat="1" ht="18" customHeight="1" thickBot="1">
      <c r="A3" s="209" t="s">
        <v>85</v>
      </c>
      <c r="B3" s="210">
        <f ca="1">ROUND(B2*10000/'数据-汇总表'!E3,0)</f>
        <v>8635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0</v>
      </c>
      <c r="D10" s="950">
        <f>'数据-汇总表'!E6</f>
        <v>63823.659999999953</v>
      </c>
      <c r="E10" s="231">
        <f>'数据-取费表'!B28</f>
        <v>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1276</v>
      </c>
      <c r="D19" s="954">
        <f>'数据-汇总表'!E3</f>
        <v>63823.659999999953</v>
      </c>
      <c r="E19" s="217">
        <f>'数据-取费表'!B31</f>
        <v>200</v>
      </c>
      <c r="F19" s="237"/>
      <c r="G19" s="1" t="s">
        <v>1042</v>
      </c>
    </row>
    <row r="20" spans="1:7" s="220" customFormat="1" ht="13.5" customHeight="1">
      <c r="A20" s="881" t="s">
        <v>1025</v>
      </c>
      <c r="B20" s="216" t="s">
        <v>104</v>
      </c>
      <c r="C20" s="238">
        <f>ROUND((C5+C19)*F20,0)</f>
        <v>438</v>
      </c>
      <c r="D20" s="238"/>
      <c r="E20" s="238"/>
      <c r="F20" s="239">
        <f>'数据-取费表'!B37</f>
        <v>0.02</v>
      </c>
      <c r="G20" s="1195" t="s">
        <v>1036</v>
      </c>
    </row>
    <row r="21" spans="1:7" s="220" customFormat="1" ht="13.5" customHeight="1">
      <c r="A21" s="881" t="s">
        <v>1027</v>
      </c>
      <c r="B21" s="216" t="s">
        <v>105</v>
      </c>
      <c r="C21" s="241">
        <f>F21</f>
        <v>0</v>
      </c>
      <c r="D21" s="242" t="s">
        <v>126</v>
      </c>
      <c r="E21" s="238"/>
      <c r="F21" s="239">
        <f>'数据-取费表'!B38</f>
        <v>0</v>
      </c>
      <c r="G21" s="240" t="s">
        <v>106</v>
      </c>
    </row>
    <row r="22" spans="1:7" s="220" customFormat="1" ht="13.5" customHeight="1">
      <c r="A22" s="881" t="s">
        <v>786</v>
      </c>
      <c r="B22" s="216" t="s">
        <v>107</v>
      </c>
      <c r="C22" s="1232">
        <f ca="1">ROUND(SUM(C23:C25),0)</f>
        <v>818</v>
      </c>
      <c r="D22" s="241">
        <f ca="1">C26</f>
        <v>0</v>
      </c>
      <c r="E22" s="242" t="s">
        <v>126</v>
      </c>
      <c r="F22" s="243">
        <f ca="1">'数据-取费表'!B40</f>
        <v>3.7000000000000005E-2</v>
      </c>
      <c r="G22" s="1195" t="str">
        <f>IF('数据-取费表'!B22&lt;=1,"单利计息","复利计息")</f>
        <v>单利计息</v>
      </c>
    </row>
    <row r="23" spans="1:7" s="220" customFormat="1" ht="13.5" customHeight="1">
      <c r="A23" s="884" t="s">
        <v>794</v>
      </c>
      <c r="B23" s="221" t="s">
        <v>1029</v>
      </c>
      <c r="C23" s="1233">
        <f ca="1">ROUND(IF('数据-取费表'!B22&lt;=1,C5*F22*'数据-取费表'!B23,C5*(POWER((1+F22),'数据-取费表'!B23)-1)),0)</f>
        <v>763</v>
      </c>
      <c r="D23" s="244"/>
      <c r="E23" s="244"/>
      <c r="F23" s="245"/>
      <c r="G23" s="246" t="s">
        <v>108</v>
      </c>
    </row>
    <row r="24" spans="1:7" s="220" customFormat="1" ht="13.5" customHeight="1">
      <c r="A24" s="884" t="s">
        <v>792</v>
      </c>
      <c r="B24" s="221" t="s">
        <v>1024</v>
      </c>
      <c r="C24" s="1233">
        <f ca="1">ROUND(IF('数据-取费表'!B22&lt;=1,C19*F22*('数据-取费表'!B19/2+'数据-取费表'!B21),C19*(POWER((1+F22),('数据-取费表'!B19/2+'数据-取费表'!B21))-1)),0)</f>
        <v>47</v>
      </c>
      <c r="D24" s="244"/>
      <c r="E24" s="244"/>
      <c r="F24" s="245"/>
      <c r="G24" s="246" t="s">
        <v>109</v>
      </c>
    </row>
    <row r="25" spans="1:7" s="220" customFormat="1" ht="24">
      <c r="A25" s="884" t="s">
        <v>793</v>
      </c>
      <c r="B25" s="221" t="s">
        <v>1026</v>
      </c>
      <c r="C25" s="1233">
        <f ca="1">ROUND(IF('数据-取费表'!B22&lt;=1,C20*F22*'数据-取费表'!B23/2,C20*(POWER((1+F22),'数据-取费表'!B23/2)-1)),0)</f>
        <v>8</v>
      </c>
      <c r="D25" s="244"/>
      <c r="E25" s="247"/>
      <c r="F25" s="245"/>
      <c r="G25" s="248" t="s">
        <v>110</v>
      </c>
    </row>
    <row r="26" spans="1:7" s="220" customFormat="1">
      <c r="A26" s="884" t="s">
        <v>795</v>
      </c>
      <c r="B26" s="221" t="s">
        <v>1028</v>
      </c>
      <c r="C26" s="244">
        <f ca="1">ROUND(IF('数据-取费表'!B22&lt;=1,F21*F22*'数据-取费表'!B23/2,F21*(POWER((1+F22),'数据-取费表'!B23/2)-1)),4)</f>
        <v>0</v>
      </c>
      <c r="D26" s="244"/>
      <c r="E26" s="247"/>
      <c r="F26" s="245"/>
      <c r="G26" s="249"/>
    </row>
    <row r="27" spans="1:7" s="220" customFormat="1" ht="24.75">
      <c r="A27" s="881" t="s">
        <v>787</v>
      </c>
      <c r="B27" s="250" t="s">
        <v>112</v>
      </c>
      <c r="C27" s="251">
        <f>C28</f>
        <v>670</v>
      </c>
      <c r="D27" s="241">
        <f>C29</f>
        <v>0</v>
      </c>
      <c r="E27" s="242" t="s">
        <v>126</v>
      </c>
      <c r="F27" s="252">
        <f>'数据-取费表'!Q16</f>
        <v>0.03</v>
      </c>
      <c r="G27" s="253" t="s">
        <v>1037</v>
      </c>
    </row>
    <row r="28" spans="1:7" s="220" customFormat="1" ht="13.5" customHeight="1">
      <c r="A28" s="884" t="s">
        <v>794</v>
      </c>
      <c r="B28" s="254" t="s">
        <v>1030</v>
      </c>
      <c r="C28" s="255">
        <f>ROUND((C5+C19+C20)*F27*'数据-取费表'!B21/'数据-取费表'!B20,0)</f>
        <v>670</v>
      </c>
      <c r="D28" s="241"/>
      <c r="E28" s="242"/>
      <c r="F28" s="252"/>
      <c r="G28" s="253"/>
    </row>
    <row r="29" spans="1:7" s="220" customFormat="1" ht="13.5" customHeight="1">
      <c r="A29" s="884" t="s">
        <v>792</v>
      </c>
      <c r="B29" s="254" t="s">
        <v>1031</v>
      </c>
      <c r="C29" s="244">
        <f>ROUND(C21*F27*'数据-取费表'!B21/'数据-取费表'!B20,4)</f>
        <v>0</v>
      </c>
      <c r="D29" s="241"/>
      <c r="E29" s="242"/>
      <c r="F29" s="252"/>
      <c r="G29" s="253"/>
    </row>
    <row r="30" spans="1:7" s="220" customFormat="1" ht="13.5" customHeight="1">
      <c r="A30" s="881" t="s">
        <v>788</v>
      </c>
      <c r="B30" s="216" t="s">
        <v>58</v>
      </c>
      <c r="C30" s="241">
        <f>F30</f>
        <v>1.575E-2</v>
      </c>
      <c r="D30" s="242" t="s">
        <v>127</v>
      </c>
      <c r="E30" s="247"/>
      <c r="F30" s="243">
        <f>'数据-取费表'!B41</f>
        <v>1.575E-2</v>
      </c>
      <c r="G30" s="240" t="s">
        <v>113</v>
      </c>
    </row>
    <row r="31" spans="1:7" ht="16.5" customHeight="1">
      <c r="A31" s="215">
        <v>1</v>
      </c>
      <c r="B31" s="216" t="s">
        <v>128</v>
      </c>
      <c r="C31" s="217">
        <f ca="1">ROUND((C5+C19+C20+C22+C27)/(1-C21-D22-D27-C30/(1+'数据-取费表'!B42)),0)</f>
        <v>24187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28464</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25529</v>
      </c>
      <c r="D34" s="223"/>
      <c r="E34" s="226"/>
      <c r="F34" s="263">
        <f>IF('数据-取费表'!B24=0,1,'数据-取费表'!N16)</f>
        <v>1</v>
      </c>
      <c r="G34" s="225" t="s">
        <v>116</v>
      </c>
    </row>
    <row r="35" spans="1:7" ht="13.5" customHeight="1">
      <c r="A35" s="884" t="s">
        <v>796</v>
      </c>
      <c r="B35" s="221" t="s">
        <v>60</v>
      </c>
      <c r="C35" s="226">
        <f>ROUND(C34*F35,0)</f>
        <v>1276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1276</v>
      </c>
      <c r="D37" s="223">
        <f>'数据-汇总表'!E3</f>
        <v>63823.659999999953</v>
      </c>
      <c r="E37" s="255">
        <f>'数据-取费表'!B35</f>
        <v>200</v>
      </c>
      <c r="F37" s="265"/>
      <c r="G37" s="267" t="s">
        <v>119</v>
      </c>
    </row>
    <row r="38" spans="1:7" ht="13.5" customHeight="1">
      <c r="A38" s="884" t="s">
        <v>799</v>
      </c>
      <c r="B38" s="221" t="s">
        <v>63</v>
      </c>
      <c r="C38" s="226">
        <f>ROUND(C34*F38,0)</f>
        <v>383</v>
      </c>
      <c r="D38" s="226"/>
      <c r="E38" s="226"/>
      <c r="F38" s="265">
        <f>'数据-取费表'!B36</f>
        <v>1.4999999999999999E-2</v>
      </c>
      <c r="G38" s="225" t="s">
        <v>117</v>
      </c>
    </row>
    <row r="39" spans="1:7" s="220" customFormat="1" ht="13.5" customHeight="1">
      <c r="A39" s="881" t="s">
        <v>783</v>
      </c>
      <c r="B39" s="216" t="s">
        <v>104</v>
      </c>
      <c r="C39" s="238">
        <f>ROUND(C33*F20,0)</f>
        <v>569</v>
      </c>
      <c r="D39" s="238"/>
      <c r="E39" s="238"/>
      <c r="F39" s="239"/>
      <c r="G39" s="1195" t="s">
        <v>1039</v>
      </c>
    </row>
    <row r="40" spans="1:7" s="220" customFormat="1" ht="13.5" customHeight="1">
      <c r="A40" s="881" t="s">
        <v>784</v>
      </c>
      <c r="B40" s="216" t="s">
        <v>105</v>
      </c>
      <c r="C40" s="268">
        <f>F21</f>
        <v>0</v>
      </c>
      <c r="D40" s="242" t="s">
        <v>129</v>
      </c>
      <c r="E40" s="238"/>
      <c r="F40" s="239"/>
      <c r="G40" s="240" t="s">
        <v>120</v>
      </c>
    </row>
    <row r="41" spans="1:7" s="220" customFormat="1" ht="13.5" customHeight="1">
      <c r="A41" s="881" t="s">
        <v>785</v>
      </c>
      <c r="B41" s="216" t="s">
        <v>107</v>
      </c>
      <c r="C41" s="238">
        <f ca="1">ROUND(SUM(C42:C43),0)</f>
        <v>538</v>
      </c>
      <c r="D41" s="241">
        <f ca="1">C44</f>
        <v>0</v>
      </c>
      <c r="E41" s="242" t="s">
        <v>129</v>
      </c>
      <c r="F41" s="243"/>
      <c r="G41" s="1195" t="str">
        <f>IF('数据-取费表'!B22&lt;=1,"单利计息","复利计息")</f>
        <v>单利计息</v>
      </c>
    </row>
    <row r="42" spans="1:7" ht="13.5" customHeight="1">
      <c r="A42" s="884" t="s">
        <v>794</v>
      </c>
      <c r="B42" s="221" t="s">
        <v>1029</v>
      </c>
      <c r="C42" s="244">
        <f ca="1">ROUND(IF('数据-取费表'!B22&lt;=1,C33*F22*'数据-取费表'!B21/2,C33*(POWER((1+F22),'数据-取费表'!B21/2)-1)),0)</f>
        <v>527</v>
      </c>
      <c r="D42" s="244"/>
      <c r="E42" s="244"/>
      <c r="F42" s="245"/>
      <c r="G42" s="3704" t="s">
        <v>121</v>
      </c>
    </row>
    <row r="43" spans="1:7" ht="13.5" customHeight="1">
      <c r="A43" s="884" t="s">
        <v>792</v>
      </c>
      <c r="B43" s="221" t="s">
        <v>1032</v>
      </c>
      <c r="C43" s="244">
        <f ca="1">ROUND(IF('数据-取费表'!B22&lt;=1,C39*F22*'数据-取费表'!B21/2,C39*(POWER((1+F22),'数据-取费表'!B21/2)-1)),0)</f>
        <v>11</v>
      </c>
      <c r="D43" s="244"/>
      <c r="E43" s="244"/>
      <c r="F43" s="245"/>
      <c r="G43" s="3705"/>
    </row>
    <row r="44" spans="1:7" ht="13.5" customHeight="1">
      <c r="A44" s="884" t="s">
        <v>793</v>
      </c>
      <c r="B44" s="221" t="s">
        <v>1034</v>
      </c>
      <c r="C44" s="244">
        <f ca="1">ROUND(IF('数据-取费表'!B22&lt;=1,C40*F22*'数据-取费表'!B21/2,C40*(POWER((1+F22),'数据-取费表'!B21/2)-1)),4)</f>
        <v>0</v>
      </c>
      <c r="D44" s="244"/>
      <c r="E44" s="244"/>
      <c r="F44" s="245"/>
      <c r="G44" s="3706"/>
    </row>
    <row r="45" spans="1:7" s="220" customFormat="1" ht="13.5" customHeight="1">
      <c r="A45" s="881" t="s">
        <v>786</v>
      </c>
      <c r="B45" s="250" t="s">
        <v>112</v>
      </c>
      <c r="C45" s="251">
        <f>C46</f>
        <v>871</v>
      </c>
      <c r="D45" s="241">
        <f>C47</f>
        <v>0</v>
      </c>
      <c r="E45" s="242" t="s">
        <v>129</v>
      </c>
      <c r="F45" s="252"/>
      <c r="G45" s="253" t="s">
        <v>1040</v>
      </c>
    </row>
    <row r="46" spans="1:7" s="220" customFormat="1" ht="13.5" customHeight="1">
      <c r="A46" s="884" t="s">
        <v>794</v>
      </c>
      <c r="B46" s="254" t="s">
        <v>1033</v>
      </c>
      <c r="C46" s="255">
        <f>ROUND((C33+C39)*F27,0)</f>
        <v>871</v>
      </c>
      <c r="D46" s="269"/>
      <c r="E46" s="242"/>
      <c r="F46" s="252"/>
      <c r="G46" s="253"/>
    </row>
    <row r="47" spans="1:7" s="220" customFormat="1" ht="13.5" customHeight="1">
      <c r="A47" s="884" t="s">
        <v>792</v>
      </c>
      <c r="B47" s="254" t="s">
        <v>1035</v>
      </c>
      <c r="C47" s="244">
        <f>ROUND(C40*F27,4)</f>
        <v>0</v>
      </c>
      <c r="D47" s="269"/>
      <c r="E47" s="242"/>
      <c r="F47" s="252"/>
      <c r="G47" s="253"/>
    </row>
    <row r="48" spans="1:7" s="220" customFormat="1" ht="13.5" customHeight="1">
      <c r="A48" s="881" t="s">
        <v>787</v>
      </c>
      <c r="B48" s="216" t="s">
        <v>122</v>
      </c>
      <c r="C48" s="268">
        <f>F30</f>
        <v>1.575E-2</v>
      </c>
      <c r="D48" s="242" t="s">
        <v>130</v>
      </c>
      <c r="E48" s="238"/>
      <c r="F48" s="243"/>
      <c r="G48" s="240" t="s">
        <v>123</v>
      </c>
    </row>
    <row r="49" spans="1:7" ht="16.5" customHeight="1">
      <c r="A49" s="881" t="s">
        <v>788</v>
      </c>
      <c r="B49" s="216" t="s">
        <v>131</v>
      </c>
      <c r="C49" s="238">
        <f ca="1">ROUND((C33+C39+C41+C45)/(1-C40-D41-D45-C48/(1+'数据-取费表'!B42)),0)</f>
        <v>30922</v>
      </c>
      <c r="D49" s="238"/>
      <c r="E49" s="238"/>
      <c r="F49" s="270"/>
      <c r="G49" s="240" t="s">
        <v>1041</v>
      </c>
    </row>
    <row r="50" spans="1:7" s="264" customFormat="1" ht="24">
      <c r="A50" s="881" t="s">
        <v>789</v>
      </c>
      <c r="B50" s="216" t="s">
        <v>124</v>
      </c>
      <c r="C50" s="238"/>
      <c r="D50" s="238"/>
      <c r="E50" s="238"/>
      <c r="F50" s="270">
        <f>IF('数据-取费表'!B24=0,'数据-取费表'!N16,1)</f>
        <v>1</v>
      </c>
      <c r="G50" s="253" t="s">
        <v>125</v>
      </c>
    </row>
    <row r="51" spans="1:7" ht="16.5" customHeight="1">
      <c r="A51" s="881" t="s">
        <v>790</v>
      </c>
      <c r="B51" s="216" t="s">
        <v>132</v>
      </c>
      <c r="C51" s="238">
        <f ca="1">ROUND(C49*F50,0)</f>
        <v>30922</v>
      </c>
      <c r="D51" s="238"/>
      <c r="E51" s="238"/>
      <c r="F51" s="270"/>
      <c r="G51" s="240" t="s">
        <v>64</v>
      </c>
    </row>
    <row r="52" spans="1:7" s="214" customFormat="1" ht="16.5" thickBot="1">
      <c r="A52" s="271" t="s">
        <v>65</v>
      </c>
      <c r="B52" s="272"/>
      <c r="C52" s="273">
        <f ca="1">C31+C51</f>
        <v>55109</v>
      </c>
      <c r="D52" s="272"/>
      <c r="E52" s="272"/>
      <c r="F52" s="272"/>
      <c r="G52" s="274"/>
    </row>
    <row r="55" spans="1:7" ht="15">
      <c r="B55" s="276" t="s">
        <v>66</v>
      </c>
      <c r="C55" s="277"/>
    </row>
    <row r="56" spans="1:7">
      <c r="B56" s="279" t="s">
        <v>67</v>
      </c>
      <c r="C56" s="280">
        <f ca="1">ROUND(C51/C52,3)</f>
        <v>0.56100000000000005</v>
      </c>
    </row>
    <row r="57" spans="1:7">
      <c r="B57" s="279" t="s">
        <v>68</v>
      </c>
      <c r="C57" s="281">
        <f ca="1">1-C56</f>
        <v>0.43899999999999995</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850" t="s">
        <v>156</v>
      </c>
      <c r="B1" s="3850"/>
      <c r="C1" s="3850"/>
      <c r="D1" s="3850"/>
      <c r="E1" s="3850"/>
      <c r="F1" s="385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851" t="s">
        <v>169</v>
      </c>
      <c r="B2" s="3851"/>
      <c r="C2" s="3851"/>
      <c r="D2" s="3851"/>
      <c r="E2" s="3851"/>
      <c r="F2" s="385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85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85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850" t="s">
        <v>839</v>
      </c>
      <c r="B1" s="385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436" t="str">
        <f>IF(项目基本情况!B9="房地产市场价值","估价结果一览表","结果表-2")</f>
        <v>结果表-2</v>
      </c>
      <c r="B1" s="3436"/>
      <c r="C1" s="3436"/>
      <c r="D1" s="3436"/>
      <c r="E1" s="3436"/>
      <c r="F1" s="3436"/>
      <c r="G1" s="3436"/>
      <c r="H1" s="3436"/>
      <c r="I1" s="3436"/>
    </row>
    <row r="2" spans="1:9" ht="30" customHeight="1" thickTop="1">
      <c r="A2" s="3437" t="s">
        <v>1546</v>
      </c>
      <c r="B2" s="3437" t="s">
        <v>1547</v>
      </c>
      <c r="C2" s="3437" t="s">
        <v>1548</v>
      </c>
      <c r="D2" s="3437" t="str">
        <f>结果表!D116</f>
        <v>出让国有建设用地使用权价值</v>
      </c>
      <c r="E2" s="3437"/>
      <c r="F2" s="3437" t="str">
        <f>结果表!F116</f>
        <v>在建建筑物价值</v>
      </c>
      <c r="G2" s="3437"/>
      <c r="H2" s="3437" t="str">
        <f>IF(项目基本情况!B9="房地产市场价值","房地产市场价值","房地产价值")</f>
        <v>房地产价值</v>
      </c>
      <c r="I2" s="3437"/>
    </row>
    <row r="3" spans="1:9" ht="15">
      <c r="A3" s="3431"/>
      <c r="B3" s="3431"/>
      <c r="C3" s="3431"/>
      <c r="D3" s="959" t="s">
        <v>1543</v>
      </c>
      <c r="E3" s="959" t="s">
        <v>1549</v>
      </c>
      <c r="F3" s="959" t="s">
        <v>1543</v>
      </c>
      <c r="G3" s="959" t="s">
        <v>1544</v>
      </c>
      <c r="H3" s="959" t="s">
        <v>1543</v>
      </c>
      <c r="I3" s="959" t="s">
        <v>1544</v>
      </c>
    </row>
    <row r="4" spans="1:9" ht="15">
      <c r="A4" s="1656" t="str">
        <f>项目基本情况!S2</f>
        <v>北京市房地产</v>
      </c>
      <c r="B4" s="959">
        <f>项目基本情况!C17</f>
        <v>63823.659999999953</v>
      </c>
      <c r="C4" s="959">
        <f>项目基本情况!C18</f>
        <v>15403.06</v>
      </c>
      <c r="D4" s="959" t="e">
        <f ca="1">结果表!D118</f>
        <v>#REF!</v>
      </c>
      <c r="E4" s="959" t="e">
        <f ca="1">结果表!E118</f>
        <v>#REF!</v>
      </c>
      <c r="F4" s="959" t="e">
        <f ca="1">结果表!F118</f>
        <v>#REF!</v>
      </c>
      <c r="G4" s="959" t="e">
        <f ca="1">结果表!G118</f>
        <v>#REF!</v>
      </c>
      <c r="H4" s="959" t="e">
        <f ca="1">结果表!H118</f>
        <v>#REF!</v>
      </c>
      <c r="I4" s="959" t="e">
        <f ca="1">结果表!I118</f>
        <v>#REF!</v>
      </c>
    </row>
    <row r="5" spans="1:9" ht="30" customHeight="1">
      <c r="A5" s="3431" t="s">
        <v>1545</v>
      </c>
      <c r="B5" s="3431"/>
      <c r="C5" s="3431"/>
      <c r="D5" s="3432" t="e">
        <f ca="1">结果表!D119</f>
        <v>#REF!</v>
      </c>
      <c r="E5" s="3432"/>
      <c r="F5" s="3432" t="e">
        <f ca="1">结果表!F119</f>
        <v>#REF!</v>
      </c>
      <c r="G5" s="3432"/>
      <c r="H5" s="3432" t="e">
        <f ca="1">结果表!H119</f>
        <v>#REF!</v>
      </c>
      <c r="I5" s="3432"/>
    </row>
    <row r="6" spans="1:9" ht="15.75">
      <c r="A6" s="3430" t="str">
        <f>结果表!A120</f>
        <v>估价师知悉的法定优先受偿款</v>
      </c>
      <c r="B6" s="3430"/>
      <c r="C6" s="3430"/>
      <c r="D6" s="3430">
        <f>结果表!D120</f>
        <v>0</v>
      </c>
      <c r="E6" s="3430"/>
      <c r="F6" s="3430"/>
      <c r="G6" s="3430"/>
      <c r="H6" s="3430"/>
      <c r="I6" s="3430"/>
    </row>
    <row r="7" spans="1:9" ht="15">
      <c r="A7" s="3431" t="s">
        <v>1545</v>
      </c>
      <c r="B7" s="3431"/>
      <c r="C7" s="3431"/>
      <c r="D7" s="3433" t="str">
        <f>结果表!D121</f>
        <v>零元整</v>
      </c>
      <c r="E7" s="3434"/>
      <c r="F7" s="3434"/>
      <c r="G7" s="3434"/>
      <c r="H7" s="3434"/>
      <c r="I7" s="3435"/>
    </row>
    <row r="8" spans="1:9" ht="15.75">
      <c r="A8" s="3430" t="str">
        <f>结果表!A122</f>
        <v>房地产抵押价值</v>
      </c>
      <c r="B8" s="3430"/>
      <c r="C8" s="3430"/>
      <c r="D8" s="3430" t="e">
        <f ca="1">结果表!D122</f>
        <v>#REF!</v>
      </c>
      <c r="E8" s="3430"/>
      <c r="F8" s="3430"/>
      <c r="G8" s="3430"/>
      <c r="H8" s="3430"/>
      <c r="I8" s="3430"/>
    </row>
    <row r="9" spans="1:9" ht="15">
      <c r="A9" s="3431" t="s">
        <v>1545</v>
      </c>
      <c r="B9" s="3431"/>
      <c r="C9" s="3431"/>
      <c r="D9" s="3432" t="e">
        <f ca="1">结果表!D123</f>
        <v>#REF!</v>
      </c>
      <c r="E9" s="3432"/>
      <c r="F9" s="3432"/>
      <c r="G9" s="3432"/>
      <c r="H9" s="3432"/>
      <c r="I9" s="3432"/>
    </row>
    <row r="10" spans="1:9" ht="15.75">
      <c r="A10" s="3430" t="str">
        <f>结果表!A124</f>
        <v/>
      </c>
      <c r="B10" s="3430"/>
      <c r="C10" s="3430"/>
      <c r="D10" s="3430" t="str">
        <f>结果表!D124</f>
        <v>——</v>
      </c>
      <c r="E10" s="3430"/>
      <c r="F10" s="3430"/>
      <c r="G10" s="3430"/>
      <c r="H10" s="3430"/>
      <c r="I10" s="3430"/>
    </row>
    <row r="11" spans="1:9" ht="15">
      <c r="A11" s="3431" t="s">
        <v>1545</v>
      </c>
      <c r="B11" s="3431"/>
      <c r="C11" s="3431"/>
      <c r="D11" s="3432" t="e">
        <f>结果表!D125</f>
        <v>#VALUE!</v>
      </c>
      <c r="E11" s="3432"/>
      <c r="F11" s="3432"/>
      <c r="G11" s="3432"/>
      <c r="H11" s="3432"/>
      <c r="I11" s="3432"/>
    </row>
    <row r="12" spans="1:9" ht="15.75">
      <c r="A12" s="3430" t="str">
        <f>结果表!A126</f>
        <v/>
      </c>
      <c r="B12" s="3430"/>
      <c r="C12" s="3430"/>
      <c r="D12" s="3430" t="str">
        <f>结果表!D126</f>
        <v>——</v>
      </c>
      <c r="E12" s="3430"/>
      <c r="F12" s="3430"/>
      <c r="G12" s="3430"/>
      <c r="H12" s="3430"/>
      <c r="I12" s="3430"/>
    </row>
    <row r="13" spans="1:9" ht="15.75" thickBot="1">
      <c r="A13" s="3427" t="s">
        <v>1545</v>
      </c>
      <c r="B13" s="3427"/>
      <c r="C13" s="3427"/>
      <c r="D13" s="3428" t="e">
        <f>结果表!D127</f>
        <v>#VALUE!</v>
      </c>
      <c r="E13" s="3428"/>
      <c r="F13" s="3428"/>
      <c r="G13" s="3428"/>
      <c r="H13" s="3428"/>
      <c r="I13" s="3428"/>
    </row>
    <row r="14" spans="1:9" ht="15" thickTop="1">
      <c r="A14" s="3429" t="s">
        <v>1550</v>
      </c>
      <c r="B14" s="3429"/>
      <c r="C14" s="3429"/>
      <c r="D14" s="3429"/>
      <c r="E14" s="3429"/>
      <c r="F14" s="3429"/>
      <c r="G14" s="3429"/>
      <c r="H14" s="3429"/>
      <c r="I14" s="3429"/>
    </row>
    <row r="16" spans="1:9" ht="18.75">
      <c r="A16" s="1657" t="s">
        <v>1533</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0A62-DE13-455F-B2CA-8A6B06D9C525}">
  <sheetPr>
    <tabColor rgb="FF92D050"/>
  </sheetPr>
  <dimension ref="A1:AK83"/>
  <sheetViews>
    <sheetView view="pageBreakPreview" zoomScaleNormal="70" zoomScaleSheetLayoutView="100" workbookViewId="0">
      <selection activeCell="F44" sqref="F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3489</v>
      </c>
      <c r="D1" s="1512" t="s">
        <v>70</v>
      </c>
      <c r="E1" s="1513" t="s">
        <v>1292</v>
      </c>
      <c r="F1" s="1189">
        <f ca="1">J53</f>
        <v>44.28</v>
      </c>
      <c r="G1" s="1528">
        <f>MATCH(C1,'数据-取费表'!A6:A16,0)+5</f>
        <v>7</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f ca="1">C40+J29+L46</f>
        <v>10616</v>
      </c>
      <c r="C2" s="1537" t="s">
        <v>1421</v>
      </c>
      <c r="D2" s="1537"/>
      <c r="E2" s="1538"/>
      <c r="F2" s="1539"/>
      <c r="G2" s="2897"/>
      <c r="H2" s="2886"/>
      <c r="I2" s="2886"/>
      <c r="J2" s="2886"/>
      <c r="K2" s="2887"/>
      <c r="L2" s="2886"/>
      <c r="M2" s="2886"/>
    </row>
    <row r="3" spans="1:37" ht="18" customHeight="1" thickBot="1">
      <c r="A3" s="1540" t="s">
        <v>1422</v>
      </c>
      <c r="B3" s="1541">
        <f ca="1">IF(ISERROR(B2*10000/F43),0,ROUND(B2*10000/F43,0))</f>
        <v>7377</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485</v>
      </c>
      <c r="D5" s="1514" t="s">
        <v>1307</v>
      </c>
      <c r="E5" s="1199"/>
      <c r="F5" s="1200"/>
      <c r="G5" s="1534"/>
      <c r="H5" s="305">
        <v>1</v>
      </c>
      <c r="I5" s="306" t="s">
        <v>1306</v>
      </c>
      <c r="J5" s="1198">
        <f ca="1">J6+J10+J12</f>
        <v>0</v>
      </c>
      <c r="K5" s="1514" t="s">
        <v>1307</v>
      </c>
      <c r="L5" s="1199"/>
      <c r="M5" s="1200"/>
    </row>
    <row r="6" spans="1:37" ht="18" customHeight="1">
      <c r="A6" s="1197" t="s">
        <v>1003</v>
      </c>
      <c r="B6" s="3709" t="s">
        <v>1308</v>
      </c>
      <c r="C6" s="1202">
        <f ca="1">ROUND(F6*F8*F7*(1-F9)/10000,0)</f>
        <v>484</v>
      </c>
      <c r="D6" s="160" t="s">
        <v>2789</v>
      </c>
      <c r="E6" s="308" t="s">
        <v>1310</v>
      </c>
      <c r="F6" s="309">
        <f ca="1">INDIRECT("'数据-取费表'!u"&amp;$G$1)</f>
        <v>29.5</v>
      </c>
      <c r="G6" s="1534"/>
      <c r="H6" s="1197" t="s">
        <v>1003</v>
      </c>
      <c r="I6" s="3709" t="s">
        <v>1308</v>
      </c>
      <c r="J6" s="307">
        <f ca="1">ROUND(M6*M8*M7*(1-M9)/10000,0)</f>
        <v>0</v>
      </c>
      <c r="K6" s="160" t="s">
        <v>2788</v>
      </c>
      <c r="L6" s="308" t="s">
        <v>1310</v>
      </c>
      <c r="M6" s="309">
        <f ca="1">INDIRECT("'数据-取费表'!z"&amp;$G$1)</f>
        <v>0</v>
      </c>
    </row>
    <row r="7" spans="1:37" ht="18" customHeight="1">
      <c r="A7" s="1201"/>
      <c r="B7" s="3710"/>
      <c r="C7" s="1203"/>
      <c r="D7" s="313"/>
      <c r="E7" s="3381" t="s">
        <v>1311</v>
      </c>
      <c r="F7" s="309">
        <f ca="1">IF(INDIRECT("'数据-取费表'!ah"&amp;$G$1)="",INDIRECT("'数据-取费表'!k"&amp;$G$1),INDIRECT("'数据-取费表'!ah"&amp;$G$1))</f>
        <v>14390.040000000006</v>
      </c>
      <c r="G7" s="1534"/>
      <c r="H7" s="310"/>
      <c r="I7" s="3710"/>
      <c r="J7" s="312"/>
      <c r="K7" s="313"/>
      <c r="L7" s="308" t="s">
        <v>1311</v>
      </c>
      <c r="M7" s="309">
        <f ca="1">F7</f>
        <v>14390.040000000006</v>
      </c>
    </row>
    <row r="8" spans="1:37" ht="18" customHeight="1">
      <c r="A8" s="310"/>
      <c r="B8" s="3710"/>
      <c r="C8" s="312"/>
      <c r="D8" s="313"/>
      <c r="E8" s="308" t="s">
        <v>1312</v>
      </c>
      <c r="F8" s="309">
        <f ca="1">INDIRECT("'数据-取费表'!ai"&amp;$G$1)</f>
        <v>12</v>
      </c>
      <c r="G8" s="1534"/>
      <c r="H8" s="310"/>
      <c r="I8" s="3710"/>
      <c r="J8" s="312"/>
      <c r="K8" s="313"/>
      <c r="L8" s="308" t="s">
        <v>1312</v>
      </c>
      <c r="M8" s="309">
        <f ca="1">INDIRECT("'数据-取费表'!ai"&amp;$G$1)</f>
        <v>12</v>
      </c>
    </row>
    <row r="9" spans="1:37" ht="18" customHeight="1">
      <c r="A9" s="310"/>
      <c r="B9" s="3711"/>
      <c r="C9" s="312"/>
      <c r="D9" s="313"/>
      <c r="E9" s="308" t="s">
        <v>1313</v>
      </c>
      <c r="F9" s="318">
        <f ca="1">INDIRECT("'数据-取费表'!w"&amp;$G$1)</f>
        <v>0.05</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1</v>
      </c>
      <c r="D10" s="1516" t="s">
        <v>2796</v>
      </c>
      <c r="E10" s="319" t="s">
        <v>1315</v>
      </c>
      <c r="F10" s="1244" t="s">
        <v>3244</v>
      </c>
      <c r="G10" s="1534"/>
      <c r="H10" s="1197" t="s">
        <v>1007</v>
      </c>
      <c r="I10" s="1515" t="s">
        <v>1314</v>
      </c>
      <c r="J10" s="307">
        <f ca="1">ROUND(IF(M10="押一",J6/12*M11,IF(M10="押二",J6/12*2*M11,IF(M10="押三",J6/12*3*M11,J11*M11))),0)</f>
        <v>0</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6971</v>
      </c>
      <c r="D13" s="3377" t="s">
        <v>1320</v>
      </c>
      <c r="E13" s="3377" t="s">
        <v>1321</v>
      </c>
      <c r="F13" s="1210">
        <f ca="1">INDIRECT("'数据-取费表'!y"&amp;$G$1)</f>
        <v>1</v>
      </c>
      <c r="G13" s="1534"/>
      <c r="H13" s="1207">
        <v>2</v>
      </c>
      <c r="I13" s="1208" t="s">
        <v>1319</v>
      </c>
      <c r="J13" s="1196">
        <f ca="1">ROUND(J14*J15,0)</f>
        <v>0</v>
      </c>
      <c r="K13" s="1215" t="s">
        <v>1320</v>
      </c>
      <c r="L13" s="1542"/>
      <c r="M13" s="1543"/>
    </row>
    <row r="14" spans="1:37" ht="18" customHeight="1">
      <c r="A14" s="1109" t="s">
        <v>1002</v>
      </c>
      <c r="B14" s="308" t="s">
        <v>1322</v>
      </c>
      <c r="C14" s="324">
        <f ca="1">INDIRECT("'数据-取费表'!m"&amp;$G$1)+INDIRECT("'数据-取费表'!t"&amp;$G$1)</f>
        <v>5756</v>
      </c>
      <c r="D14" s="3384" t="s">
        <v>1323</v>
      </c>
      <c r="E14" s="3383"/>
      <c r="F14" s="325"/>
      <c r="G14" s="1534"/>
      <c r="H14" s="1109" t="s">
        <v>1003</v>
      </c>
      <c r="I14" s="308" t="s">
        <v>1324</v>
      </c>
      <c r="J14" s="24">
        <f ca="1">C29</f>
        <v>6971</v>
      </c>
      <c r="K14" s="3380"/>
      <c r="L14" s="912"/>
      <c r="M14" s="913"/>
    </row>
    <row r="15" spans="1:37" s="1547" customFormat="1" ht="18" customHeight="1" thickBot="1">
      <c r="A15" s="1109" t="s">
        <v>1004</v>
      </c>
      <c r="B15" s="308" t="s">
        <v>1325</v>
      </c>
      <c r="C15" s="24">
        <f ca="1">ROUND(C14*F15,0)</f>
        <v>288</v>
      </c>
      <c r="D15" s="3378" t="s">
        <v>1326</v>
      </c>
      <c r="E15" s="3378"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34"/>
      <c r="H16" s="1207" t="s">
        <v>998</v>
      </c>
      <c r="I16" s="1208" t="s">
        <v>1329</v>
      </c>
      <c r="J16" s="316">
        <f ca="1">ROUND(J17+J22+J23+J24,0)</f>
        <v>129</v>
      </c>
      <c r="K16" s="1215" t="s">
        <v>1330</v>
      </c>
      <c r="L16" s="3386"/>
      <c r="M16" s="1200"/>
    </row>
    <row r="17" spans="1:37" s="1547" customFormat="1" ht="18" customHeight="1">
      <c r="A17" s="1109" t="s">
        <v>1295</v>
      </c>
      <c r="B17" s="308" t="s">
        <v>1331</v>
      </c>
      <c r="C17" s="24">
        <f ca="1">ROUND(F17*(F43+INDIRECT("'数据-取费表'!S"&amp;$G$1))/10000,0)</f>
        <v>288</v>
      </c>
      <c r="D17" s="308" t="s">
        <v>1332</v>
      </c>
      <c r="E17" s="308" t="s">
        <v>1333</v>
      </c>
      <c r="F17" s="26">
        <f>'数据-取费表'!B35</f>
        <v>200</v>
      </c>
      <c r="G17" s="1546"/>
      <c r="H17" s="1109" t="s">
        <v>1003</v>
      </c>
      <c r="I17" s="308" t="s">
        <v>1334</v>
      </c>
      <c r="J17" s="2497">
        <f ca="1">ROUND(IF(AND(项目基本情况!B11="自然人",项目基本情况!B10="北京市"),J6*M17/(1+'数据-取费表'!C42),J18+J19+J20),0)</f>
        <v>59</v>
      </c>
      <c r="K17" s="3384" t="s">
        <v>1335</v>
      </c>
      <c r="L17" s="3385"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86</v>
      </c>
      <c r="D18" s="308" t="s">
        <v>1326</v>
      </c>
      <c r="E18" s="308" t="s">
        <v>1327</v>
      </c>
      <c r="F18" s="328">
        <f>'数据-取费表'!B36</f>
        <v>1.4999999999999999E-2</v>
      </c>
      <c r="G18" s="1546"/>
      <c r="H18" s="1109" t="s">
        <v>1002</v>
      </c>
      <c r="I18" s="308" t="s">
        <v>1338</v>
      </c>
      <c r="J18" s="24">
        <f ca="1">ROUND(J6*M18/(1+'数据-取费表'!C42),2)</f>
        <v>0</v>
      </c>
      <c r="K18" s="3385"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6418</v>
      </c>
      <c r="D19" s="136" t="s">
        <v>1341</v>
      </c>
      <c r="E19" s="3388"/>
      <c r="F19" s="26"/>
      <c r="G19" s="1534"/>
      <c r="H19" s="1109" t="s">
        <v>1004</v>
      </c>
      <c r="I19" s="308" t="s">
        <v>1342</v>
      </c>
      <c r="J19" s="24">
        <f ca="1">IF(K19="按租金收入计税",ROUND(J6*M19/(1+'数据-取费表'!C42),2),ROUND(C29*M19*0.7,2))</f>
        <v>58.56</v>
      </c>
      <c r="K19" s="1520" t="s">
        <v>1343</v>
      </c>
      <c r="L19" s="308" t="s">
        <v>1327</v>
      </c>
      <c r="M19" s="328">
        <f>IF(K19="按租金收入计税",'数据-取费表'!B51,'数据-取费表'!B50)</f>
        <v>1.2E-2</v>
      </c>
    </row>
    <row r="20" spans="1:37" s="1547" customFormat="1" ht="18" customHeight="1">
      <c r="A20" s="1109" t="s">
        <v>1007</v>
      </c>
      <c r="B20" s="308" t="s">
        <v>1344</v>
      </c>
      <c r="C20" s="24">
        <f ca="1">ROUND(C19*F20,0)</f>
        <v>128</v>
      </c>
      <c r="D20" s="329" t="s">
        <v>1345</v>
      </c>
      <c r="E20" s="308" t="s">
        <v>1327</v>
      </c>
      <c r="F20" s="328">
        <f>'数据-取费表'!B37</f>
        <v>0.02</v>
      </c>
      <c r="G20" s="1546"/>
      <c r="H20" s="1109" t="s">
        <v>1294</v>
      </c>
      <c r="I20" s="160" t="s">
        <v>1346</v>
      </c>
      <c r="J20" s="25">
        <f ca="1">ROUND(M20*M21/10000,2)</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3472.86</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388"/>
      <c r="F22" s="26"/>
      <c r="G22" s="1534"/>
      <c r="H22" s="1109" t="s">
        <v>1007</v>
      </c>
      <c r="I22" s="308" t="s">
        <v>1354</v>
      </c>
      <c r="J22" s="24">
        <f ca="1">ROUND(J14*M22,1)</f>
        <v>69.7</v>
      </c>
      <c r="K22" s="3385" t="s">
        <v>1355</v>
      </c>
      <c r="L22" s="308" t="s">
        <v>1327</v>
      </c>
      <c r="M22" s="334">
        <f ca="1">INDIRECT("'数据-取费表'!Ak"&amp;$G$1)</f>
        <v>0.01</v>
      </c>
    </row>
    <row r="23" spans="1:37" s="1547" customFormat="1" ht="18" customHeight="1">
      <c r="A23" s="1109" t="s">
        <v>1002</v>
      </c>
      <c r="B23" s="308" t="s">
        <v>1356</v>
      </c>
      <c r="C23" s="24">
        <f ca="1">IF('数据-取费表'!B22&lt;=1,ROUND(C19*F24*F23/2,0)+ROUND(C20*F24*F23/2,0),ROUND(C19*(POWER((1+F24),F23/2)-1),0)+ROUND(C20*(POWER((1+F24),F23/2)-1),0))</f>
        <v>121</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ROUND(J13*M23,1)</f>
        <v>0</v>
      </c>
      <c r="K23" s="3385" t="s">
        <v>1359</v>
      </c>
      <c r="L23" s="308" t="s">
        <v>1327</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f ca="1">ROUND(J5*M24,1)</f>
        <v>0</v>
      </c>
      <c r="K24" s="1220" t="s">
        <v>1364</v>
      </c>
      <c r="L24" s="1218" t="s">
        <v>1327</v>
      </c>
      <c r="M24" s="1214">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388"/>
      <c r="F25" s="26"/>
      <c r="G25" s="1534"/>
      <c r="H25" s="1207" t="s">
        <v>999</v>
      </c>
      <c r="I25" s="1222" t="s">
        <v>1368</v>
      </c>
      <c r="J25" s="316">
        <f ca="1">J5-J16</f>
        <v>-129</v>
      </c>
      <c r="K25" s="1223" t="s">
        <v>1369</v>
      </c>
      <c r="L25" s="1224"/>
      <c r="M25" s="1225"/>
    </row>
    <row r="26" spans="1:37">
      <c r="A26" s="1109" t="s">
        <v>1002</v>
      </c>
      <c r="B26" s="308" t="s">
        <v>1370</v>
      </c>
      <c r="C26" s="24">
        <f ca="1">ROUND((C19+C20)*F26,0)</f>
        <v>196</v>
      </c>
      <c r="D26" s="329" t="s">
        <v>1371</v>
      </c>
      <c r="E26" s="319" t="s">
        <v>1372</v>
      </c>
      <c r="F26" s="318">
        <f ca="1">INDIRECT("'数据-取费表'!q"&amp;$G$1)</f>
        <v>0.03</v>
      </c>
      <c r="G26" s="1534"/>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09" t="s">
        <v>1004</v>
      </c>
      <c r="B27" s="308" t="s">
        <v>1376</v>
      </c>
      <c r="C27" s="24">
        <f ca="1">ROUND(F21*F26,4)</f>
        <v>0</v>
      </c>
      <c r="D27" s="329" t="s">
        <v>1377</v>
      </c>
      <c r="E27" s="3378"/>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6971</v>
      </c>
      <c r="D29" s="1220"/>
      <c r="E29" s="1218"/>
      <c r="F29" s="1221"/>
      <c r="G29" s="1546"/>
      <c r="H29" s="340" t="s">
        <v>1001</v>
      </c>
      <c r="I29" s="341" t="s">
        <v>1384</v>
      </c>
      <c r="J29" s="342">
        <f ca="1">ROUND(J26/(1+F40)^F41,0)</f>
        <v>0</v>
      </c>
      <c r="K29" s="343" t="s">
        <v>1385</v>
      </c>
      <c r="L29" s="344"/>
      <c r="M29" s="345">
        <f ca="1">INDIRECT("'数据-取费表'!k"&amp;$G$1)</f>
        <v>14390.040000000006</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88</v>
      </c>
      <c r="D30" s="1215" t="s">
        <v>1330</v>
      </c>
      <c r="E30" s="3386"/>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3384" t="s">
        <v>1335</v>
      </c>
      <c r="E31" s="3385" t="s">
        <v>1386</v>
      </c>
      <c r="F31" s="2496" t="str">
        <f>IF(项目基本情况!B11="企业","——",IF('数据-取费表'!B10="住宅",IF(F6*F7*F8/12/(1+'数据-取费表'!F30)&gt;100000,4%,2.5%),IF(F6*F7*F8/12/(1+'数据-取费表'!F30)&gt;100000,12%,7%)))</f>
        <v>——</v>
      </c>
      <c r="G31" s="1534"/>
      <c r="H31" s="3001" t="s">
        <v>2994</v>
      </c>
      <c r="I31" s="1548"/>
      <c r="J31" s="1549"/>
      <c r="K31" s="2663"/>
      <c r="L31" s="2889"/>
      <c r="M31" s="2890"/>
    </row>
    <row r="32" spans="1:37" ht="18" customHeight="1">
      <c r="A32" s="1109" t="s">
        <v>1002</v>
      </c>
      <c r="B32" s="308" t="s">
        <v>1338</v>
      </c>
      <c r="C32" s="24">
        <f ca="1">IF(项目基本情况!B11="自然人","——",ROUND(C6*F32/(1+'数据-取费表'!C42),2))</f>
        <v>0</v>
      </c>
      <c r="D32" s="3385" t="s">
        <v>1339</v>
      </c>
      <c r="E32" s="308" t="s">
        <v>1327</v>
      </c>
      <c r="F32" s="3390">
        <v>0</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IF(项目基本情况!B11="自然人","——",IF(D33="按租金收入计税",ROUND(C6*F33/(1+'数据-取费表'!C42),2),IF(D33="按房产原值计税",ROUND(C29*F33*0.7,2),INDIRECT("'数据-取费表'!Aj"&amp;$G$1))))</f>
        <v>0</v>
      </c>
      <c r="D33" s="1520" t="s">
        <v>3268</v>
      </c>
      <c r="E33" s="308" t="s">
        <v>1327</v>
      </c>
      <c r="F33" s="328" t="str">
        <f>IF(D33="按票据","——",IF(D33="按租金收入计税",'数据-取费表'!B51,'数据-取费表'!B50))</f>
        <v>——</v>
      </c>
      <c r="G33" s="1534"/>
      <c r="H33" s="2891"/>
      <c r="I33" s="1548"/>
      <c r="J33" s="1549"/>
      <c r="K33" s="2892"/>
      <c r="L33" s="2891"/>
      <c r="M33" s="2891"/>
    </row>
    <row r="34" spans="1:18" ht="18" customHeight="1">
      <c r="A34" s="1197" t="s">
        <v>1294</v>
      </c>
      <c r="B34" s="160" t="s">
        <v>1346</v>
      </c>
      <c r="C34" s="25">
        <f ca="1">IF(项目基本情况!B11="自然人","——",ROUND(F34*F35/10000,2))</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3472.86</v>
      </c>
      <c r="G35" s="1534"/>
      <c r="H35" s="2888"/>
      <c r="I35" s="1548"/>
      <c r="J35" s="1549"/>
      <c r="K35" s="2892"/>
      <c r="L35" s="2891"/>
      <c r="M35" s="2891"/>
    </row>
    <row r="36" spans="1:18" ht="18" customHeight="1">
      <c r="A36" s="1230" t="s">
        <v>1007</v>
      </c>
      <c r="B36" s="308" t="s">
        <v>1354</v>
      </c>
      <c r="C36" s="24">
        <f ca="1">ROUND(C29*F36,1)</f>
        <v>69.7</v>
      </c>
      <c r="D36" s="3385" t="s">
        <v>1387</v>
      </c>
      <c r="E36" s="308" t="s">
        <v>1327</v>
      </c>
      <c r="F36" s="334">
        <f ca="1">INDIRECT("'数据-取费表'!Ak"&amp;$G$1)</f>
        <v>0.01</v>
      </c>
      <c r="G36" s="1534"/>
      <c r="H36" s="2891"/>
      <c r="I36" s="1548"/>
      <c r="J36" s="1549"/>
      <c r="K36" s="2732"/>
      <c r="L36" s="2891"/>
      <c r="M36" s="2891"/>
    </row>
    <row r="37" spans="1:18" ht="18" customHeight="1">
      <c r="A37" s="1109" t="s">
        <v>1043</v>
      </c>
      <c r="B37" s="308" t="s">
        <v>1358</v>
      </c>
      <c r="C37" s="24">
        <f ca="1">ROUND(C13*F37,1)</f>
        <v>10.5</v>
      </c>
      <c r="D37" s="3385" t="s">
        <v>1359</v>
      </c>
      <c r="E37" s="308" t="s">
        <v>1327</v>
      </c>
      <c r="F37" s="336">
        <f ca="1">INDIRECT("'数据-取费表'!Al"&amp;$G$1)</f>
        <v>1.5E-3</v>
      </c>
      <c r="G37" s="1534"/>
      <c r="H37" s="2891"/>
      <c r="I37" s="1548"/>
      <c r="J37" s="1549"/>
      <c r="K37" s="2732"/>
      <c r="L37" s="2891"/>
      <c r="M37" s="2891"/>
    </row>
    <row r="38" spans="1:18" ht="18" customHeight="1" thickBot="1">
      <c r="A38" s="1217" t="s">
        <v>1297</v>
      </c>
      <c r="B38" s="1218" t="s">
        <v>1344</v>
      </c>
      <c r="C38" s="1219">
        <f ca="1">ROUND(C5*F38,1)</f>
        <v>7.3</v>
      </c>
      <c r="D38" s="1220" t="s">
        <v>1364</v>
      </c>
      <c r="E38" s="1218" t="s">
        <v>1327</v>
      </c>
      <c r="F38" s="1214">
        <f ca="1">INDIRECT("'数据-取费表'!Am"&amp;$G$1)</f>
        <v>1.4999999999999999E-2</v>
      </c>
      <c r="G38" s="1534"/>
      <c r="H38" s="2891"/>
      <c r="I38" s="1548"/>
      <c r="J38" s="1549"/>
      <c r="K38" s="2895"/>
      <c r="L38" s="2891"/>
      <c r="M38" s="2891"/>
    </row>
    <row r="39" spans="1:18" ht="24.6" customHeight="1" thickTop="1">
      <c r="A39" s="1207" t="s">
        <v>999</v>
      </c>
      <c r="B39" s="1222" t="s">
        <v>1368</v>
      </c>
      <c r="C39" s="316">
        <f ca="1">C5-C30</f>
        <v>397</v>
      </c>
      <c r="D39" s="1223" t="s">
        <v>1369</v>
      </c>
      <c r="E39" s="1224"/>
      <c r="F39" s="1225"/>
      <c r="G39" s="1534"/>
      <c r="H39" s="2891"/>
      <c r="I39" s="1548"/>
      <c r="J39" s="1549"/>
      <c r="K39" s="2895"/>
      <c r="L39" s="2891"/>
      <c r="M39" s="2891"/>
    </row>
    <row r="40" spans="1:18" ht="18" customHeight="1">
      <c r="A40" s="305" t="s">
        <v>1000</v>
      </c>
      <c r="B40" s="306" t="s">
        <v>1390</v>
      </c>
      <c r="C40" s="307">
        <f ca="1">ROUND(C39*(1-((1+F42)/(1+F40))^F41)/(F40-F42),0)</f>
        <v>10445</v>
      </c>
      <c r="D40" s="330" t="s">
        <v>1374</v>
      </c>
      <c r="E40" s="308" t="s">
        <v>1375</v>
      </c>
      <c r="F40" s="318">
        <f ca="1">INDIRECT("'数据-取费表'!I"&amp;$G$1)</f>
        <v>4.4999999999999998E-2</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44.28</v>
      </c>
      <c r="G41" s="1534"/>
      <c r="H41" s="1321"/>
      <c r="I41" s="1548"/>
      <c r="J41" s="1549"/>
      <c r="K41" s="2732"/>
      <c r="L41" s="1321"/>
      <c r="M41" s="1321"/>
    </row>
    <row r="42" spans="1:18" ht="18" customHeight="1">
      <c r="A42" s="314"/>
      <c r="B42" s="315"/>
      <c r="C42" s="316"/>
      <c r="D42" s="333"/>
      <c r="E42" s="308" t="s">
        <v>1382</v>
      </c>
      <c r="F42" s="318">
        <f ca="1">INDIRECT("'数据-取费表'!v"&amp;$G$1)</f>
        <v>0.02</v>
      </c>
      <c r="G42" s="1534"/>
      <c r="H42" s="1321"/>
      <c r="I42" s="1548"/>
      <c r="J42" s="1549"/>
      <c r="K42" s="2732"/>
      <c r="L42" s="1321"/>
      <c r="M42" s="1321"/>
    </row>
    <row r="43" spans="1:18" ht="18" customHeight="1" thickBot="1">
      <c r="A43" s="340" t="s">
        <v>1001</v>
      </c>
      <c r="B43" s="341" t="s">
        <v>1392</v>
      </c>
      <c r="C43" s="342">
        <f ca="1">ROUND(C40*10000/F43,0)</f>
        <v>7258</v>
      </c>
      <c r="D43" s="343" t="s">
        <v>1393</v>
      </c>
      <c r="E43" s="344" t="s">
        <v>1394</v>
      </c>
      <c r="F43" s="345">
        <f ca="1">INDIRECT("'数据-取费表'!k"&amp;$G$1)</f>
        <v>14390.040000000006</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#VALUE!</v>
      </c>
      <c r="D46" s="1556" t="str">
        <f>C2</f>
        <v>万元</v>
      </c>
      <c r="E46" s="1550"/>
      <c r="F46" s="1550"/>
      <c r="I46" s="1557" t="s">
        <v>1426</v>
      </c>
      <c r="J46" s="1558"/>
      <c r="K46" s="1559"/>
      <c r="L46" s="1560">
        <f ca="1">IF(M47="住宅",0,IF(L48&gt;J51,L60,J60))</f>
        <v>171</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3246</v>
      </c>
      <c r="K47" s="1566" t="s">
        <v>1432</v>
      </c>
      <c r="L47" s="1567">
        <f ca="1">INDIRECT("'数据-取费表'!d"&amp;$G$1)</f>
        <v>50</v>
      </c>
      <c r="M47" s="1530" t="str">
        <f>IF(ISNUMBER(FIND("住宅",C1)),"住宅","非住宅")</f>
        <v>非住宅</v>
      </c>
      <c r="O47" s="1568" t="s">
        <v>1008</v>
      </c>
      <c r="P47" s="1569" t="s">
        <v>1433</v>
      </c>
      <c r="Q47" s="1570">
        <f ca="1">C40+J29</f>
        <v>10445</v>
      </c>
      <c r="R47" s="1570" t="s">
        <v>1434</v>
      </c>
    </row>
    <row r="48" spans="1:18" s="1534" customFormat="1" ht="28.5" thickBot="1">
      <c r="A48" s="1238" t="s">
        <v>1044</v>
      </c>
      <c r="B48" s="306" t="s">
        <v>1306</v>
      </c>
      <c r="C48" s="3387">
        <f ca="1">C49+C53+C55</f>
        <v>0</v>
      </c>
      <c r="D48" s="1240"/>
      <c r="E48" s="1241"/>
      <c r="F48" s="1089"/>
      <c r="G48" s="731"/>
      <c r="H48" s="732"/>
      <c r="I48" s="1571" t="s">
        <v>1435</v>
      </c>
      <c r="J48" s="1572" t="s">
        <v>3265</v>
      </c>
      <c r="K48" s="1573" t="s">
        <v>1436</v>
      </c>
      <c r="L48" s="1574">
        <f ca="1">INDIRECT("'数据-取费表'!f"&amp;$G$1)</f>
        <v>44.28</v>
      </c>
      <c r="O48" s="1568" t="s">
        <v>1009</v>
      </c>
      <c r="P48" s="1569" t="s">
        <v>1437</v>
      </c>
      <c r="Q48" s="1570">
        <f ca="1">J60</f>
        <v>171</v>
      </c>
      <c r="R48" s="1570" t="s">
        <v>1438</v>
      </c>
    </row>
    <row r="49" spans="1:18" s="1534" customFormat="1" ht="13.5" thickBot="1">
      <c r="A49" s="1102" t="s">
        <v>1045</v>
      </c>
      <c r="B49" s="1521" t="s">
        <v>1395</v>
      </c>
      <c r="C49" s="1242">
        <f ca="1">ROUND(F49*F51*F50*(1-F52)/10000,0)</f>
        <v>0</v>
      </c>
      <c r="D49" s="1182" t="s">
        <v>2788</v>
      </c>
      <c r="E49" s="1522" t="s">
        <v>1396</v>
      </c>
      <c r="F49" s="1187"/>
      <c r="G49" s="1575"/>
      <c r="H49" s="732"/>
      <c r="I49" s="1571" t="s">
        <v>1439</v>
      </c>
      <c r="J49" s="1576">
        <v>2022</v>
      </c>
      <c r="K49" s="1573" t="s">
        <v>1440</v>
      </c>
      <c r="L49" s="1577"/>
      <c r="O49" s="1578" t="s">
        <v>1010</v>
      </c>
      <c r="P49" s="1569" t="s">
        <v>1441</v>
      </c>
      <c r="Q49" s="1570">
        <f ca="1">C29</f>
        <v>6971</v>
      </c>
      <c r="R49" s="1570" t="s">
        <v>1434</v>
      </c>
    </row>
    <row r="50" spans="1:18" s="1534" customFormat="1" ht="13.5" thickBot="1">
      <c r="A50" s="1103"/>
      <c r="B50" s="1106"/>
      <c r="C50" s="1246"/>
      <c r="D50" s="1080"/>
      <c r="E50" s="1183" t="s">
        <v>1311</v>
      </c>
      <c r="F50" s="1184">
        <f ca="1">F7</f>
        <v>14390.040000000006</v>
      </c>
      <c r="H50" s="732"/>
      <c r="I50" s="1571" t="s">
        <v>1442</v>
      </c>
      <c r="J50" s="1579">
        <f>SUMPRODUCT((I63:I65=J47)*(J62:L62=J48)*(J63:L65))</f>
        <v>60</v>
      </c>
      <c r="K50" s="1573" t="s">
        <v>1443</v>
      </c>
      <c r="L50" s="1577"/>
      <c r="M50" s="1580"/>
      <c r="O50" s="1578" t="s">
        <v>1011</v>
      </c>
      <c r="P50" s="1569" t="s">
        <v>1444</v>
      </c>
      <c r="Q50" s="1581">
        <f ca="1">J58</f>
        <v>0.4</v>
      </c>
      <c r="R50" s="1570"/>
    </row>
    <row r="51" spans="1:18" s="1534" customFormat="1" ht="13.5" thickBot="1">
      <c r="A51" s="1104"/>
      <c r="B51" s="1106"/>
      <c r="C51" s="1107"/>
      <c r="D51" s="1080"/>
      <c r="E51" s="1108" t="s">
        <v>1312</v>
      </c>
      <c r="F51" s="309">
        <f ca="1">F8</f>
        <v>12</v>
      </c>
      <c r="I51" s="1582" t="s">
        <v>1445</v>
      </c>
      <c r="J51" s="1583">
        <f>IF(J49="",J50,J49+J50-YEAR('数据-取费表'!B2))</f>
        <v>60</v>
      </c>
      <c r="K51" s="1584" t="s">
        <v>1446</v>
      </c>
      <c r="L51" s="1585">
        <f ca="1">ROUND(-PV(INDIRECT("'数据-取费表'!h"&amp;$G$1),J51,(C39-C13*C76),0),0)</f>
        <v>-1270</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'数据-取费表'!J6</f>
        <v>6.5000000000000002E-2</v>
      </c>
      <c r="K52" s="1587" t="s">
        <v>1449</v>
      </c>
      <c r="L52" s="1588"/>
      <c r="O52" s="1578" t="s">
        <v>1013</v>
      </c>
      <c r="P52" s="1569" t="s">
        <v>1450</v>
      </c>
      <c r="Q52" s="1570">
        <f ca="1">J53</f>
        <v>44.28</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f ca="1">IF(M47="住宅",IF(D1="——",MAX(J51,L48),MAX(J51,L48-'数据-取费表'!B24)),IF(D1="——",MIN(J51,L48),MIN(J51,L48-'数据-取费表'!B24)))</f>
        <v>44.28</v>
      </c>
      <c r="K53" s="3712" t="s">
        <v>1453</v>
      </c>
      <c r="L53" s="3713"/>
      <c r="O53" s="1568" t="s">
        <v>1014</v>
      </c>
      <c r="P53" s="1569" t="s">
        <v>1454</v>
      </c>
      <c r="Q53" s="1570">
        <f ca="1">Q47+Q48</f>
        <v>10616</v>
      </c>
      <c r="R53" s="1570" t="s">
        <v>1015</v>
      </c>
    </row>
    <row r="54" spans="1:18" s="1534" customFormat="1" ht="13.5" thickBot="1">
      <c r="A54" s="1283"/>
      <c r="B54" s="1517" t="s">
        <v>1293</v>
      </c>
      <c r="C54" s="1086"/>
      <c r="D54" s="1516"/>
      <c r="E54" s="3382"/>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1455</v>
      </c>
      <c r="P54" s="1531"/>
      <c r="Q54" s="1531"/>
      <c r="R54" s="1531"/>
    </row>
    <row r="55" spans="1:18" s="1534" customFormat="1" ht="13.5" thickBot="1">
      <c r="A55" s="1211" t="s">
        <v>1043</v>
      </c>
      <c r="B55" s="1519" t="s">
        <v>1318</v>
      </c>
      <c r="C55" s="1212"/>
      <c r="D55" s="1516"/>
      <c r="E55" s="3382"/>
      <c r="F55" s="1590"/>
      <c r="I55" s="1593" t="s">
        <v>1456</v>
      </c>
      <c r="J55" s="1594">
        <f ca="1">ROUND(IF(J47="钢混",J57/J50,1-(1-2%)*(J50-J57)/J50),3)</f>
        <v>0.26200000000000001</v>
      </c>
      <c r="K55" s="1595" t="s">
        <v>1457</v>
      </c>
      <c r="L55" s="1596" t="s">
        <v>3470</v>
      </c>
      <c r="O55" s="1561" t="s">
        <v>1427</v>
      </c>
      <c r="P55" s="1562" t="s">
        <v>1428</v>
      </c>
      <c r="Q55" s="1563" t="s">
        <v>1429</v>
      </c>
      <c r="R55" s="1563" t="s">
        <v>1430</v>
      </c>
    </row>
    <row r="56" spans="1:18" s="1534" customFormat="1" ht="25.5" thickTop="1" thickBot="1">
      <c r="A56" s="1084">
        <v>2</v>
      </c>
      <c r="B56" s="1085" t="s">
        <v>1319</v>
      </c>
      <c r="C56" s="238">
        <f ca="1">C13</f>
        <v>6971</v>
      </c>
      <c r="D56" s="1597"/>
      <c r="E56" s="1598"/>
      <c r="F56" s="1590"/>
      <c r="I56" s="1599" t="s">
        <v>1459</v>
      </c>
      <c r="J56" s="1600" t="s">
        <v>3266</v>
      </c>
      <c r="K56" s="1571" t="s">
        <v>1460</v>
      </c>
      <c r="L56" s="1574" t="str">
        <f ca="1">IF(L48&lt;J51,"——",L48-J53)</f>
        <v>——</v>
      </c>
      <c r="O56" s="1568" t="s">
        <v>1008</v>
      </c>
      <c r="P56" s="1569" t="s">
        <v>1433</v>
      </c>
      <c r="Q56" s="1570">
        <f ca="1">C40+J29</f>
        <v>10445</v>
      </c>
      <c r="R56" s="1570" t="s">
        <v>1434</v>
      </c>
    </row>
    <row r="57" spans="1:18" s="1534" customFormat="1" ht="24.75" thickBot="1">
      <c r="A57" s="1601"/>
      <c r="B57" s="1077" t="s">
        <v>1383</v>
      </c>
      <c r="C57" s="244">
        <f ca="1">C29</f>
        <v>6971</v>
      </c>
      <c r="D57" s="1602"/>
      <c r="E57" s="1603"/>
      <c r="F57" s="1604"/>
      <c r="I57" s="1605" t="s">
        <v>1461</v>
      </c>
      <c r="J57" s="1606">
        <f ca="1">IF(OR(M47="住宅",J51&lt;L48,J56="是"),"——",J51-L48)</f>
        <v>15.719999999999999</v>
      </c>
      <c r="K57" s="1571" t="s">
        <v>1462</v>
      </c>
      <c r="L57" s="1574" t="str">
        <f ca="1">IF(L48&lt;J51,"——",IF(L55="比较法",L49,IF(L55="基准地价",L50,L51)))</f>
        <v>——</v>
      </c>
      <c r="O57" s="1568" t="s">
        <v>1009</v>
      </c>
      <c r="P57" s="1569" t="s">
        <v>1463</v>
      </c>
      <c r="Q57" s="1570">
        <f ca="1">L60</f>
        <v>0</v>
      </c>
      <c r="R57" s="1570" t="s">
        <v>1464</v>
      </c>
    </row>
    <row r="58" spans="1:18" s="1534" customFormat="1" ht="24.75" thickBot="1">
      <c r="A58" s="321" t="s">
        <v>998</v>
      </c>
      <c r="B58" s="1085" t="s">
        <v>1329</v>
      </c>
      <c r="C58" s="322" t="e">
        <f ca="1">ROUND(C59+C64+C65+C66,0)</f>
        <v>#VALUE!</v>
      </c>
      <c r="D58" s="1087" t="s">
        <v>1330</v>
      </c>
      <c r="E58" s="1088"/>
      <c r="F58" s="1089"/>
      <c r="I58" s="1605" t="s">
        <v>1465</v>
      </c>
      <c r="J58" s="1607">
        <f ca="1">IF(J55&lt;0.4,0.4,J55)</f>
        <v>0.4</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#VALUE!</v>
      </c>
      <c r="D59" s="1090" t="s">
        <v>1335</v>
      </c>
      <c r="E59" s="1091" t="s">
        <v>1336</v>
      </c>
      <c r="F59" s="2496" t="str">
        <f>IF(项目基本情况!B11="企业","——",IF('数据-取费表'!B10="住宅",IF(F49*F50*F51/12/(1+'数据-取费表'!F30)&gt;100000,4%,2.5%),IF(F49*F50*F51/12/(1+'数据-取费表'!F30)&gt;100000,12%,7%)))</f>
        <v>——</v>
      </c>
      <c r="I59" s="1605" t="s">
        <v>1468</v>
      </c>
      <c r="J59" s="1606">
        <f ca="1">IF(OR(M47="住宅",J51&lt;L48,J56="是"),"——",ROUND(C29*J58,0))</f>
        <v>2788</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IF(项目基本情况!B11="自然人","——",ROUND(C48*F60/(1+'数据-取费表'!C42),2))</f>
        <v>0</v>
      </c>
      <c r="D60" s="1091" t="s">
        <v>1339</v>
      </c>
      <c r="E60" s="1077" t="s">
        <v>1327</v>
      </c>
      <c r="F60" s="337">
        <f t="shared" ref="F60:F66" si="0">F32</f>
        <v>0</v>
      </c>
      <c r="I60" s="1608" t="s">
        <v>1470</v>
      </c>
      <c r="J60" s="1609">
        <f ca="1">IF(OR(M47="住宅",J51&lt;L48,J56="是"),"0",ROUND(J59/(1+J52)^J53,0))</f>
        <v>171</v>
      </c>
      <c r="K60" s="1610" t="s">
        <v>1471</v>
      </c>
      <c r="L60" s="1609">
        <f ca="1">IF(OR(M47="住宅",L48&lt;J51),0,ROUND(L57*(L58/L59-1),0))</f>
        <v>0</v>
      </c>
      <c r="O60" s="1578" t="s">
        <v>1012</v>
      </c>
      <c r="P60" s="1569" t="s">
        <v>1472</v>
      </c>
      <c r="Q60" s="1570" t="e">
        <f ca="1">L58</f>
        <v>#DIV/0!</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#VALUE!</v>
      </c>
      <c r="D61" s="1520" t="s">
        <v>1343</v>
      </c>
      <c r="E61" s="1077" t="s">
        <v>1327</v>
      </c>
      <c r="F61" s="328" t="str">
        <f t="shared" si="0"/>
        <v>——</v>
      </c>
      <c r="I61" s="1611"/>
      <c r="J61" s="1611"/>
      <c r="K61" s="1611"/>
      <c r="L61" s="1611"/>
      <c r="O61" s="1578" t="s">
        <v>1013</v>
      </c>
      <c r="P61" s="1569" t="str">
        <f>K59</f>
        <v>建筑物剩余耐用年限下的土地年期修正系数Kn</v>
      </c>
      <c r="Q61" s="1570" t="e">
        <f ca="1">L59</f>
        <v>#DIV/0!</v>
      </c>
      <c r="R61" s="1570" t="s">
        <v>1474</v>
      </c>
    </row>
    <row r="62" spans="1:18" s="1534" customFormat="1" ht="13.5" thickBot="1">
      <c r="A62" s="1109" t="s">
        <v>1400</v>
      </c>
      <c r="B62" s="1076" t="s">
        <v>1346</v>
      </c>
      <c r="C62" s="25">
        <f ca="1">IF(项目基本情况!B11="自然人","——",ROUND(F62*F63/10000,2))</f>
        <v>0</v>
      </c>
      <c r="D62" s="1092" t="s">
        <v>1347</v>
      </c>
      <c r="E62" s="1077" t="s">
        <v>1348</v>
      </c>
      <c r="F62" s="331">
        <f t="shared" si="0"/>
        <v>0</v>
      </c>
      <c r="I62" s="1612" t="s">
        <v>1475</v>
      </c>
      <c r="J62" s="1613" t="s">
        <v>1476</v>
      </c>
      <c r="K62" s="1613" t="s">
        <v>1477</v>
      </c>
      <c r="L62" s="1613" t="s">
        <v>1478</v>
      </c>
      <c r="M62" s="1614" t="s">
        <v>1479</v>
      </c>
      <c r="O62" s="1568" t="s">
        <v>1014</v>
      </c>
      <c r="P62" s="1569" t="s">
        <v>1454</v>
      </c>
      <c r="Q62" s="1570">
        <f ca="1">Q56+Q57</f>
        <v>10445</v>
      </c>
      <c r="R62" s="1570" t="s">
        <v>1015</v>
      </c>
    </row>
    <row r="63" spans="1:18" s="1534" customFormat="1" ht="13.5" thickBot="1">
      <c r="A63" s="332"/>
      <c r="B63" s="1083"/>
      <c r="C63" s="29"/>
      <c r="D63" s="1093"/>
      <c r="E63" s="1077" t="s">
        <v>1352</v>
      </c>
      <c r="F63" s="309">
        <f t="shared" ca="1" si="0"/>
        <v>3472.86</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f ca="1">ROUND(C57*F64,1)</f>
        <v>69.7</v>
      </c>
      <c r="D64" s="1091" t="s">
        <v>1387</v>
      </c>
      <c r="E64" s="1077" t="s">
        <v>1327</v>
      </c>
      <c r="F64" s="334">
        <f t="shared" ca="1" si="0"/>
        <v>0.01</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ROUND(C56*F65,1)</f>
        <v>10.5</v>
      </c>
      <c r="D65" s="1091" t="s">
        <v>1359</v>
      </c>
      <c r="E65" s="1077" t="s">
        <v>1327</v>
      </c>
      <c r="F65" s="336">
        <f t="shared" ca="1" si="0"/>
        <v>1.5E-3</v>
      </c>
      <c r="I65" s="1612" t="s">
        <v>1484</v>
      </c>
      <c r="J65" s="1613">
        <v>40</v>
      </c>
      <c r="K65" s="1613">
        <v>30</v>
      </c>
      <c r="L65" s="1613">
        <v>50</v>
      </c>
      <c r="M65" s="1615">
        <v>0.02</v>
      </c>
      <c r="O65" s="1568" t="s">
        <v>1008</v>
      </c>
      <c r="P65" s="1569" t="s">
        <v>1433</v>
      </c>
      <c r="Q65" s="1570">
        <f ca="1">C40+J29</f>
        <v>10445</v>
      </c>
      <c r="R65" s="1570" t="s">
        <v>1434</v>
      </c>
    </row>
    <row r="66" spans="1:18" s="1534" customFormat="1" ht="16.5" thickBot="1">
      <c r="A66" s="1109" t="s">
        <v>1409</v>
      </c>
      <c r="B66" s="1077" t="s">
        <v>1344</v>
      </c>
      <c r="C66" s="24">
        <f ca="1">ROUND(C48*F66,1)</f>
        <v>0</v>
      </c>
      <c r="D66" s="1091" t="s">
        <v>1364</v>
      </c>
      <c r="E66" s="1077" t="s">
        <v>1327</v>
      </c>
      <c r="F66" s="318">
        <f t="shared" ca="1" si="0"/>
        <v>1.4999999999999999E-2</v>
      </c>
      <c r="O66" s="1568" t="s">
        <v>1009</v>
      </c>
      <c r="P66" s="1569" t="s">
        <v>1463</v>
      </c>
      <c r="Q66" s="1570">
        <f ca="1">L60</f>
        <v>0</v>
      </c>
      <c r="R66" s="1570" t="s">
        <v>1486</v>
      </c>
    </row>
    <row r="67" spans="1:18" s="1534" customFormat="1" ht="16.5" thickBot="1">
      <c r="A67" s="1084" t="s">
        <v>999</v>
      </c>
      <c r="B67" s="1094" t="s">
        <v>1368</v>
      </c>
      <c r="C67" s="322" t="e">
        <f ca="1">C48-C58</f>
        <v>#VALUE!</v>
      </c>
      <c r="D67" s="1090" t="s">
        <v>1369</v>
      </c>
      <c r="E67" s="1095"/>
      <c r="F67" s="1096"/>
      <c r="O67" s="1578" t="s">
        <v>1010</v>
      </c>
      <c r="P67" s="1569" t="s">
        <v>1467</v>
      </c>
      <c r="Q67" s="1616">
        <f ca="1">L51</f>
        <v>-1270</v>
      </c>
      <c r="R67" s="1570" t="s">
        <v>1487</v>
      </c>
    </row>
    <row r="68" spans="1:18" s="1534" customFormat="1" ht="16.5" thickBot="1">
      <c r="A68" s="1074" t="s">
        <v>1000</v>
      </c>
      <c r="B68" s="1075" t="s">
        <v>1390</v>
      </c>
      <c r="C68" s="307" t="e">
        <f ca="1">ROUND(C67*(1-((1+F70)/(1+F68))^F69)/(F68-F70),0)</f>
        <v>#VALUE!</v>
      </c>
      <c r="D68" s="1092" t="s">
        <v>1374</v>
      </c>
      <c r="E68" s="1077" t="s">
        <v>1375</v>
      </c>
      <c r="F68" s="318">
        <f ca="1">F40</f>
        <v>4.4999999999999998E-2</v>
      </c>
      <c r="O68" s="1578" t="s">
        <v>1011</v>
      </c>
      <c r="P68" s="1617" t="s">
        <v>1488</v>
      </c>
      <c r="Q68" s="1570">
        <f ca="1">ROUND(Q69-Q70*Q71,0)</f>
        <v>-56</v>
      </c>
      <c r="R68" s="1570" t="s">
        <v>1019</v>
      </c>
    </row>
    <row r="69" spans="1:18" s="1534" customFormat="1" ht="13.5" thickBot="1">
      <c r="A69" s="1078"/>
      <c r="B69" s="1079"/>
      <c r="C69" s="312"/>
      <c r="D69" s="1097" t="s">
        <v>1378</v>
      </c>
      <c r="E69" s="1077" t="s">
        <v>1379</v>
      </c>
      <c r="F69" s="339">
        <f ca="1">F41</f>
        <v>44.28</v>
      </c>
      <c r="O69" s="1578" t="s">
        <v>1016</v>
      </c>
      <c r="P69" s="1617" t="s">
        <v>1489</v>
      </c>
      <c r="Q69" s="1570">
        <f ca="1">C39</f>
        <v>397</v>
      </c>
      <c r="R69" s="1570" t="s">
        <v>1434</v>
      </c>
    </row>
    <row r="70" spans="1:18" s="1534" customFormat="1" ht="13.5" thickBot="1">
      <c r="A70" s="1081"/>
      <c r="B70" s="1082"/>
      <c r="C70" s="316"/>
      <c r="D70" s="1093"/>
      <c r="E70" s="1077" t="s">
        <v>1382</v>
      </c>
      <c r="F70" s="1181"/>
      <c r="O70" s="1578" t="s">
        <v>1017</v>
      </c>
      <c r="P70" s="1617" t="s">
        <v>1490</v>
      </c>
      <c r="Q70" s="1570">
        <f ca="1">C13</f>
        <v>6971</v>
      </c>
      <c r="R70" s="1570" t="s">
        <v>1434</v>
      </c>
    </row>
    <row r="71" spans="1:18" s="1534" customFormat="1" ht="13.5" thickBot="1">
      <c r="A71" s="1098" t="s">
        <v>1001</v>
      </c>
      <c r="B71" s="1099" t="s">
        <v>1392</v>
      </c>
      <c r="C71" s="342" t="e">
        <f ca="1">ROUND(C68*10000/F71,0)</f>
        <v>#VALUE!</v>
      </c>
      <c r="D71" s="1100" t="s">
        <v>1393</v>
      </c>
      <c r="E71" s="1101" t="s">
        <v>1394</v>
      </c>
      <c r="F71" s="345">
        <f ca="1">F43</f>
        <v>14390.040000000006</v>
      </c>
      <c r="O71" s="1578" t="s">
        <v>1018</v>
      </c>
      <c r="P71" s="1617" t="s">
        <v>1491</v>
      </c>
      <c r="Q71" s="1581">
        <f ca="1">C76</f>
        <v>6.5000000000000002E-2</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#DIV/0!</v>
      </c>
      <c r="R74" s="1570" t="s">
        <v>1474</v>
      </c>
    </row>
    <row r="75" spans="1:18" ht="13.5" thickBot="1">
      <c r="A75" s="1534"/>
      <c r="B75" s="346" t="s">
        <v>1411</v>
      </c>
      <c r="C75" s="347">
        <f ca="1">ROUND(C13*C76,0)</f>
        <v>453</v>
      </c>
      <c r="D75" s="1534"/>
      <c r="E75" s="1534"/>
      <c r="F75" s="1534"/>
      <c r="K75" s="1552"/>
      <c r="L75" s="1534"/>
      <c r="O75" s="1568" t="s">
        <v>1014</v>
      </c>
      <c r="P75" s="1569" t="s">
        <v>1454</v>
      </c>
      <c r="Q75" s="1570">
        <f ca="1">Q65+Q66</f>
        <v>10445</v>
      </c>
      <c r="R75" s="1570" t="s">
        <v>1015</v>
      </c>
    </row>
    <row r="76" spans="1:18">
      <c r="B76" s="348" t="s">
        <v>1412</v>
      </c>
      <c r="C76" s="349">
        <f ca="1">INDIRECT("'数据-取费表'!j"&amp;$G$1)</f>
        <v>6.5000000000000002E-2</v>
      </c>
      <c r="I76" s="1534"/>
      <c r="J76" s="1534"/>
      <c r="K76" s="1552"/>
      <c r="L76" s="1534"/>
    </row>
    <row r="77" spans="1:18">
      <c r="B77" s="350" t="s">
        <v>1413</v>
      </c>
      <c r="C77" s="351"/>
      <c r="I77" s="1534"/>
      <c r="J77" s="1534"/>
      <c r="K77" s="1552"/>
      <c r="L77" s="1534"/>
    </row>
    <row r="78" spans="1:18">
      <c r="B78" s="276" t="s">
        <v>1414</v>
      </c>
      <c r="C78" s="352"/>
    </row>
    <row r="79" spans="1:18">
      <c r="B79" s="346" t="s">
        <v>1415</v>
      </c>
      <c r="C79" s="280">
        <f ca="1">1-C80</f>
        <v>-0.14100000000000001</v>
      </c>
    </row>
    <row r="80" spans="1:18">
      <c r="B80" s="346" t="s">
        <v>1416</v>
      </c>
      <c r="C80" s="280">
        <f ca="1">ROUND(C75/C39,3)</f>
        <v>1.141</v>
      </c>
    </row>
    <row r="81" spans="2:3">
      <c r="B81" s="276" t="s">
        <v>1417</v>
      </c>
      <c r="C81" s="244"/>
    </row>
    <row r="82" spans="2:3">
      <c r="B82" s="279" t="s">
        <v>1418</v>
      </c>
      <c r="C82" s="281">
        <f ca="1">1-C83</f>
        <v>0.33299999999999996</v>
      </c>
    </row>
    <row r="83" spans="2:3">
      <c r="B83" s="279" t="s">
        <v>1419</v>
      </c>
      <c r="C83" s="280">
        <f ca="1">ROUND(C13/C40,3)</f>
        <v>0.66700000000000004</v>
      </c>
    </row>
  </sheetData>
  <sheetProtection formatCells="0" formatColumns="0" formatRows="0"/>
  <mergeCells count="3">
    <mergeCell ref="B6:B9"/>
    <mergeCell ref="I6:I9"/>
    <mergeCell ref="K53:L53"/>
  </mergeCells>
  <phoneticPr fontId="140"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K19" xr:uid="{7F59DA3B-3C56-4AA6-B3D5-CFF839A981F9}">
      <formula1>"按租金收入计税,按房产原值计税"</formula1>
    </dataValidation>
    <dataValidation type="list" allowBlank="1" showInputMessage="1" showErrorMessage="1" sqref="D33 D61" xr:uid="{209AC9C2-37E5-48BF-A23D-6F81B6F0787A}">
      <formula1>"按租金收入计税,按房产原值计税,按票据"</formula1>
    </dataValidation>
    <dataValidation type="list" allowBlank="1" showInputMessage="1" showErrorMessage="1" sqref="C1" xr:uid="{0AB126A6-6478-46E1-B233-5DE5BF9B7619}">
      <formula1>项目类型</formula1>
    </dataValidation>
    <dataValidation type="list" allowBlank="1" showInputMessage="1" showErrorMessage="1" sqref="J47" xr:uid="{DFB21ED7-0C02-4E13-A332-1054711C95CA}">
      <formula1>"钢,钢混,砖混"</formula1>
    </dataValidation>
    <dataValidation type="list" allowBlank="1" showInputMessage="1" showErrorMessage="1" sqref="J48" xr:uid="{AB346748-B31F-437A-8212-470ADA3CAC7B}">
      <formula1>"非生产用房,生产用房,受腐蚀的生产用房"</formula1>
    </dataValidation>
    <dataValidation type="list" allowBlank="1" showInputMessage="1" showErrorMessage="1" sqref="J56" xr:uid="{6B21C259-81DC-41C8-9151-E2DFF222435E}">
      <formula1>判定</formula1>
    </dataValidation>
    <dataValidation type="list" allowBlank="1" showInputMessage="1" showErrorMessage="1" sqref="L55" xr:uid="{59CCE6CF-60CF-4C83-A105-2D3523710517}">
      <formula1>"比较法,基准地价,收益还原"</formula1>
    </dataValidation>
    <dataValidation type="list" allowBlank="1" showInputMessage="1" showErrorMessage="1" sqref="M10 F10 F53" xr:uid="{04D8EA55-EB0A-496B-9337-748B82269C7E}">
      <formula1>"押一,押二,押三,自定义"</formula1>
    </dataValidation>
    <dataValidation type="list" allowBlank="1" showInputMessage="1" showErrorMessage="1" sqref="D1" xr:uid="{E18E42BA-01A8-4429-BE9B-5A5FA93347F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2714-7C4A-4D38-935B-4F0E4479B34B}">
  <sheetPr>
    <tabColor rgb="FF92D050"/>
    <pageSetUpPr fitToPage="1"/>
  </sheetPr>
  <dimension ref="A1:AC148"/>
  <sheetViews>
    <sheetView view="pageBreakPreview" topLeftCell="C31" zoomScale="80" zoomScaleNormal="60" zoomScaleSheetLayoutView="80" workbookViewId="0">
      <selection activeCell="K24" sqref="K2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2289</v>
      </c>
      <c r="C1" s="1374" t="s">
        <v>2290</v>
      </c>
      <c r="D1" s="1361" t="s">
        <v>3489</v>
      </c>
      <c r="E1" s="2507"/>
      <c r="F1" s="2030" t="s">
        <v>3271</v>
      </c>
      <c r="G1" s="1371" t="s">
        <v>2291</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f>IF(C2="——",ROUND(C49*D3/10000,0),ROUND(C49*D3/10000,0)-D2)</f>
        <v>42</v>
      </c>
      <c r="C2" s="2032" t="s">
        <v>70</v>
      </c>
      <c r="D2" s="1243" t="e">
        <f ca="1">SUMIF(INDIRECT("'"&amp;F2&amp;"'"&amp;"!A:A"),"承租人权益价值",INDIRECT("'"&amp;F2&amp;"'"&amp;"!c:c"))</f>
        <v>#REF!</v>
      </c>
      <c r="E2" s="2033" t="s">
        <v>2088</v>
      </c>
      <c r="F2" s="2034"/>
      <c r="G2" s="1034"/>
      <c r="H2" s="1034"/>
      <c r="I2" s="1034"/>
      <c r="J2" s="1034"/>
      <c r="K2" s="2035"/>
      <c r="L2" s="2904"/>
      <c r="M2" s="2905"/>
      <c r="N2" s="2905"/>
      <c r="O2" s="2905"/>
      <c r="P2" s="2036"/>
      <c r="Q2" s="2037"/>
      <c r="R2" s="2037"/>
      <c r="S2" s="2037"/>
      <c r="T2" s="2037"/>
      <c r="U2" s="2037"/>
      <c r="V2" s="2037"/>
      <c r="W2" s="2037"/>
      <c r="X2" s="2037"/>
      <c r="Y2" s="2037"/>
      <c r="Z2" s="2037"/>
      <c r="AA2" s="2037"/>
      <c r="AB2" s="2037"/>
      <c r="AC2" s="2038"/>
    </row>
    <row r="3" spans="1:29" s="353" customFormat="1" ht="28.5" customHeight="1" thickBot="1">
      <c r="A3" s="209" t="s">
        <v>1300</v>
      </c>
      <c r="B3" s="359">
        <f>IF(C2="——",C49,ROUND(B2*10000/D3,0))</f>
        <v>29.5</v>
      </c>
      <c r="C3" s="360" t="s">
        <v>2293</v>
      </c>
      <c r="D3" s="359">
        <f>IF(D1="",'数据-汇总表'!E3,SUMIF('数据-汇总表'!$C19:$C33,D1,'数据-汇总表'!$E19:$E33))</f>
        <v>14390.040000000006</v>
      </c>
      <c r="E3" s="1034"/>
      <c r="F3" s="2039"/>
      <c r="G3" s="1034"/>
      <c r="H3" s="1034"/>
      <c r="I3" s="1034"/>
      <c r="J3" s="1034"/>
      <c r="K3" s="2035"/>
      <c r="L3" s="2904"/>
      <c r="M3" s="2905"/>
      <c r="N3" s="2905"/>
      <c r="O3" s="2905"/>
      <c r="P3" s="2036"/>
      <c r="Q3" s="2037"/>
      <c r="R3" s="2037"/>
      <c r="S3" s="2037"/>
      <c r="T3" s="2037"/>
      <c r="U3" s="2037"/>
      <c r="V3" s="2037"/>
      <c r="W3" s="2037"/>
      <c r="X3" s="2037"/>
      <c r="Y3" s="2037"/>
      <c r="Z3" s="2037"/>
      <c r="AA3" s="2037"/>
      <c r="AB3" s="2037"/>
      <c r="AC3" s="1188"/>
    </row>
    <row r="4" spans="1:29" ht="15">
      <c r="A4" s="361" t="s">
        <v>2294</v>
      </c>
      <c r="B4" s="362"/>
      <c r="C4" s="3751" t="s">
        <v>2295</v>
      </c>
      <c r="D4" s="3752"/>
      <c r="E4" s="3753" t="s">
        <v>2296</v>
      </c>
      <c r="F4" s="3754"/>
      <c r="G4" s="3751" t="s">
        <v>2297</v>
      </c>
      <c r="H4" s="3752"/>
      <c r="I4" s="3751" t="s">
        <v>2298</v>
      </c>
      <c r="J4" s="3752"/>
      <c r="K4" s="2040" t="s">
        <v>2299</v>
      </c>
      <c r="L4" s="2906"/>
      <c r="M4" s="2907"/>
      <c r="N4" s="2907"/>
      <c r="O4" s="2907"/>
      <c r="P4" s="3755" t="s">
        <v>2300</v>
      </c>
      <c r="Q4" s="3756"/>
      <c r="R4" s="3761" t="s">
        <v>2296</v>
      </c>
      <c r="S4" s="3762"/>
      <c r="T4" s="3761" t="s">
        <v>2297</v>
      </c>
      <c r="U4" s="3762"/>
      <c r="V4" s="3767" t="s">
        <v>2298</v>
      </c>
      <c r="W4" s="3767"/>
      <c r="X4" s="3333"/>
      <c r="Y4" s="3761" t="s">
        <v>2300</v>
      </c>
      <c r="Z4" s="3762"/>
      <c r="AA4" s="3748" t="s">
        <v>2296</v>
      </c>
      <c r="AB4" s="3748" t="s">
        <v>2297</v>
      </c>
      <c r="AC4" s="3748" t="s">
        <v>2298</v>
      </c>
    </row>
    <row r="5" spans="1:29" ht="15">
      <c r="A5" s="364"/>
      <c r="B5" s="365"/>
      <c r="C5" s="3770" t="s">
        <v>3351</v>
      </c>
      <c r="D5" s="3771"/>
      <c r="E5" s="3777" t="s">
        <v>3352</v>
      </c>
      <c r="F5" s="3778"/>
      <c r="G5" s="3770" t="s">
        <v>3353</v>
      </c>
      <c r="H5" s="3771"/>
      <c r="I5" s="3770" t="s">
        <v>3354</v>
      </c>
      <c r="J5" s="3771"/>
      <c r="K5" s="2041"/>
      <c r="L5" s="2906"/>
      <c r="M5" s="2907"/>
      <c r="N5" s="2907"/>
      <c r="O5" s="2907"/>
      <c r="P5" s="3757"/>
      <c r="Q5" s="3758"/>
      <c r="R5" s="3763"/>
      <c r="S5" s="3764"/>
      <c r="T5" s="3763"/>
      <c r="U5" s="3764"/>
      <c r="V5" s="3767"/>
      <c r="W5" s="3767"/>
      <c r="X5" s="3333"/>
      <c r="Y5" s="3763"/>
      <c r="Z5" s="3764"/>
      <c r="AA5" s="3749"/>
      <c r="AB5" s="3749"/>
      <c r="AC5" s="3749"/>
    </row>
    <row r="6" spans="1:29" ht="15.75" thickBot="1">
      <c r="A6" s="366"/>
      <c r="B6" s="367"/>
      <c r="C6" s="3768" t="s">
        <v>2305</v>
      </c>
      <c r="D6" s="3769"/>
      <c r="E6" s="3775" t="s">
        <v>2305</v>
      </c>
      <c r="F6" s="3776"/>
      <c r="G6" s="3768" t="s">
        <v>2305</v>
      </c>
      <c r="H6" s="3769"/>
      <c r="I6" s="3768" t="s">
        <v>2305</v>
      </c>
      <c r="J6" s="3769"/>
      <c r="K6" s="2041" t="s">
        <v>2306</v>
      </c>
      <c r="L6" s="2906"/>
      <c r="M6" s="2907"/>
      <c r="N6" s="2907"/>
      <c r="O6" s="2907"/>
      <c r="P6" s="3759"/>
      <c r="Q6" s="3760"/>
      <c r="R6" s="3763"/>
      <c r="S6" s="3764"/>
      <c r="T6" s="3765"/>
      <c r="U6" s="3766"/>
      <c r="V6" s="3767"/>
      <c r="W6" s="3767"/>
      <c r="X6" s="3333"/>
      <c r="Y6" s="3765"/>
      <c r="Z6" s="3766"/>
      <c r="AA6" s="3750"/>
      <c r="AB6" s="3750"/>
      <c r="AC6" s="3750"/>
    </row>
    <row r="7" spans="1:29" s="113" customFormat="1" ht="15.75" thickBot="1">
      <c r="A7" s="368" t="s">
        <v>2307</v>
      </c>
      <c r="B7" s="369"/>
      <c r="C7" s="370">
        <f>'数据-取费表'!B2</f>
        <v>44652</v>
      </c>
      <c r="D7" s="371">
        <v>100</v>
      </c>
      <c r="E7" s="372">
        <v>44531</v>
      </c>
      <c r="F7" s="373">
        <f>SUMIF(58:58,YEAR(E7)&amp;"-"&amp;MONTH(E7),59:59)</f>
        <v>99.5</v>
      </c>
      <c r="G7" s="372">
        <v>44531</v>
      </c>
      <c r="H7" s="371">
        <f>SUMIF(58:58,YEAR(G7)&amp;"-"&amp;MONTH(G7),59:59)</f>
        <v>99.5</v>
      </c>
      <c r="I7" s="372">
        <v>44531</v>
      </c>
      <c r="J7" s="371">
        <f>SUMIF(58:58,YEAR(I7)&amp;"-"&amp;MONTH(I7),59:59)</f>
        <v>99.5</v>
      </c>
      <c r="K7" s="2042"/>
      <c r="L7" s="2908"/>
      <c r="M7" s="2909"/>
      <c r="N7" s="2909"/>
      <c r="O7" s="2909"/>
      <c r="P7" s="3772" t="s">
        <v>2308</v>
      </c>
      <c r="Q7" s="3774"/>
      <c r="R7" s="710" t="s">
        <v>17</v>
      </c>
      <c r="S7" s="711">
        <f t="shared" ref="S7:S15" si="0">F7</f>
        <v>99.5</v>
      </c>
      <c r="T7" s="710" t="s">
        <v>17</v>
      </c>
      <c r="U7" s="711">
        <f t="shared" ref="U7:U15" si="1">H7</f>
        <v>99.5</v>
      </c>
      <c r="V7" s="710" t="s">
        <v>17</v>
      </c>
      <c r="W7" s="711">
        <f t="shared" ref="W7:W15" si="2">J7</f>
        <v>99.5</v>
      </c>
      <c r="X7" s="712"/>
      <c r="Y7" s="3772" t="s">
        <v>2308</v>
      </c>
      <c r="Z7" s="3773"/>
      <c r="AA7" s="713">
        <f>D7/F7</f>
        <v>1.0050251256281406</v>
      </c>
      <c r="AB7" s="713">
        <f>D7/H7</f>
        <v>1.0050251256281406</v>
      </c>
      <c r="AC7" s="713">
        <f>D7/J7</f>
        <v>1.0050251256281406</v>
      </c>
    </row>
    <row r="8" spans="1:29" s="113" customFormat="1" ht="15.75" thickBot="1">
      <c r="A8" s="368" t="s">
        <v>2309</v>
      </c>
      <c r="B8" s="369"/>
      <c r="C8" s="374" t="s">
        <v>2310</v>
      </c>
      <c r="D8" s="371">
        <v>100</v>
      </c>
      <c r="E8" s="2043" t="s">
        <v>3355</v>
      </c>
      <c r="F8" s="373">
        <f>SUMIF(61:61,E8,62:62)-SUMIF(61:61,C8,62:62)+100</f>
        <v>100</v>
      </c>
      <c r="G8" s="374" t="s">
        <v>3355</v>
      </c>
      <c r="H8" s="371">
        <f>SUMIF(61:61,G8,62:62)-SUMIF(61:61,C8,62:62)+100</f>
        <v>100</v>
      </c>
      <c r="I8" s="2043" t="s">
        <v>3355</v>
      </c>
      <c r="J8" s="371">
        <f>SUMIF(61:61,I8,62:62)-SUMIF(61:61,C8,62:62)+100</f>
        <v>100</v>
      </c>
      <c r="K8" s="2042"/>
      <c r="L8" s="2908"/>
      <c r="M8" s="2909"/>
      <c r="N8" s="2909"/>
      <c r="O8" s="2909"/>
      <c r="P8" s="3772" t="s">
        <v>2311</v>
      </c>
      <c r="Q8" s="3773"/>
      <c r="R8" s="710" t="s">
        <v>17</v>
      </c>
      <c r="S8" s="711">
        <f t="shared" si="0"/>
        <v>100</v>
      </c>
      <c r="T8" s="710" t="s">
        <v>17</v>
      </c>
      <c r="U8" s="711">
        <f t="shared" si="1"/>
        <v>100</v>
      </c>
      <c r="V8" s="710" t="s">
        <v>17</v>
      </c>
      <c r="W8" s="711">
        <f t="shared" si="2"/>
        <v>100</v>
      </c>
      <c r="X8" s="712"/>
      <c r="Y8" s="3772" t="s">
        <v>2311</v>
      </c>
      <c r="Z8" s="3773"/>
      <c r="AA8" s="713">
        <f t="shared" ref="AA8:AA19" si="3">D8/F8</f>
        <v>1</v>
      </c>
      <c r="AB8" s="713">
        <f t="shared" ref="AB8:AB19" si="4">D8/H8</f>
        <v>1</v>
      </c>
      <c r="AC8" s="713">
        <f t="shared" ref="AC8:AC19" si="5">D8/J8</f>
        <v>1</v>
      </c>
    </row>
    <row r="9" spans="1:29" s="113" customFormat="1" ht="15">
      <c r="A9" s="375" t="s">
        <v>2312</v>
      </c>
      <c r="B9" s="67" t="s">
        <v>2313</v>
      </c>
      <c r="C9" s="3324" t="s">
        <v>3356</v>
      </c>
      <c r="D9" s="131">
        <v>100</v>
      </c>
      <c r="E9" s="377" t="s">
        <v>3357</v>
      </c>
      <c r="F9" s="378">
        <f>SUMIF(63:63,E9,64:64)-SUMIF(63:63,C9,64:64)+100</f>
        <v>102</v>
      </c>
      <c r="G9" s="377" t="s">
        <v>3357</v>
      </c>
      <c r="H9" s="131">
        <f>SUMIF(63:63,G9,64:64)-SUMIF(63:63,C9,64:64)+100</f>
        <v>102</v>
      </c>
      <c r="I9" s="377" t="s">
        <v>3357</v>
      </c>
      <c r="J9" s="131">
        <f>SUMIF(63:63,I9,64:64)-SUMIF(63:63,C9,64:64)+100</f>
        <v>102</v>
      </c>
      <c r="K9" s="2042"/>
      <c r="L9" s="2908"/>
      <c r="M9" s="2909"/>
      <c r="N9" s="2909"/>
      <c r="O9" s="2909"/>
      <c r="P9" s="3747" t="s">
        <v>2314</v>
      </c>
      <c r="Q9" s="3330" t="str">
        <f t="shared" ref="Q9:Q15" si="6">B9</f>
        <v>用途</v>
      </c>
      <c r="R9" s="710" t="s">
        <v>17</v>
      </c>
      <c r="S9" s="711">
        <f t="shared" si="0"/>
        <v>102</v>
      </c>
      <c r="T9" s="710" t="s">
        <v>17</v>
      </c>
      <c r="U9" s="711">
        <f t="shared" si="1"/>
        <v>102</v>
      </c>
      <c r="V9" s="710" t="s">
        <v>17</v>
      </c>
      <c r="W9" s="711">
        <f t="shared" si="2"/>
        <v>102</v>
      </c>
      <c r="X9" s="712"/>
      <c r="Y9" s="3608" t="s">
        <v>2315</v>
      </c>
      <c r="Z9" s="3329" t="str">
        <f t="shared" ref="Z9:Z15" si="7">Q9</f>
        <v>用途</v>
      </c>
      <c r="AA9" s="713">
        <f t="shared" si="3"/>
        <v>0.98039215686274506</v>
      </c>
      <c r="AB9" s="713">
        <f t="shared" si="4"/>
        <v>0.98039215686274506</v>
      </c>
      <c r="AC9" s="713">
        <f t="shared" si="5"/>
        <v>0.98039215686274506</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0"/>
      <c r="M10" s="2911"/>
      <c r="N10" s="2911"/>
      <c r="O10" s="2911"/>
      <c r="P10" s="3747"/>
      <c r="Q10" s="3330" t="str">
        <f t="shared" si="6"/>
        <v>土地使用年限（年）</v>
      </c>
      <c r="R10" s="710" t="s">
        <v>17</v>
      </c>
      <c r="S10" s="711">
        <f t="shared" si="0"/>
        <v>100</v>
      </c>
      <c r="T10" s="710" t="s">
        <v>17</v>
      </c>
      <c r="U10" s="711">
        <f t="shared" si="1"/>
        <v>100</v>
      </c>
      <c r="V10" s="710" t="s">
        <v>17</v>
      </c>
      <c r="W10" s="711">
        <f t="shared" si="2"/>
        <v>100</v>
      </c>
      <c r="X10" s="712"/>
      <c r="Y10" s="3608"/>
      <c r="Z10" s="3329" t="str">
        <f t="shared" si="7"/>
        <v>土地使用年限（年）</v>
      </c>
      <c r="AA10" s="713">
        <f t="shared" si="3"/>
        <v>1</v>
      </c>
      <c r="AB10" s="713">
        <f t="shared" si="4"/>
        <v>1</v>
      </c>
      <c r="AC10" s="713">
        <f t="shared" si="5"/>
        <v>1</v>
      </c>
    </row>
    <row r="11" spans="1:29" ht="15">
      <c r="A11" s="387"/>
      <c r="B11" s="381" t="s">
        <v>2317</v>
      </c>
      <c r="C11" s="388"/>
      <c r="D11" s="132">
        <v>100</v>
      </c>
      <c r="E11" s="389"/>
      <c r="F11" s="384">
        <f>LOOKUP(E11,68:68,69:69)-LOOKUP(C11,68:68,69:69)+100</f>
        <v>100</v>
      </c>
      <c r="G11" s="388"/>
      <c r="H11" s="132">
        <f>LOOKUP(G11,68:68,69:69)-LOOKUP(C11,68:68,69:69)+100</f>
        <v>100</v>
      </c>
      <c r="I11" s="388"/>
      <c r="J11" s="132">
        <f>LOOKUP(I11,68:68,69:69)-LOOKUP(C11,68:68,69:69)+100</f>
        <v>100</v>
      </c>
      <c r="K11" s="385"/>
      <c r="L11" s="2912"/>
      <c r="M11" s="2907"/>
      <c r="N11" s="2907"/>
      <c r="O11" s="2907"/>
      <c r="P11" s="3747"/>
      <c r="Q11" s="3330" t="str">
        <f t="shared" si="6"/>
        <v>容积率</v>
      </c>
      <c r="R11" s="710" t="s">
        <v>17</v>
      </c>
      <c r="S11" s="711">
        <f t="shared" si="0"/>
        <v>100</v>
      </c>
      <c r="T11" s="710" t="s">
        <v>17</v>
      </c>
      <c r="U11" s="711">
        <f t="shared" si="1"/>
        <v>100</v>
      </c>
      <c r="V11" s="710" t="s">
        <v>17</v>
      </c>
      <c r="W11" s="711">
        <f t="shared" si="2"/>
        <v>100</v>
      </c>
      <c r="X11" s="712"/>
      <c r="Y11" s="3608"/>
      <c r="Z11" s="3329" t="str">
        <f t="shared" si="7"/>
        <v>容积率</v>
      </c>
      <c r="AA11" s="713">
        <f t="shared" si="3"/>
        <v>1</v>
      </c>
      <c r="AB11" s="713">
        <f t="shared" si="4"/>
        <v>1</v>
      </c>
      <c r="AC11" s="713">
        <f t="shared" si="5"/>
        <v>1</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908"/>
      <c r="M12" s="2909"/>
      <c r="N12" s="2909"/>
      <c r="O12" s="2909"/>
      <c r="P12" s="3747"/>
      <c r="Q12" s="3330">
        <f t="shared" si="6"/>
        <v>111</v>
      </c>
      <c r="R12" s="710" t="s">
        <v>17</v>
      </c>
      <c r="S12" s="711">
        <f t="shared" si="0"/>
        <v>100</v>
      </c>
      <c r="T12" s="710" t="s">
        <v>17</v>
      </c>
      <c r="U12" s="711">
        <f t="shared" si="1"/>
        <v>100</v>
      </c>
      <c r="V12" s="710" t="s">
        <v>17</v>
      </c>
      <c r="W12" s="711">
        <f t="shared" si="2"/>
        <v>100</v>
      </c>
      <c r="X12" s="712"/>
      <c r="Y12" s="3608"/>
      <c r="Z12" s="3329">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913"/>
      <c r="M13" s="2907"/>
      <c r="N13" s="2907"/>
      <c r="O13" s="2907"/>
      <c r="P13" s="3747"/>
      <c r="Q13" s="3330">
        <f t="shared" si="6"/>
        <v>111</v>
      </c>
      <c r="R13" s="710" t="s">
        <v>17</v>
      </c>
      <c r="S13" s="711">
        <f t="shared" si="0"/>
        <v>100</v>
      </c>
      <c r="T13" s="710" t="s">
        <v>17</v>
      </c>
      <c r="U13" s="711">
        <f t="shared" si="1"/>
        <v>100</v>
      </c>
      <c r="V13" s="710" t="s">
        <v>17</v>
      </c>
      <c r="W13" s="711">
        <f t="shared" si="2"/>
        <v>100</v>
      </c>
      <c r="X13" s="712"/>
      <c r="Y13" s="3608"/>
      <c r="Z13" s="3329">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913"/>
      <c r="M14" s="2907"/>
      <c r="N14" s="2907"/>
      <c r="O14" s="2907"/>
      <c r="P14" s="3747"/>
      <c r="Q14" s="3330">
        <f t="shared" si="6"/>
        <v>111</v>
      </c>
      <c r="R14" s="710" t="s">
        <v>17</v>
      </c>
      <c r="S14" s="711">
        <f t="shared" si="0"/>
        <v>100</v>
      </c>
      <c r="T14" s="710" t="s">
        <v>17</v>
      </c>
      <c r="U14" s="711">
        <f t="shared" si="1"/>
        <v>100</v>
      </c>
      <c r="V14" s="710" t="s">
        <v>17</v>
      </c>
      <c r="W14" s="711">
        <f t="shared" si="2"/>
        <v>100</v>
      </c>
      <c r="X14" s="712"/>
      <c r="Y14" s="3608"/>
      <c r="Z14" s="3329">
        <f t="shared" si="7"/>
        <v>111</v>
      </c>
      <c r="AA14" s="713">
        <f t="shared" si="3"/>
        <v>1</v>
      </c>
      <c r="AB14" s="713">
        <f t="shared" si="4"/>
        <v>1</v>
      </c>
      <c r="AC14" s="713">
        <f t="shared" si="5"/>
        <v>1</v>
      </c>
    </row>
    <row r="15" spans="1:29" ht="104.25" customHeight="1">
      <c r="A15" s="399" t="s">
        <v>2318</v>
      </c>
      <c r="B15" s="65" t="s">
        <v>1882</v>
      </c>
      <c r="C15" s="2047" t="str">
        <f>估价对象房地状况!C3</f>
        <v>周边2公里内有南平里、南平东里、南竺园、天竺家园、蓝海苑、蓝天苑、燕翔西里等居住项目项目，房屋出租使用率较高，居住环境、小区规模较适宜，居住社区成熟度较好。</v>
      </c>
      <c r="D15" s="400">
        <v>100</v>
      </c>
      <c r="E15" s="403"/>
      <c r="F15" s="400">
        <f>SUMIF(76:76,E16,77:77)-SUMIF(76:76,C16,77:77)+100</f>
        <v>100</v>
      </c>
      <c r="G15" s="401"/>
      <c r="H15" s="400">
        <f>SUMIF(76:76,G16,77:77)-SUMIF(76:76,C16,77:77)+100</f>
        <v>100</v>
      </c>
      <c r="I15" s="401"/>
      <c r="J15" s="400">
        <f>SUMIF(76:76,I16,77:77)-SUMIF(76:76,C16,77:77)+100</f>
        <v>100</v>
      </c>
      <c r="K15" s="404">
        <v>2</v>
      </c>
      <c r="L15" s="2913"/>
      <c r="M15" s="2907"/>
      <c r="N15" s="2907"/>
      <c r="O15" s="2907"/>
      <c r="P15" s="3745" t="s">
        <v>2319</v>
      </c>
      <c r="Q15" s="3331" t="str">
        <f t="shared" si="6"/>
        <v>居住社区成熟度</v>
      </c>
      <c r="R15" s="714" t="s">
        <v>17</v>
      </c>
      <c r="S15" s="715">
        <f t="shared" si="0"/>
        <v>100</v>
      </c>
      <c r="T15" s="714" t="s">
        <v>17</v>
      </c>
      <c r="U15" s="715">
        <f t="shared" si="1"/>
        <v>100</v>
      </c>
      <c r="V15" s="714" t="s">
        <v>17</v>
      </c>
      <c r="W15" s="715">
        <f t="shared" si="2"/>
        <v>100</v>
      </c>
      <c r="X15" s="3333"/>
      <c r="Y15" s="3738" t="s">
        <v>2319</v>
      </c>
      <c r="Z15" s="3334" t="str">
        <f t="shared" si="7"/>
        <v>居住社区成熟度</v>
      </c>
      <c r="AA15" s="3332">
        <f t="shared" si="3"/>
        <v>1</v>
      </c>
      <c r="AB15" s="3332">
        <f t="shared" si="4"/>
        <v>1</v>
      </c>
      <c r="AC15" s="3332">
        <f t="shared" si="5"/>
        <v>1</v>
      </c>
    </row>
    <row r="16" spans="1:29" ht="15">
      <c r="A16" s="387"/>
      <c r="B16" s="405"/>
      <c r="C16" s="406" t="s">
        <v>3272</v>
      </c>
      <c r="D16" s="407"/>
      <c r="E16" s="406" t="s">
        <v>3272</v>
      </c>
      <c r="F16" s="407"/>
      <c r="G16" s="406" t="s">
        <v>3272</v>
      </c>
      <c r="H16" s="409"/>
      <c r="I16" s="406" t="s">
        <v>3272</v>
      </c>
      <c r="J16" s="407"/>
      <c r="K16" s="2050"/>
      <c r="L16" s="2913"/>
      <c r="M16" s="2907"/>
      <c r="N16" s="2907"/>
      <c r="O16" s="2907"/>
      <c r="P16" s="3746"/>
      <c r="Q16" s="3331"/>
      <c r="R16" s="714"/>
      <c r="S16" s="715"/>
      <c r="T16" s="714"/>
      <c r="U16" s="715"/>
      <c r="V16" s="714"/>
      <c r="W16" s="715"/>
      <c r="X16" s="3333"/>
      <c r="Y16" s="3739"/>
      <c r="Z16" s="3334"/>
      <c r="AA16" s="3332">
        <v>1</v>
      </c>
      <c r="AB16" s="3332">
        <v>1</v>
      </c>
      <c r="AC16" s="3332">
        <v>1</v>
      </c>
    </row>
    <row r="17" spans="1:29" ht="105.75" customHeight="1">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SUMIF(78:78,E18,79:79)-SUMIF(78:78,C18,79:79)+100</f>
        <v>102</v>
      </c>
      <c r="G17" s="411"/>
      <c r="H17" s="414">
        <f>SUMIF(78:78,G18,79:79)-SUMIF(78:78,C18,79:79)+100</f>
        <v>102</v>
      </c>
      <c r="I17" s="411"/>
      <c r="J17" s="414">
        <f>SUMIF(78:78,I18,79:79)-SUMIF(78:78,C18,79:79)+100</f>
        <v>102</v>
      </c>
      <c r="K17" s="404">
        <v>2</v>
      </c>
      <c r="L17" s="2913"/>
      <c r="M17" s="2907"/>
      <c r="N17" s="2907"/>
      <c r="O17" s="2907"/>
      <c r="P17" s="3746"/>
      <c r="Q17" s="3331" t="str">
        <f>B17</f>
        <v>交通便捷度</v>
      </c>
      <c r="R17" s="714" t="s">
        <v>17</v>
      </c>
      <c r="S17" s="715">
        <f>F17</f>
        <v>102</v>
      </c>
      <c r="T17" s="714" t="s">
        <v>17</v>
      </c>
      <c r="U17" s="715">
        <f>H17</f>
        <v>102</v>
      </c>
      <c r="V17" s="714" t="s">
        <v>17</v>
      </c>
      <c r="W17" s="715">
        <f>J17</f>
        <v>102</v>
      </c>
      <c r="X17" s="3333"/>
      <c r="Y17" s="3739"/>
      <c r="Z17" s="3334" t="str">
        <f>Q17</f>
        <v>交通便捷度</v>
      </c>
      <c r="AA17" s="3332">
        <f t="shared" si="3"/>
        <v>0.98039215686274506</v>
      </c>
      <c r="AB17" s="3332">
        <f t="shared" si="4"/>
        <v>0.98039215686274506</v>
      </c>
      <c r="AC17" s="3332">
        <f t="shared" si="5"/>
        <v>0.98039215686274506</v>
      </c>
    </row>
    <row r="18" spans="1:29" ht="15">
      <c r="A18" s="387"/>
      <c r="B18" s="415"/>
      <c r="C18" s="2052" t="s">
        <v>3273</v>
      </c>
      <c r="D18" s="409"/>
      <c r="E18" s="2053" t="s">
        <v>3272</v>
      </c>
      <c r="F18" s="409"/>
      <c r="G18" s="2053" t="s">
        <v>3272</v>
      </c>
      <c r="H18" s="407"/>
      <c r="I18" s="2053" t="s">
        <v>3272</v>
      </c>
      <c r="J18" s="407"/>
      <c r="K18" s="2050"/>
      <c r="L18" s="2913"/>
      <c r="M18" s="2907"/>
      <c r="N18" s="2907"/>
      <c r="O18" s="2907"/>
      <c r="P18" s="3746"/>
      <c r="Q18" s="3331"/>
      <c r="R18" s="714"/>
      <c r="S18" s="715"/>
      <c r="T18" s="714"/>
      <c r="U18" s="715"/>
      <c r="V18" s="714"/>
      <c r="W18" s="715"/>
      <c r="X18" s="3333"/>
      <c r="Y18" s="3739"/>
      <c r="Z18" s="3334"/>
      <c r="AA18" s="3332">
        <v>1</v>
      </c>
      <c r="AB18" s="3332">
        <v>1</v>
      </c>
      <c r="AC18" s="3332">
        <v>1</v>
      </c>
    </row>
    <row r="19" spans="1:29" ht="76.5" customHeight="1">
      <c r="A19" s="387"/>
      <c r="B19" s="410" t="s">
        <v>1883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SUMIF(80:80,E20,81:81)-SUMIF(80:80,C20,81:81)+100</f>
        <v>100</v>
      </c>
      <c r="G19" s="416"/>
      <c r="H19" s="409">
        <f>SUMIF(80:80,G20,81:81)-SUMIF(80:80,C20,81:81)+100</f>
        <v>100</v>
      </c>
      <c r="I19" s="416"/>
      <c r="J19" s="409">
        <f>SUMIF(80:80,I20,81:81)-SUMIF(80:80,C20,81:81)+100</f>
        <v>100</v>
      </c>
      <c r="K19" s="404">
        <v>2</v>
      </c>
      <c r="L19" s="2913"/>
      <c r="M19" s="2907"/>
      <c r="N19" s="2907"/>
      <c r="O19" s="2907"/>
      <c r="P19" s="3746"/>
      <c r="Q19" s="3331" t="str">
        <f>B19</f>
        <v>公共配套设施</v>
      </c>
      <c r="R19" s="714" t="s">
        <v>17</v>
      </c>
      <c r="S19" s="715">
        <f>F19</f>
        <v>100</v>
      </c>
      <c r="T19" s="714" t="s">
        <v>17</v>
      </c>
      <c r="U19" s="715">
        <f>H19</f>
        <v>100</v>
      </c>
      <c r="V19" s="714" t="s">
        <v>17</v>
      </c>
      <c r="W19" s="715">
        <f>J19</f>
        <v>100</v>
      </c>
      <c r="X19" s="3333"/>
      <c r="Y19" s="3739"/>
      <c r="Z19" s="3334" t="str">
        <f>Q19</f>
        <v>公共配套设施</v>
      </c>
      <c r="AA19" s="3332">
        <f t="shared" si="3"/>
        <v>1</v>
      </c>
      <c r="AB19" s="3332">
        <f t="shared" si="4"/>
        <v>1</v>
      </c>
      <c r="AC19" s="3332">
        <f t="shared" si="5"/>
        <v>1</v>
      </c>
    </row>
    <row r="20" spans="1:29" ht="15">
      <c r="A20" s="387"/>
      <c r="B20" s="415"/>
      <c r="C20" s="406" t="s">
        <v>3272</v>
      </c>
      <c r="D20" s="407"/>
      <c r="E20" s="406" t="s">
        <v>3272</v>
      </c>
      <c r="F20" s="407"/>
      <c r="G20" s="406" t="s">
        <v>3272</v>
      </c>
      <c r="H20" s="407"/>
      <c r="I20" s="406" t="s">
        <v>3272</v>
      </c>
      <c r="J20" s="407"/>
      <c r="K20" s="2050"/>
      <c r="L20" s="2913"/>
      <c r="M20" s="2907"/>
      <c r="N20" s="2907"/>
      <c r="O20" s="2907"/>
      <c r="P20" s="3746"/>
      <c r="Q20" s="3331"/>
      <c r="R20" s="714"/>
      <c r="S20" s="715"/>
      <c r="T20" s="714"/>
      <c r="U20" s="715"/>
      <c r="V20" s="714"/>
      <c r="W20" s="715"/>
      <c r="X20" s="3333"/>
      <c r="Y20" s="3739"/>
      <c r="Z20" s="3334"/>
      <c r="AA20" s="3332">
        <v>1</v>
      </c>
      <c r="AB20" s="3332">
        <v>1</v>
      </c>
      <c r="AC20" s="3332">
        <v>1</v>
      </c>
    </row>
    <row r="21" spans="1:29" ht="28.5">
      <c r="A21" s="387"/>
      <c r="B21" s="1261" t="s">
        <v>1885</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913"/>
      <c r="M21" s="2907"/>
      <c r="N21" s="2907"/>
      <c r="O21" s="2907"/>
      <c r="P21" s="3746"/>
      <c r="Q21" s="3331" t="str">
        <f>B21</f>
        <v>基础设施水平</v>
      </c>
      <c r="R21" s="714" t="s">
        <v>17</v>
      </c>
      <c r="S21" s="715">
        <f>F21</f>
        <v>100</v>
      </c>
      <c r="T21" s="714" t="s">
        <v>17</v>
      </c>
      <c r="U21" s="715">
        <f>H21</f>
        <v>100</v>
      </c>
      <c r="V21" s="714" t="s">
        <v>17</v>
      </c>
      <c r="W21" s="715">
        <f>J21</f>
        <v>100</v>
      </c>
      <c r="X21" s="3333"/>
      <c r="Y21" s="3739"/>
      <c r="Z21" s="3334" t="str">
        <f>Q21</f>
        <v>基础设施水平</v>
      </c>
      <c r="AA21" s="3332">
        <f t="shared" ref="AA21" si="8">D21/F21</f>
        <v>1</v>
      </c>
      <c r="AB21" s="3332">
        <f t="shared" ref="AB21" si="9">D21/H21</f>
        <v>1</v>
      </c>
      <c r="AC21" s="3332">
        <f t="shared" ref="AC21" si="10">D21/J21</f>
        <v>1</v>
      </c>
    </row>
    <row r="22" spans="1:29" ht="15">
      <c r="A22" s="387"/>
      <c r="B22" s="1261"/>
      <c r="C22" s="2052" t="s">
        <v>3274</v>
      </c>
      <c r="D22" s="407"/>
      <c r="E22" s="2052" t="s">
        <v>3274</v>
      </c>
      <c r="F22" s="407"/>
      <c r="G22" s="2052" t="s">
        <v>3274</v>
      </c>
      <c r="H22" s="407"/>
      <c r="I22" s="2052" t="s">
        <v>3274</v>
      </c>
      <c r="J22" s="407"/>
      <c r="K22" s="2056"/>
      <c r="L22" s="2913"/>
      <c r="M22" s="2907"/>
      <c r="N22" s="2907"/>
      <c r="O22" s="2907"/>
      <c r="P22" s="3746"/>
      <c r="Q22" s="3331"/>
      <c r="R22" s="714"/>
      <c r="S22" s="715"/>
      <c r="T22" s="714"/>
      <c r="U22" s="715"/>
      <c r="V22" s="714"/>
      <c r="W22" s="715"/>
      <c r="X22" s="3333"/>
      <c r="Y22" s="3739"/>
      <c r="Z22" s="3334"/>
      <c r="AA22" s="3332">
        <v>1</v>
      </c>
      <c r="AB22" s="3332">
        <v>1</v>
      </c>
      <c r="AC22" s="3332">
        <v>1</v>
      </c>
    </row>
    <row r="23" spans="1:29" ht="77.25" customHeight="1">
      <c r="A23" s="387"/>
      <c r="B23" s="410" t="s">
        <v>1886</v>
      </c>
      <c r="C23" s="2051" t="str">
        <f>估价对象房地状况!C9</f>
        <v>自然环境有西湖园、社区文化公园等自然景观；人文环境无；距离北京首都国际机场1.5公里，机场噪音大，综合评价环境状况较差。</v>
      </c>
      <c r="D23" s="409">
        <v>100</v>
      </c>
      <c r="E23" s="413"/>
      <c r="F23" s="409">
        <f>SUMIF(84:84,E24,85:85)-SUMIF(84:84,C24,85:85)+100</f>
        <v>101</v>
      </c>
      <c r="G23" s="411"/>
      <c r="H23" s="409">
        <f>SUMIF(84:84,G24,85:85)-SUMIF(84:84,C24,85:85)+100</f>
        <v>102</v>
      </c>
      <c r="I23" s="411"/>
      <c r="J23" s="409">
        <f>SUMIF(84:84,I24,85:85)-SUMIF(84:84,C24,85:85)+100</f>
        <v>102</v>
      </c>
      <c r="K23" s="404">
        <v>1</v>
      </c>
      <c r="L23" s="2913"/>
      <c r="M23" s="2907"/>
      <c r="N23" s="2907"/>
      <c r="O23" s="2907"/>
      <c r="P23" s="3746"/>
      <c r="Q23" s="3331" t="str">
        <f>B23</f>
        <v>自然及人文环境</v>
      </c>
      <c r="R23" s="714" t="s">
        <v>17</v>
      </c>
      <c r="S23" s="715">
        <f>F23</f>
        <v>101</v>
      </c>
      <c r="T23" s="714" t="s">
        <v>17</v>
      </c>
      <c r="U23" s="715">
        <f>H23</f>
        <v>102</v>
      </c>
      <c r="V23" s="714" t="s">
        <v>17</v>
      </c>
      <c r="W23" s="715">
        <f>J23</f>
        <v>102</v>
      </c>
      <c r="X23" s="3333"/>
      <c r="Y23" s="3739"/>
      <c r="Z23" s="3334" t="str">
        <f>Q23</f>
        <v>自然及人文环境</v>
      </c>
      <c r="AA23" s="3332">
        <f>D23/F23</f>
        <v>0.99009900990099009</v>
      </c>
      <c r="AB23" s="3332">
        <f>D23/H23</f>
        <v>0.98039215686274506</v>
      </c>
      <c r="AC23" s="3332">
        <f>D23/J23</f>
        <v>0.98039215686274506</v>
      </c>
    </row>
    <row r="24" spans="1:29" ht="15">
      <c r="A24" s="387"/>
      <c r="B24" s="415"/>
      <c r="C24" s="406" t="s">
        <v>3460</v>
      </c>
      <c r="D24" s="407"/>
      <c r="E24" s="2048" t="s">
        <v>3273</v>
      </c>
      <c r="F24" s="407"/>
      <c r="G24" s="2048" t="s">
        <v>3272</v>
      </c>
      <c r="H24" s="407"/>
      <c r="I24" s="2048" t="s">
        <v>3272</v>
      </c>
      <c r="J24" s="407"/>
      <c r="K24" s="2050"/>
      <c r="L24" s="2913"/>
      <c r="M24" s="2907"/>
      <c r="N24" s="2907"/>
      <c r="O24" s="2907"/>
      <c r="P24" s="3746"/>
      <c r="Q24" s="3331"/>
      <c r="R24" s="714"/>
      <c r="S24" s="715"/>
      <c r="T24" s="714"/>
      <c r="U24" s="715"/>
      <c r="V24" s="714"/>
      <c r="W24" s="715"/>
      <c r="X24" s="3333"/>
      <c r="Y24" s="3739"/>
      <c r="Z24" s="3334"/>
      <c r="AA24" s="3332">
        <v>1</v>
      </c>
      <c r="AB24" s="3332">
        <v>1</v>
      </c>
      <c r="AC24" s="3332">
        <v>1</v>
      </c>
    </row>
    <row r="25" spans="1:29" ht="15">
      <c r="A25" s="387"/>
      <c r="B25" s="381" t="s">
        <v>2320</v>
      </c>
      <c r="C25" s="419"/>
      <c r="D25" s="394">
        <v>100</v>
      </c>
      <c r="E25" s="2057"/>
      <c r="F25" s="394">
        <f>SUMIF(86:86,E25,87:87)-SUMIF(86:86,C25,87:87)+100</f>
        <v>100</v>
      </c>
      <c r="G25" s="2058"/>
      <c r="H25" s="394">
        <f>SUMIF(86:86,G25,87:87)-SUMIF(86:86,C25,87:87)+100</f>
        <v>100</v>
      </c>
      <c r="I25" s="2058"/>
      <c r="J25" s="394">
        <f>SUMIF(86:86,I25,87:87)-SUMIF(86:86,C25,87:87)+100</f>
        <v>100</v>
      </c>
      <c r="K25" s="385"/>
      <c r="L25" s="2913"/>
      <c r="M25" s="2907"/>
      <c r="N25" s="2907"/>
      <c r="O25" s="2907"/>
      <c r="P25" s="3746"/>
      <c r="Q25" s="3331" t="str">
        <f t="shared" ref="Q25:Q46" si="11">B25</f>
        <v>楼层-1</v>
      </c>
      <c r="R25" s="714" t="s">
        <v>17</v>
      </c>
      <c r="S25" s="715">
        <f t="shared" ref="S25:S46" si="12">F25</f>
        <v>100</v>
      </c>
      <c r="T25" s="714" t="s">
        <v>17</v>
      </c>
      <c r="U25" s="715">
        <f t="shared" ref="U25:U46" si="13">H25</f>
        <v>100</v>
      </c>
      <c r="V25" s="714" t="s">
        <v>17</v>
      </c>
      <c r="W25" s="715">
        <f t="shared" ref="W25:W46" si="14">J25</f>
        <v>100</v>
      </c>
      <c r="X25" s="3333"/>
      <c r="Y25" s="3739"/>
      <c r="Z25" s="3334" t="str">
        <f>Q25</f>
        <v>楼层-1</v>
      </c>
      <c r="AA25" s="3332">
        <f t="shared" ref="AA25:AA46" si="15">D25/F25</f>
        <v>1</v>
      </c>
      <c r="AB25" s="3332">
        <f t="shared" ref="AB25:AB46" si="16">D25/H25</f>
        <v>1</v>
      </c>
      <c r="AC25" s="3332">
        <f t="shared" ref="AC25:AC46" si="17">D25/J25</f>
        <v>1</v>
      </c>
    </row>
    <row r="26" spans="1:29" ht="15">
      <c r="A26" s="387"/>
      <c r="B26" s="381" t="s">
        <v>2321</v>
      </c>
      <c r="C26" s="419"/>
      <c r="D26" s="394">
        <v>100</v>
      </c>
      <c r="E26" s="2057"/>
      <c r="F26" s="394">
        <f>SUMIF(88:88,E26,89:89)-SUMIF(88:88,C26,89:89)+100</f>
        <v>100</v>
      </c>
      <c r="G26" s="2058"/>
      <c r="H26" s="394">
        <f>SUMIF(88:88,G26,89:89)-SUMIF(88:88,C26,89:89)+100</f>
        <v>100</v>
      </c>
      <c r="I26" s="2058"/>
      <c r="J26" s="394">
        <f>SUMIF(88:88,I26,89:89)-SUMIF(88:88,C26,89:89)+100</f>
        <v>100</v>
      </c>
      <c r="K26" s="385"/>
      <c r="L26" s="2913"/>
      <c r="M26" s="2907"/>
      <c r="N26" s="2907"/>
      <c r="O26" s="2907"/>
      <c r="P26" s="3746"/>
      <c r="Q26" s="3331" t="str">
        <f t="shared" si="11"/>
        <v>朝向</v>
      </c>
      <c r="R26" s="714" t="s">
        <v>17</v>
      </c>
      <c r="S26" s="715">
        <f t="shared" si="12"/>
        <v>100</v>
      </c>
      <c r="T26" s="714" t="s">
        <v>17</v>
      </c>
      <c r="U26" s="715">
        <f t="shared" si="13"/>
        <v>100</v>
      </c>
      <c r="V26" s="714" t="s">
        <v>17</v>
      </c>
      <c r="W26" s="715">
        <f t="shared" si="14"/>
        <v>100</v>
      </c>
      <c r="X26" s="3333"/>
      <c r="Y26" s="3739"/>
      <c r="Z26" s="3334" t="str">
        <f>Q26</f>
        <v>朝向</v>
      </c>
      <c r="AA26" s="3332">
        <f t="shared" si="15"/>
        <v>1</v>
      </c>
      <c r="AB26" s="3332">
        <f t="shared" si="16"/>
        <v>1</v>
      </c>
      <c r="AC26" s="3332">
        <f t="shared" si="17"/>
        <v>1</v>
      </c>
    </row>
    <row r="27" spans="1:29" s="113" customFormat="1" ht="27">
      <c r="A27" s="390"/>
      <c r="B27" s="1263">
        <v>111</v>
      </c>
      <c r="C27" s="3371" t="s">
        <v>3454</v>
      </c>
      <c r="D27" s="421">
        <v>100</v>
      </c>
      <c r="E27" s="3371" t="s">
        <v>3454</v>
      </c>
      <c r="F27" s="421">
        <f>SUMIF(90:90,E27,91:91)-SUMIF(90:90,C27,91:91)+100</f>
        <v>100</v>
      </c>
      <c r="G27" s="3372" t="s">
        <v>3455</v>
      </c>
      <c r="H27" s="421">
        <f>SUMIF(90:90,G27,91:91)-SUMIF(90:90,C27,91:91)+100</f>
        <v>100</v>
      </c>
      <c r="I27" s="3372" t="s">
        <v>3456</v>
      </c>
      <c r="J27" s="421">
        <f>SUMIF(90:90,I27,91:91)-SUMIF(90:90,C27,91:91)+100</f>
        <v>100</v>
      </c>
      <c r="K27" s="2045"/>
      <c r="L27" s="2908"/>
      <c r="M27" s="2909"/>
      <c r="N27" s="2909"/>
      <c r="O27" s="2909"/>
      <c r="P27" s="3746"/>
      <c r="Q27" s="3330">
        <f t="shared" si="11"/>
        <v>111</v>
      </c>
      <c r="R27" s="710" t="s">
        <v>17</v>
      </c>
      <c r="S27" s="711">
        <f t="shared" si="12"/>
        <v>100</v>
      </c>
      <c r="T27" s="710" t="s">
        <v>17</v>
      </c>
      <c r="U27" s="711">
        <f t="shared" si="13"/>
        <v>100</v>
      </c>
      <c r="V27" s="710" t="s">
        <v>17</v>
      </c>
      <c r="W27" s="711">
        <f t="shared" si="14"/>
        <v>100</v>
      </c>
      <c r="X27" s="712"/>
      <c r="Y27" s="3739"/>
      <c r="Z27" s="3329">
        <f>Q27</f>
        <v>111</v>
      </c>
      <c r="AA27" s="3332">
        <f t="shared" si="15"/>
        <v>1</v>
      </c>
      <c r="AB27" s="3332">
        <f t="shared" si="16"/>
        <v>1</v>
      </c>
      <c r="AC27" s="3332">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913"/>
      <c r="M28" s="2907"/>
      <c r="N28" s="2907"/>
      <c r="O28" s="2907"/>
      <c r="P28" s="3746"/>
      <c r="Q28" s="3331">
        <f t="shared" si="11"/>
        <v>111</v>
      </c>
      <c r="R28" s="714" t="s">
        <v>17</v>
      </c>
      <c r="S28" s="715">
        <f t="shared" si="12"/>
        <v>100</v>
      </c>
      <c r="T28" s="714" t="s">
        <v>17</v>
      </c>
      <c r="U28" s="715">
        <f t="shared" si="13"/>
        <v>100</v>
      </c>
      <c r="V28" s="714" t="s">
        <v>17</v>
      </c>
      <c r="W28" s="715">
        <f t="shared" si="14"/>
        <v>100</v>
      </c>
      <c r="X28" s="3333"/>
      <c r="Y28" s="3739"/>
      <c r="Z28" s="3334">
        <f t="shared" ref="Z28:Z46" si="18">Q28</f>
        <v>111</v>
      </c>
      <c r="AA28" s="3332">
        <f t="shared" si="15"/>
        <v>1</v>
      </c>
      <c r="AB28" s="3332">
        <f t="shared" si="16"/>
        <v>1</v>
      </c>
      <c r="AC28" s="3332">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913"/>
      <c r="M29" s="2907"/>
      <c r="N29" s="2907"/>
      <c r="O29" s="2907"/>
      <c r="P29" s="3746"/>
      <c r="Q29" s="3331">
        <f t="shared" si="11"/>
        <v>111</v>
      </c>
      <c r="R29" s="714" t="s">
        <v>17</v>
      </c>
      <c r="S29" s="715">
        <f t="shared" si="12"/>
        <v>100</v>
      </c>
      <c r="T29" s="714" t="s">
        <v>17</v>
      </c>
      <c r="U29" s="715">
        <f t="shared" si="13"/>
        <v>100</v>
      </c>
      <c r="V29" s="714" t="s">
        <v>17</v>
      </c>
      <c r="W29" s="715">
        <f t="shared" si="14"/>
        <v>100</v>
      </c>
      <c r="X29" s="3333"/>
      <c r="Y29" s="3739"/>
      <c r="Z29" s="3334">
        <f t="shared" si="18"/>
        <v>111</v>
      </c>
      <c r="AA29" s="3332">
        <f t="shared" si="15"/>
        <v>1</v>
      </c>
      <c r="AB29" s="3332">
        <f t="shared" si="16"/>
        <v>1</v>
      </c>
      <c r="AC29" s="3332">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913"/>
      <c r="M30" s="2907"/>
      <c r="N30" s="2907"/>
      <c r="O30" s="2907"/>
      <c r="P30" s="3746"/>
      <c r="Q30" s="3331">
        <f t="shared" si="11"/>
        <v>111</v>
      </c>
      <c r="R30" s="714" t="s">
        <v>17</v>
      </c>
      <c r="S30" s="715">
        <f t="shared" si="12"/>
        <v>100</v>
      </c>
      <c r="T30" s="714" t="s">
        <v>17</v>
      </c>
      <c r="U30" s="715">
        <f t="shared" si="13"/>
        <v>100</v>
      </c>
      <c r="V30" s="714" t="s">
        <v>17</v>
      </c>
      <c r="W30" s="715">
        <f t="shared" si="14"/>
        <v>100</v>
      </c>
      <c r="X30" s="3333"/>
      <c r="Y30" s="3739"/>
      <c r="Z30" s="3334">
        <f t="shared" si="18"/>
        <v>111</v>
      </c>
      <c r="AA30" s="3332">
        <f t="shared" si="15"/>
        <v>1</v>
      </c>
      <c r="AB30" s="3332">
        <f t="shared" si="16"/>
        <v>1</v>
      </c>
      <c r="AC30" s="3332">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913"/>
      <c r="M31" s="2907"/>
      <c r="N31" s="2907"/>
      <c r="O31" s="2907"/>
      <c r="P31" s="3746"/>
      <c r="Q31" s="3331">
        <f t="shared" si="11"/>
        <v>111</v>
      </c>
      <c r="R31" s="714" t="s">
        <v>17</v>
      </c>
      <c r="S31" s="715">
        <f t="shared" si="12"/>
        <v>100</v>
      </c>
      <c r="T31" s="714" t="s">
        <v>17</v>
      </c>
      <c r="U31" s="715">
        <f t="shared" si="13"/>
        <v>100</v>
      </c>
      <c r="V31" s="714" t="s">
        <v>17</v>
      </c>
      <c r="W31" s="715">
        <f t="shared" si="14"/>
        <v>100</v>
      </c>
      <c r="X31" s="3333"/>
      <c r="Y31" s="3739"/>
      <c r="Z31" s="3334">
        <f t="shared" si="18"/>
        <v>111</v>
      </c>
      <c r="AA31" s="3332">
        <f t="shared" si="15"/>
        <v>1</v>
      </c>
      <c r="AB31" s="3332">
        <f t="shared" si="16"/>
        <v>1</v>
      </c>
      <c r="AC31" s="3332">
        <f t="shared" si="17"/>
        <v>1</v>
      </c>
    </row>
    <row r="32" spans="1:29" ht="15">
      <c r="A32" s="399" t="s">
        <v>2322</v>
      </c>
      <c r="B32" s="67" t="s">
        <v>2323</v>
      </c>
      <c r="C32" s="2061" t="s">
        <v>3359</v>
      </c>
      <c r="D32" s="426">
        <v>100</v>
      </c>
      <c r="E32" s="2061" t="s">
        <v>3359</v>
      </c>
      <c r="F32" s="420">
        <f>SUMIF(100:100,E32,101:101)-SUMIF(100:100,C32,101:101)+100</f>
        <v>100</v>
      </c>
      <c r="G32" s="2061" t="s">
        <v>3359</v>
      </c>
      <c r="H32" s="426">
        <f>SUMIF(100:100,G32,101:101)-SUMIF(100:100,C32,101:101)+100</f>
        <v>100</v>
      </c>
      <c r="I32" s="2061" t="s">
        <v>3359</v>
      </c>
      <c r="J32" s="394">
        <f>SUMIF(100:100,I32,101:101)-SUMIF(100:100,C32,101:101)+100</f>
        <v>100</v>
      </c>
      <c r="K32" s="385"/>
      <c r="L32" s="2913"/>
      <c r="M32" s="2907"/>
      <c r="N32" s="2907"/>
      <c r="O32" s="2907"/>
      <c r="P32" s="3740" t="s">
        <v>2324</v>
      </c>
      <c r="Q32" s="3331" t="str">
        <f t="shared" si="11"/>
        <v>建筑类型</v>
      </c>
      <c r="R32" s="714" t="s">
        <v>17</v>
      </c>
      <c r="S32" s="715">
        <f t="shared" si="12"/>
        <v>100</v>
      </c>
      <c r="T32" s="714" t="s">
        <v>17</v>
      </c>
      <c r="U32" s="715">
        <f t="shared" si="13"/>
        <v>100</v>
      </c>
      <c r="V32" s="714" t="s">
        <v>17</v>
      </c>
      <c r="W32" s="715">
        <f t="shared" si="14"/>
        <v>100</v>
      </c>
      <c r="X32" s="3333"/>
      <c r="Y32" s="3743" t="s">
        <v>2324</v>
      </c>
      <c r="Z32" s="3334" t="str">
        <f t="shared" si="18"/>
        <v>建筑类型</v>
      </c>
      <c r="AA32" s="3332">
        <f t="shared" si="15"/>
        <v>1</v>
      </c>
      <c r="AB32" s="3332">
        <f t="shared" si="16"/>
        <v>1</v>
      </c>
      <c r="AC32" s="3332">
        <f t="shared" si="17"/>
        <v>1</v>
      </c>
    </row>
    <row r="33" spans="1:29" s="430" customFormat="1" ht="15" hidden="1">
      <c r="A33" s="427"/>
      <c r="B33" s="381" t="s">
        <v>2325</v>
      </c>
      <c r="C33" s="428">
        <v>100</v>
      </c>
      <c r="D33" s="132">
        <v>100</v>
      </c>
      <c r="E33" s="428">
        <v>100</v>
      </c>
      <c r="F33" s="384">
        <f>LOOKUP(E33,103:103,104:104)-LOOKUP(C33,103:103,104:104)+100</f>
        <v>100</v>
      </c>
      <c r="G33" s="428">
        <v>100</v>
      </c>
      <c r="H33" s="132">
        <f>LOOKUP(G33,103:103,104:104)-LOOKUP(C33,103:103,104:104)+100</f>
        <v>100</v>
      </c>
      <c r="I33" s="428">
        <v>100</v>
      </c>
      <c r="J33" s="132">
        <f>LOOKUP(I33,103:103,104:104)-LOOKUP(C33,103:103,104:104)+100</f>
        <v>100</v>
      </c>
      <c r="K33" s="2045"/>
      <c r="L33" s="2912"/>
      <c r="M33" s="2914"/>
      <c r="N33" s="2914"/>
      <c r="O33" s="2914"/>
      <c r="P33" s="3741"/>
      <c r="Q33" s="716" t="str">
        <f t="shared" si="11"/>
        <v>项目建筑规模</v>
      </c>
      <c r="R33" s="717" t="s">
        <v>17</v>
      </c>
      <c r="S33" s="718">
        <f t="shared" si="12"/>
        <v>100</v>
      </c>
      <c r="T33" s="717" t="s">
        <v>17</v>
      </c>
      <c r="U33" s="718">
        <f t="shared" si="13"/>
        <v>100</v>
      </c>
      <c r="V33" s="717" t="s">
        <v>17</v>
      </c>
      <c r="W33" s="718">
        <f t="shared" si="14"/>
        <v>100</v>
      </c>
      <c r="X33" s="719"/>
      <c r="Y33" s="3743"/>
      <c r="Z33" s="720" t="str">
        <f t="shared" si="18"/>
        <v>项目建筑规模</v>
      </c>
      <c r="AA33" s="3332">
        <f t="shared" si="15"/>
        <v>1</v>
      </c>
      <c r="AB33" s="3332">
        <f t="shared" si="16"/>
        <v>1</v>
      </c>
      <c r="AC33" s="3332">
        <f t="shared" si="17"/>
        <v>1</v>
      </c>
    </row>
    <row r="34" spans="1:29" ht="15">
      <c r="A34" s="431"/>
      <c r="B34" s="381" t="s">
        <v>2326</v>
      </c>
      <c r="C34" s="2062" t="s">
        <v>3246</v>
      </c>
      <c r="D34" s="394">
        <v>100</v>
      </c>
      <c r="E34" s="2062" t="s">
        <v>3246</v>
      </c>
      <c r="F34" s="420">
        <f>SUMIF(105:105,E34,106:106)-SUMIF(105:105,C34,106:106)+100</f>
        <v>100</v>
      </c>
      <c r="G34" s="2062" t="s">
        <v>3246</v>
      </c>
      <c r="H34" s="394">
        <f>SUMIF(105:105,G34,106:106)-SUMIF(105:105,C34,106:106)+100</f>
        <v>100</v>
      </c>
      <c r="I34" s="2062" t="s">
        <v>3246</v>
      </c>
      <c r="J34" s="394">
        <f>SUMIF(105:105,I34,106:106)-SUMIF(105:105,C34,106:106)+100</f>
        <v>100</v>
      </c>
      <c r="K34" s="385"/>
      <c r="L34" s="2913"/>
      <c r="M34" s="2907"/>
      <c r="N34" s="2907"/>
      <c r="O34" s="2907"/>
      <c r="P34" s="3741"/>
      <c r="Q34" s="3331" t="str">
        <f t="shared" si="11"/>
        <v>建筑结构</v>
      </c>
      <c r="R34" s="714" t="s">
        <v>17</v>
      </c>
      <c r="S34" s="715">
        <f t="shared" si="12"/>
        <v>100</v>
      </c>
      <c r="T34" s="714" t="s">
        <v>17</v>
      </c>
      <c r="U34" s="715">
        <f t="shared" si="13"/>
        <v>100</v>
      </c>
      <c r="V34" s="714" t="s">
        <v>17</v>
      </c>
      <c r="W34" s="715">
        <f t="shared" si="14"/>
        <v>100</v>
      </c>
      <c r="X34" s="3333"/>
      <c r="Y34" s="3743"/>
      <c r="Z34" s="3334" t="str">
        <f t="shared" si="18"/>
        <v>建筑结构</v>
      </c>
      <c r="AA34" s="3332">
        <f t="shared" si="15"/>
        <v>1</v>
      </c>
      <c r="AB34" s="3332">
        <f t="shared" si="16"/>
        <v>1</v>
      </c>
      <c r="AC34" s="3332">
        <f t="shared" si="17"/>
        <v>1</v>
      </c>
    </row>
    <row r="35" spans="1:29" ht="15">
      <c r="A35" s="431"/>
      <c r="B35" s="381" t="s">
        <v>2327</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385"/>
      <c r="L35" s="2913"/>
      <c r="M35" s="2907"/>
      <c r="N35" s="2907"/>
      <c r="O35" s="2907"/>
      <c r="P35" s="3741"/>
      <c r="Q35" s="3331" t="str">
        <f t="shared" si="11"/>
        <v>建筑品质</v>
      </c>
      <c r="R35" s="714" t="s">
        <v>17</v>
      </c>
      <c r="S35" s="715">
        <f t="shared" si="12"/>
        <v>100</v>
      </c>
      <c r="T35" s="714" t="s">
        <v>17</v>
      </c>
      <c r="U35" s="715">
        <f t="shared" si="13"/>
        <v>100</v>
      </c>
      <c r="V35" s="714" t="s">
        <v>17</v>
      </c>
      <c r="W35" s="715">
        <f t="shared" si="14"/>
        <v>100</v>
      </c>
      <c r="X35" s="3333"/>
      <c r="Y35" s="3743"/>
      <c r="Z35" s="3334" t="str">
        <f t="shared" si="18"/>
        <v>建筑品质</v>
      </c>
      <c r="AA35" s="3332">
        <f t="shared" si="15"/>
        <v>1</v>
      </c>
      <c r="AB35" s="3332">
        <f t="shared" si="16"/>
        <v>1</v>
      </c>
      <c r="AC35" s="3332">
        <f t="shared" si="17"/>
        <v>1</v>
      </c>
    </row>
    <row r="36" spans="1:29" ht="15">
      <c r="A36" s="431"/>
      <c r="B36" s="381" t="s">
        <v>2328</v>
      </c>
      <c r="C36" s="2057" t="s">
        <v>3363</v>
      </c>
      <c r="D36" s="394">
        <v>100</v>
      </c>
      <c r="E36" s="2057" t="s">
        <v>3363</v>
      </c>
      <c r="F36" s="420">
        <f>SUMIF(109:109,E36,110:110)-SUMIF(109:109,C36,110:110)+100</f>
        <v>100</v>
      </c>
      <c r="G36" s="2057" t="s">
        <v>3363</v>
      </c>
      <c r="H36" s="394">
        <f>SUMIF(109:109,G36,110:110)-SUMIF(109:109,C36,110:110)+100</f>
        <v>100</v>
      </c>
      <c r="I36" s="2057" t="s">
        <v>3363</v>
      </c>
      <c r="J36" s="394">
        <f>SUMIF(109:109,I36,110:110)-SUMIF(109:109,C36,110:110)+100</f>
        <v>100</v>
      </c>
      <c r="K36" s="385"/>
      <c r="L36" s="2913"/>
      <c r="M36" s="2907"/>
      <c r="N36" s="2907"/>
      <c r="O36" s="2907"/>
      <c r="P36" s="3741"/>
      <c r="Q36" s="3331" t="str">
        <f t="shared" si="11"/>
        <v>公共部分装修</v>
      </c>
      <c r="R36" s="714" t="s">
        <v>17</v>
      </c>
      <c r="S36" s="715">
        <f t="shared" si="12"/>
        <v>100</v>
      </c>
      <c r="T36" s="714" t="s">
        <v>17</v>
      </c>
      <c r="U36" s="715">
        <f t="shared" si="13"/>
        <v>100</v>
      </c>
      <c r="V36" s="714" t="s">
        <v>17</v>
      </c>
      <c r="W36" s="715">
        <f t="shared" si="14"/>
        <v>100</v>
      </c>
      <c r="X36" s="3333"/>
      <c r="Y36" s="3743"/>
      <c r="Z36" s="3334" t="str">
        <f t="shared" si="18"/>
        <v>公共部分装修</v>
      </c>
      <c r="AA36" s="3332">
        <f t="shared" si="15"/>
        <v>1</v>
      </c>
      <c r="AB36" s="3332">
        <f t="shared" si="16"/>
        <v>1</v>
      </c>
      <c r="AC36" s="3332">
        <f t="shared" si="17"/>
        <v>1</v>
      </c>
    </row>
    <row r="37" spans="1:29" s="113" customFormat="1" ht="15">
      <c r="A37" s="432"/>
      <c r="B37" s="381" t="s">
        <v>2329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c r="L37" s="2908"/>
      <c r="M37" s="2909"/>
      <c r="N37" s="2909"/>
      <c r="O37" s="2909"/>
      <c r="P37" s="3741"/>
      <c r="Q37" s="3330" t="str">
        <f t="shared" si="11"/>
        <v>成新度</v>
      </c>
      <c r="R37" s="710" t="s">
        <v>17</v>
      </c>
      <c r="S37" s="711">
        <f t="shared" si="12"/>
        <v>100</v>
      </c>
      <c r="T37" s="710" t="s">
        <v>17</v>
      </c>
      <c r="U37" s="711">
        <f t="shared" si="13"/>
        <v>100</v>
      </c>
      <c r="V37" s="710" t="s">
        <v>17</v>
      </c>
      <c r="W37" s="711">
        <f t="shared" si="14"/>
        <v>100</v>
      </c>
      <c r="X37" s="712"/>
      <c r="Y37" s="3743"/>
      <c r="Z37" s="3329" t="str">
        <f t="shared" si="18"/>
        <v>成新度</v>
      </c>
      <c r="AA37" s="713">
        <f t="shared" si="15"/>
        <v>1</v>
      </c>
      <c r="AB37" s="713">
        <f t="shared" si="16"/>
        <v>1</v>
      </c>
      <c r="AC37" s="713">
        <f t="shared" si="17"/>
        <v>1</v>
      </c>
    </row>
    <row r="38" spans="1:29" ht="15">
      <c r="A38" s="431"/>
      <c r="B38" s="381" t="s">
        <v>2330</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385"/>
      <c r="L38" s="2913"/>
      <c r="M38" s="2907"/>
      <c r="N38" s="2907"/>
      <c r="O38" s="2907"/>
      <c r="P38" s="3741" t="s">
        <v>2324</v>
      </c>
      <c r="Q38" s="3331" t="str">
        <f t="shared" si="11"/>
        <v>物业管理</v>
      </c>
      <c r="R38" s="714" t="s">
        <v>17</v>
      </c>
      <c r="S38" s="715">
        <f t="shared" si="12"/>
        <v>100</v>
      </c>
      <c r="T38" s="714" t="s">
        <v>17</v>
      </c>
      <c r="U38" s="715">
        <f t="shared" si="13"/>
        <v>100</v>
      </c>
      <c r="V38" s="714" t="s">
        <v>17</v>
      </c>
      <c r="W38" s="715">
        <f t="shared" si="14"/>
        <v>100</v>
      </c>
      <c r="X38" s="3333"/>
      <c r="Y38" s="3743" t="s">
        <v>2324</v>
      </c>
      <c r="Z38" s="3334" t="str">
        <f t="shared" si="18"/>
        <v>物业管理</v>
      </c>
      <c r="AA38" s="3332">
        <f t="shared" si="15"/>
        <v>1</v>
      </c>
      <c r="AB38" s="3332">
        <f t="shared" si="16"/>
        <v>1</v>
      </c>
      <c r="AC38" s="3332">
        <f t="shared" si="17"/>
        <v>1</v>
      </c>
    </row>
    <row r="39" spans="1:29" ht="15">
      <c r="A39" s="431"/>
      <c r="B39" s="381" t="s">
        <v>2331</v>
      </c>
      <c r="C39" s="2057" t="s">
        <v>3467</v>
      </c>
      <c r="D39" s="394">
        <v>100</v>
      </c>
      <c r="E39" s="2057" t="s">
        <v>3274</v>
      </c>
      <c r="F39" s="420">
        <f>SUMIF(116:116,E39,117:117)-SUMIF(116:116,C39,117:117)+100</f>
        <v>102</v>
      </c>
      <c r="G39" s="2057" t="s">
        <v>3274</v>
      </c>
      <c r="H39" s="394">
        <f>SUMIF(116:116,G39,117:117)-SUMIF(116:116,C39,117:117)+100</f>
        <v>102</v>
      </c>
      <c r="I39" s="2057" t="s">
        <v>3274</v>
      </c>
      <c r="J39" s="394">
        <f>SUMIF(116:116,I39,117:117)-SUMIF(116:116,C39,117:117)+100</f>
        <v>102</v>
      </c>
      <c r="K39" s="385">
        <v>1</v>
      </c>
      <c r="L39" s="3389" t="s">
        <v>3469</v>
      </c>
      <c r="M39" s="2907"/>
      <c r="N39" s="2907"/>
      <c r="O39" s="2907"/>
      <c r="P39" s="3741"/>
      <c r="Q39" s="3331" t="str">
        <f t="shared" si="11"/>
        <v>市政基础设施</v>
      </c>
      <c r="R39" s="714" t="s">
        <v>17</v>
      </c>
      <c r="S39" s="715">
        <f t="shared" si="12"/>
        <v>102</v>
      </c>
      <c r="T39" s="714" t="s">
        <v>17</v>
      </c>
      <c r="U39" s="715">
        <f t="shared" si="13"/>
        <v>102</v>
      </c>
      <c r="V39" s="714" t="s">
        <v>17</v>
      </c>
      <c r="W39" s="715">
        <f t="shared" si="14"/>
        <v>102</v>
      </c>
      <c r="X39" s="3333"/>
      <c r="Y39" s="3743"/>
      <c r="Z39" s="3334" t="str">
        <f t="shared" si="18"/>
        <v>市政基础设施</v>
      </c>
      <c r="AA39" s="3332">
        <f t="shared" si="15"/>
        <v>0.98039215686274506</v>
      </c>
      <c r="AB39" s="3332">
        <f t="shared" si="16"/>
        <v>0.98039215686274506</v>
      </c>
      <c r="AC39" s="3332">
        <f t="shared" si="17"/>
        <v>0.98039215686274506</v>
      </c>
    </row>
    <row r="40" spans="1:29" ht="15" hidden="1">
      <c r="A40" s="431"/>
      <c r="B40" s="381" t="s">
        <v>2332</v>
      </c>
      <c r="C40" s="2057" t="s">
        <v>3463</v>
      </c>
      <c r="D40" s="394">
        <v>100</v>
      </c>
      <c r="E40" s="2057" t="s">
        <v>3463</v>
      </c>
      <c r="F40" s="420">
        <f>SUMIF(118:118,E40,119:119)-SUMIF(118:118,C40,119:119)+100</f>
        <v>100</v>
      </c>
      <c r="G40" s="2057" t="s">
        <v>3463</v>
      </c>
      <c r="H40" s="394">
        <f>SUMIF(118:118,G40,119:119)-SUMIF(118:118,C40,119:119)+100</f>
        <v>100</v>
      </c>
      <c r="I40" s="2057" t="s">
        <v>3463</v>
      </c>
      <c r="J40" s="394">
        <f>SUMIF(118:118,I40,119:119)-SUMIF(118:118,C40,119:119)+100</f>
        <v>100</v>
      </c>
      <c r="K40" s="385"/>
      <c r="L40" s="2913"/>
      <c r="M40" s="2907"/>
      <c r="N40" s="2907"/>
      <c r="O40" s="2907"/>
      <c r="P40" s="3741"/>
      <c r="Q40" s="3331" t="str">
        <f t="shared" si="11"/>
        <v>房型</v>
      </c>
      <c r="R40" s="714" t="s">
        <v>17</v>
      </c>
      <c r="S40" s="715">
        <f t="shared" si="12"/>
        <v>100</v>
      </c>
      <c r="T40" s="714" t="s">
        <v>17</v>
      </c>
      <c r="U40" s="715">
        <f t="shared" si="13"/>
        <v>100</v>
      </c>
      <c r="V40" s="714" t="s">
        <v>17</v>
      </c>
      <c r="W40" s="715">
        <f t="shared" si="14"/>
        <v>100</v>
      </c>
      <c r="X40" s="3333"/>
      <c r="Y40" s="3743"/>
      <c r="Z40" s="3334" t="str">
        <f t="shared" si="18"/>
        <v>房型</v>
      </c>
      <c r="AA40" s="3332">
        <f t="shared" si="15"/>
        <v>1</v>
      </c>
      <c r="AB40" s="3332">
        <f t="shared" si="16"/>
        <v>1</v>
      </c>
      <c r="AC40" s="3332">
        <f t="shared" si="17"/>
        <v>1</v>
      </c>
    </row>
    <row r="41" spans="1:29" s="430" customFormat="1" ht="28.5">
      <c r="A41" s="427"/>
      <c r="B41" s="381" t="s">
        <v>2333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45"/>
      <c r="L41" s="2912"/>
      <c r="M41" s="2914"/>
      <c r="N41" s="2914"/>
      <c r="O41" s="2914"/>
      <c r="P41" s="3741"/>
      <c r="Q41" s="716" t="str">
        <f t="shared" si="11"/>
        <v>单套/主力户型建筑面积</v>
      </c>
      <c r="R41" s="717" t="s">
        <v>17</v>
      </c>
      <c r="S41" s="718">
        <f t="shared" si="12"/>
        <v>100</v>
      </c>
      <c r="T41" s="717" t="s">
        <v>17</v>
      </c>
      <c r="U41" s="718">
        <f t="shared" si="13"/>
        <v>100</v>
      </c>
      <c r="V41" s="717" t="s">
        <v>17</v>
      </c>
      <c r="W41" s="718">
        <f t="shared" si="14"/>
        <v>100</v>
      </c>
      <c r="X41" s="719"/>
      <c r="Y41" s="3743"/>
      <c r="Z41" s="720" t="str">
        <f t="shared" si="18"/>
        <v>单套/主力户型建筑面积</v>
      </c>
      <c r="AA41" s="3332">
        <f t="shared" si="15"/>
        <v>1</v>
      </c>
      <c r="AB41" s="3332">
        <f t="shared" si="16"/>
        <v>1</v>
      </c>
      <c r="AC41" s="3332">
        <f t="shared" si="17"/>
        <v>1</v>
      </c>
    </row>
    <row r="42" spans="1:29" ht="15">
      <c r="A42" s="431"/>
      <c r="B42" s="381" t="s">
        <v>2334</v>
      </c>
      <c r="C42" s="2057" t="s">
        <v>3365</v>
      </c>
      <c r="D42" s="394">
        <v>100</v>
      </c>
      <c r="E42" s="2057" t="s">
        <v>3365</v>
      </c>
      <c r="F42" s="420">
        <f>SUMIF(122:122,E42,123:123)-SUMIF(122:122,C42,123:123)+100</f>
        <v>100</v>
      </c>
      <c r="G42" s="2057" t="s">
        <v>3365</v>
      </c>
      <c r="H42" s="394">
        <f>SUMIF(122:122,G42,123:123)-SUMIF(122:122,C42,123:123)+100</f>
        <v>100</v>
      </c>
      <c r="I42" s="2057" t="s">
        <v>3365</v>
      </c>
      <c r="J42" s="394">
        <f>SUMIF(122:122,I42,123:123)-SUMIF(122:122,C42,123:123)+100</f>
        <v>100</v>
      </c>
      <c r="K42" s="385"/>
      <c r="L42" s="2913"/>
      <c r="M42" s="2907"/>
      <c r="N42" s="2907"/>
      <c r="O42" s="2907"/>
      <c r="P42" s="3741"/>
      <c r="Q42" s="3331" t="str">
        <f t="shared" si="11"/>
        <v>内部装修</v>
      </c>
      <c r="R42" s="714" t="s">
        <v>17</v>
      </c>
      <c r="S42" s="715">
        <f t="shared" si="12"/>
        <v>100</v>
      </c>
      <c r="T42" s="714" t="s">
        <v>17</v>
      </c>
      <c r="U42" s="715">
        <f t="shared" si="13"/>
        <v>100</v>
      </c>
      <c r="V42" s="714" t="s">
        <v>17</v>
      </c>
      <c r="W42" s="715">
        <f t="shared" si="14"/>
        <v>100</v>
      </c>
      <c r="X42" s="3333"/>
      <c r="Y42" s="3743"/>
      <c r="Z42" s="3334" t="str">
        <f t="shared" si="18"/>
        <v>内部装修</v>
      </c>
      <c r="AA42" s="3332">
        <f t="shared" si="15"/>
        <v>1</v>
      </c>
      <c r="AB42" s="3332">
        <f t="shared" si="16"/>
        <v>1</v>
      </c>
      <c r="AC42" s="3332">
        <f t="shared" si="17"/>
        <v>1</v>
      </c>
    </row>
    <row r="43" spans="1:29" ht="15">
      <c r="A43" s="431"/>
      <c r="B43" s="381" t="s">
        <v>2335</v>
      </c>
      <c r="C43" s="2057" t="s">
        <v>3272</v>
      </c>
      <c r="D43" s="394">
        <v>100</v>
      </c>
      <c r="E43" s="2057" t="s">
        <v>3272</v>
      </c>
      <c r="F43" s="420">
        <f>SUMIF(124:124,E43,125:125)-SUMIF(124:124,C43,125:125)+100</f>
        <v>100</v>
      </c>
      <c r="G43" s="2057" t="s">
        <v>3272</v>
      </c>
      <c r="H43" s="394">
        <f>SUMIF(124:124,G43,125:125)-SUMIF(124:124,C43,125:125)+100</f>
        <v>100</v>
      </c>
      <c r="I43" s="2057" t="s">
        <v>3272</v>
      </c>
      <c r="J43" s="394">
        <f>SUMIF(124:124,I43,125:125)-SUMIF(124:124,C43,125:125)+100</f>
        <v>100</v>
      </c>
      <c r="K43" s="385"/>
      <c r="L43" s="2913"/>
      <c r="M43" s="2907"/>
      <c r="N43" s="2907"/>
      <c r="O43" s="2907"/>
      <c r="P43" s="3741"/>
      <c r="Q43" s="3331" t="str">
        <f t="shared" si="11"/>
        <v>内部装修维护情况</v>
      </c>
      <c r="R43" s="714" t="s">
        <v>17</v>
      </c>
      <c r="S43" s="715">
        <f t="shared" si="12"/>
        <v>100</v>
      </c>
      <c r="T43" s="714" t="s">
        <v>17</v>
      </c>
      <c r="U43" s="715">
        <f t="shared" si="13"/>
        <v>100</v>
      </c>
      <c r="V43" s="714" t="s">
        <v>17</v>
      </c>
      <c r="W43" s="715">
        <f t="shared" si="14"/>
        <v>100</v>
      </c>
      <c r="X43" s="3333"/>
      <c r="Y43" s="3743"/>
      <c r="Z43" s="3334" t="str">
        <f t="shared" si="18"/>
        <v>内部装修维护情况</v>
      </c>
      <c r="AA43" s="3332">
        <f t="shared" si="15"/>
        <v>1</v>
      </c>
      <c r="AB43" s="3332">
        <f t="shared" si="16"/>
        <v>1</v>
      </c>
      <c r="AC43" s="3332">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908"/>
      <c r="M44" s="2909"/>
      <c r="N44" s="2909"/>
      <c r="O44" s="2909"/>
      <c r="P44" s="3741"/>
      <c r="Q44" s="3330">
        <f t="shared" si="11"/>
        <v>111</v>
      </c>
      <c r="R44" s="710" t="s">
        <v>17</v>
      </c>
      <c r="S44" s="711">
        <f t="shared" si="12"/>
        <v>100</v>
      </c>
      <c r="T44" s="710" t="s">
        <v>17</v>
      </c>
      <c r="U44" s="711">
        <f t="shared" si="13"/>
        <v>100</v>
      </c>
      <c r="V44" s="710" t="s">
        <v>17</v>
      </c>
      <c r="W44" s="711">
        <f t="shared" si="14"/>
        <v>100</v>
      </c>
      <c r="X44" s="712"/>
      <c r="Y44" s="3743"/>
      <c r="Z44" s="3329">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913"/>
      <c r="M45" s="2907"/>
      <c r="N45" s="2907"/>
      <c r="O45" s="2907"/>
      <c r="P45" s="3741"/>
      <c r="Q45" s="3331">
        <f t="shared" si="11"/>
        <v>111</v>
      </c>
      <c r="R45" s="714" t="s">
        <v>17</v>
      </c>
      <c r="S45" s="715">
        <f t="shared" si="12"/>
        <v>100</v>
      </c>
      <c r="T45" s="714" t="s">
        <v>17</v>
      </c>
      <c r="U45" s="715">
        <f t="shared" si="13"/>
        <v>100</v>
      </c>
      <c r="V45" s="714" t="s">
        <v>17</v>
      </c>
      <c r="W45" s="715">
        <f t="shared" si="14"/>
        <v>100</v>
      </c>
      <c r="X45" s="3333"/>
      <c r="Y45" s="3743"/>
      <c r="Z45" s="3334">
        <f t="shared" si="18"/>
        <v>111</v>
      </c>
      <c r="AA45" s="3332">
        <f t="shared" si="15"/>
        <v>1</v>
      </c>
      <c r="AB45" s="3332">
        <f t="shared" si="16"/>
        <v>1</v>
      </c>
      <c r="AC45" s="3332">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913"/>
      <c r="M46" s="2907"/>
      <c r="N46" s="2907"/>
      <c r="O46" s="2907"/>
      <c r="P46" s="3742"/>
      <c r="Q46" s="3331">
        <f t="shared" si="11"/>
        <v>111</v>
      </c>
      <c r="R46" s="714" t="s">
        <v>17</v>
      </c>
      <c r="S46" s="715">
        <f t="shared" si="12"/>
        <v>100</v>
      </c>
      <c r="T46" s="714" t="s">
        <v>17</v>
      </c>
      <c r="U46" s="715">
        <f t="shared" si="13"/>
        <v>100</v>
      </c>
      <c r="V46" s="714" t="s">
        <v>17</v>
      </c>
      <c r="W46" s="715">
        <f t="shared" si="14"/>
        <v>100</v>
      </c>
      <c r="X46" s="3333"/>
      <c r="Y46" s="3744"/>
      <c r="Z46" s="3334">
        <f t="shared" si="18"/>
        <v>111</v>
      </c>
      <c r="AA46" s="3332">
        <f t="shared" si="15"/>
        <v>1</v>
      </c>
      <c r="AB46" s="3332">
        <f t="shared" si="16"/>
        <v>1</v>
      </c>
      <c r="AC46" s="3332">
        <f t="shared" si="17"/>
        <v>1</v>
      </c>
    </row>
    <row r="47" spans="1:29" ht="15">
      <c r="A47" s="438" t="s">
        <v>2336</v>
      </c>
      <c r="B47" s="439"/>
      <c r="C47" s="1284" t="s">
        <v>1</v>
      </c>
      <c r="D47" s="1285"/>
      <c r="E47" s="1286">
        <v>35</v>
      </c>
      <c r="F47" s="1287"/>
      <c r="G47" s="1288">
        <v>30</v>
      </c>
      <c r="H47" s="1289"/>
      <c r="I47" s="1286">
        <v>30</v>
      </c>
      <c r="J47" s="1289"/>
      <c r="K47" s="2063"/>
      <c r="L47" s="2915"/>
      <c r="M47" s="2916"/>
      <c r="N47" s="2907"/>
      <c r="O47" s="2916"/>
      <c r="P47" s="3736" t="str">
        <f>A47</f>
        <v>成交单价（元/平方米）</v>
      </c>
      <c r="Q47" s="3736"/>
      <c r="R47" s="3737">
        <f>E47</f>
        <v>35</v>
      </c>
      <c r="S47" s="3737"/>
      <c r="T47" s="3737">
        <f>G47</f>
        <v>30</v>
      </c>
      <c r="U47" s="3737"/>
      <c r="V47" s="3737">
        <f>I47</f>
        <v>30</v>
      </c>
      <c r="W47" s="3737"/>
      <c r="X47" s="699"/>
      <c r="Y47" s="721"/>
      <c r="Z47" s="699"/>
      <c r="AA47" s="699"/>
      <c r="AB47" s="699"/>
      <c r="AC47" s="699"/>
    </row>
    <row r="48" spans="1:29" ht="15.75" thickBot="1">
      <c r="A48" s="445" t="s">
        <v>2337</v>
      </c>
      <c r="B48" s="446"/>
      <c r="C48" s="1290">
        <f>R49</f>
        <v>29.5</v>
      </c>
      <c r="D48" s="2501" t="s">
        <v>2819</v>
      </c>
      <c r="E48" s="1291">
        <f>R48</f>
        <v>32.799999999999997</v>
      </c>
      <c r="F48" s="2502"/>
      <c r="G48" s="1290">
        <f>T48</f>
        <v>27.9</v>
      </c>
      <c r="H48" s="2502"/>
      <c r="I48" s="1291">
        <f>V48</f>
        <v>27.9</v>
      </c>
      <c r="J48" s="2502"/>
      <c r="K48" s="2503">
        <f>F48+H48+J48</f>
        <v>0</v>
      </c>
      <c r="L48" s="2915"/>
      <c r="M48" s="2916"/>
      <c r="N48" s="2916"/>
      <c r="O48" s="2916"/>
      <c r="P48" s="3736" t="str">
        <f>A48</f>
        <v>比较价值（元/平方米）</v>
      </c>
      <c r="Q48" s="3736"/>
      <c r="R48" s="3737">
        <f>IF(F1="售价",ROUND(PRODUCT(R47,AA7:AA46),0),ROUND(PRODUCT(R47,AA7:AA46),1))</f>
        <v>32.799999999999997</v>
      </c>
      <c r="S48" s="3737"/>
      <c r="T48" s="3737">
        <f>IF(F1="售价",ROUND(PRODUCT(T47,AB7:AB46),0),ROUND(PRODUCT(T47,AB7:AB46),1))</f>
        <v>27.9</v>
      </c>
      <c r="U48" s="3737"/>
      <c r="V48" s="3737">
        <f>IF(F1="售价",ROUND(PRODUCT(V47,AC7:AC46),0),ROUND(PRODUCT(V47,AC7:AC46),1))</f>
        <v>27.9</v>
      </c>
      <c r="W48" s="3737"/>
      <c r="X48" s="699"/>
      <c r="Y48" s="699"/>
      <c r="Z48" s="699"/>
      <c r="AA48" s="699"/>
      <c r="AB48" s="699"/>
      <c r="AC48" s="699"/>
    </row>
    <row r="49" spans="1:29" ht="15.75" thickBot="1">
      <c r="A49" s="449" t="s">
        <v>2338</v>
      </c>
      <c r="B49" s="450"/>
      <c r="C49" s="1292">
        <f>R49</f>
        <v>29.5</v>
      </c>
      <c r="D49" s="1293"/>
      <c r="E49" s="1293"/>
      <c r="F49" s="1293"/>
      <c r="G49" s="1293"/>
      <c r="H49" s="1293"/>
      <c r="I49" s="1293"/>
      <c r="J49" s="1293"/>
      <c r="K49" s="2064"/>
      <c r="L49" s="2915"/>
      <c r="M49" s="2916"/>
      <c r="N49" s="2916"/>
      <c r="O49" s="2916"/>
      <c r="P49" s="3733" t="str">
        <f>A49</f>
        <v>估价对象XX用房的比较价值（楼面单价，元/平方米）</v>
      </c>
      <c r="Q49" s="3734"/>
      <c r="R49" s="3735">
        <f>IF(F1="售价",ROUND(IF(D48="简单平均",AVERAGE(R48:V48),R48*F48+T48*H48+V48*J48),0),ROUND(IF(D48="简单平均",AVERAGE(R48:V48),R48*F48+T48*H48+V48*J48),1))</f>
        <v>29.5</v>
      </c>
      <c r="S49" s="3735"/>
      <c r="T49" s="3735"/>
      <c r="U49" s="3735"/>
      <c r="V49" s="3735"/>
      <c r="W49" s="3735"/>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row>
    <row r="51" spans="1:29">
      <c r="A51" s="2916"/>
      <c r="B51" s="2916"/>
      <c r="C51" s="2916"/>
      <c r="D51" s="2916"/>
      <c r="E51" s="2916"/>
      <c r="F51" s="2916"/>
      <c r="G51" s="2916"/>
      <c r="H51" s="2916"/>
      <c r="I51" s="2916"/>
      <c r="J51" s="2916"/>
      <c r="K51" s="2921"/>
      <c r="L51" s="2917"/>
      <c r="M51" s="2916"/>
      <c r="N51" s="2916"/>
      <c r="O51" s="2916"/>
    </row>
    <row r="52" spans="1:29" ht="13.5" customHeight="1">
      <c r="A52" s="2916"/>
      <c r="B52" s="2916"/>
      <c r="C52" s="454" t="s">
        <v>2339</v>
      </c>
      <c r="D52" s="455"/>
      <c r="E52" s="456">
        <f>IF(E47&lt;E48,E48/E47-1,E47/E48-1)</f>
        <v>6.7073170731707377E-2</v>
      </c>
      <c r="F52" s="457" t="str">
        <f>IF(OR(E52&gt;=0.3,E52&lt;=-0.3),"超过30%","")</f>
        <v/>
      </c>
      <c r="G52" s="456">
        <f>IF(G47&lt;G48,G48/G47-1,G47/G48-1)</f>
        <v>7.526881720430123E-2</v>
      </c>
      <c r="H52" s="457" t="str">
        <f>IF(OR(G52&gt;=0.3,G52&lt;=-0.3),"超过30%","")</f>
        <v/>
      </c>
      <c r="I52" s="456">
        <f>IF(I47&lt;I48,I48/I47-1,I47/I48-1)</f>
        <v>7.526881720430123E-2</v>
      </c>
      <c r="J52" s="457" t="str">
        <f>IF(OR(I52&gt;=0.3,I52&lt;=-0.3),"超过30%","")</f>
        <v/>
      </c>
      <c r="K52" s="2921"/>
      <c r="L52" s="2917"/>
      <c r="M52" s="2916"/>
      <c r="N52" s="2916"/>
      <c r="O52" s="2916"/>
    </row>
    <row r="53" spans="1:29" ht="13.5" customHeight="1">
      <c r="A53" s="2916"/>
      <c r="B53" s="2916"/>
      <c r="C53" s="454" t="s">
        <v>2340</v>
      </c>
      <c r="D53" s="458"/>
      <c r="E53" s="456">
        <f>IF(E48&lt;G48,G48/E48-1,E48/G48-1)</f>
        <v>0.17562724014336917</v>
      </c>
      <c r="F53" s="457" t="str">
        <f>IF(OR(E53&gt;=0.2,E53&lt;=-0.2),"超过20%","")</f>
        <v/>
      </c>
      <c r="G53" s="456">
        <f>IF(G48&lt;I48,I48/G48-1,G48/I48-1)</f>
        <v>0</v>
      </c>
      <c r="H53" s="457" t="str">
        <f>IF(OR(G53&gt;=0.2,G53&lt;=-0.2),"超过20%","")</f>
        <v/>
      </c>
      <c r="I53" s="456">
        <f>IF(I48&lt;E48,E48/I48-1,I48/E48-1)</f>
        <v>0.17562724014336917</v>
      </c>
      <c r="J53" s="457" t="str">
        <f>IF(OR(I53&gt;=0.2,I53&lt;=-0.2),"超过20%","")</f>
        <v/>
      </c>
      <c r="K53" s="2921"/>
      <c r="L53" s="2917"/>
      <c r="M53" s="2916"/>
      <c r="N53" s="2916"/>
      <c r="O53" s="2916"/>
    </row>
    <row r="54" spans="1:29" s="459" customFormat="1" ht="13.5" customHeight="1">
      <c r="A54" s="2919"/>
      <c r="B54" s="2919"/>
      <c r="C54" s="454" t="s">
        <v>2341</v>
      </c>
      <c r="D54" s="458"/>
      <c r="E54" s="456">
        <f>IF(E47&lt;G47,G47/E47-1,E47/G47-1)</f>
        <v>0.16666666666666674</v>
      </c>
      <c r="F54" s="457" t="str">
        <f>IF(OR(E54&gt;=0.3,E54&lt;=-0.3),"超过30%","")</f>
        <v/>
      </c>
      <c r="G54" s="456">
        <f>IF(G47&lt;I47,I47/G47-1,G47/I47-1)</f>
        <v>0</v>
      </c>
      <c r="H54" s="457" t="str">
        <f>IF(OR(G54&gt;=0.3,G54&lt;=-0.3),"超过30%","")</f>
        <v/>
      </c>
      <c r="I54" s="456">
        <f>IF(I47&lt;E47,E47/I47-1,I47/E47-1)</f>
        <v>0.16666666666666674</v>
      </c>
      <c r="J54" s="457" t="str">
        <f>IF(OR(I54&gt;=0.3,I54&lt;=-0.3),"超过30%","")</f>
        <v/>
      </c>
      <c r="K54" s="2924"/>
      <c r="L54" s="2918"/>
      <c r="M54" s="2919"/>
      <c r="N54" s="2919"/>
      <c r="O54" s="2919"/>
      <c r="P54" s="2066"/>
    </row>
    <row r="55" spans="1:29" s="459" customFormat="1">
      <c r="A55" s="2919"/>
      <c r="B55" s="2922"/>
      <c r="C55" s="2923"/>
      <c r="D55" s="2919"/>
      <c r="E55" s="2919"/>
      <c r="F55" s="2919"/>
      <c r="G55" s="2919"/>
      <c r="H55" s="2919"/>
      <c r="I55" s="2919"/>
      <c r="J55" s="2919"/>
      <c r="K55" s="2924"/>
      <c r="L55" s="2918"/>
      <c r="M55" s="2919"/>
      <c r="N55" s="2919"/>
      <c r="O55" s="2919"/>
      <c r="P55" s="2066"/>
    </row>
    <row r="56" spans="1:29">
      <c r="A56" s="2916"/>
      <c r="B56" s="2922"/>
      <c r="C56" s="2923"/>
      <c r="D56" s="2916"/>
      <c r="E56" s="2916"/>
      <c r="F56" s="2916"/>
      <c r="G56" s="2916"/>
      <c r="H56" s="2916"/>
      <c r="I56" s="2916"/>
      <c r="J56" s="2916"/>
      <c r="K56" s="2921"/>
      <c r="L56" s="2917"/>
      <c r="M56" s="2916"/>
      <c r="N56" s="2916"/>
      <c r="O56" s="2916"/>
    </row>
    <row r="57" spans="1:29" ht="21.75" thickBot="1">
      <c r="A57" s="703" t="s">
        <v>2342</v>
      </c>
      <c r="B57" s="699"/>
      <c r="C57" s="704"/>
      <c r="D57" s="704"/>
      <c r="E57" s="704"/>
      <c r="F57" s="705"/>
      <c r="G57" s="705"/>
      <c r="H57" s="704"/>
      <c r="I57" s="704"/>
      <c r="J57" s="704"/>
      <c r="K57" s="1068"/>
      <c r="L57" s="1069"/>
      <c r="M57" s="1067"/>
      <c r="N57" s="1067"/>
      <c r="O57" s="1067"/>
      <c r="P57" s="2067"/>
      <c r="Q57" s="461"/>
    </row>
    <row r="58" spans="1:29" s="465" customFormat="1" ht="15">
      <c r="A58" s="462" t="s">
        <v>2307</v>
      </c>
      <c r="B58" s="463"/>
      <c r="C58" s="1316" t="str">
        <f>YEAR(C7)&amp;"-"&amp;MONTH(C7)</f>
        <v>2022-4</v>
      </c>
      <c r="D58" s="1315">
        <f>EDATE(C58,-1)</f>
        <v>44621</v>
      </c>
      <c r="E58" s="1315">
        <f>EDATE(D58,-1)</f>
        <v>44593</v>
      </c>
      <c r="F58" s="1315">
        <f t="shared" ref="F58:O58" si="19">EDATE(E58,-1)</f>
        <v>44562</v>
      </c>
      <c r="G58" s="1315">
        <f t="shared" si="19"/>
        <v>44531</v>
      </c>
      <c r="H58" s="1315">
        <f t="shared" si="19"/>
        <v>44501</v>
      </c>
      <c r="I58" s="1315">
        <f t="shared" si="19"/>
        <v>44470</v>
      </c>
      <c r="J58" s="1315">
        <f t="shared" si="19"/>
        <v>44440</v>
      </c>
      <c r="K58" s="1315">
        <f t="shared" si="19"/>
        <v>44409</v>
      </c>
      <c r="L58" s="1315">
        <f t="shared" si="19"/>
        <v>44378</v>
      </c>
      <c r="M58" s="1315">
        <f t="shared" si="19"/>
        <v>44348</v>
      </c>
      <c r="N58" s="1315">
        <f t="shared" si="19"/>
        <v>44317</v>
      </c>
      <c r="O58" s="1315">
        <f t="shared" si="19"/>
        <v>44287</v>
      </c>
      <c r="P58" s="1311"/>
    </row>
    <row r="59" spans="1:29" s="113" customFormat="1" ht="15">
      <c r="A59" s="466"/>
      <c r="B59" s="2068"/>
      <c r="C59" s="1313">
        <v>100</v>
      </c>
      <c r="D59" s="468">
        <v>100</v>
      </c>
      <c r="E59" s="469">
        <v>100</v>
      </c>
      <c r="F59" s="469">
        <v>100</v>
      </c>
      <c r="G59" s="469">
        <v>99.5</v>
      </c>
      <c r="H59" s="469"/>
      <c r="I59" s="469"/>
      <c r="J59" s="469"/>
      <c r="K59" s="469"/>
      <c r="L59" s="469"/>
      <c r="M59" s="470"/>
      <c r="N59" s="469"/>
      <c r="O59" s="470"/>
      <c r="P59" s="2069"/>
    </row>
    <row r="60" spans="1:29" s="113" customFormat="1" ht="15.75" thickBot="1">
      <c r="A60" s="472" t="s">
        <v>2344</v>
      </c>
      <c r="B60" s="473"/>
      <c r="C60" s="474"/>
      <c r="D60" s="475"/>
      <c r="E60" s="475"/>
      <c r="F60" s="475"/>
      <c r="G60" s="475"/>
      <c r="H60" s="475"/>
      <c r="I60" s="475"/>
      <c r="J60" s="475"/>
      <c r="K60" s="475"/>
      <c r="L60" s="475"/>
      <c r="M60" s="476"/>
      <c r="N60" s="475"/>
      <c r="O60" s="476"/>
      <c r="P60" s="2069"/>
      <c r="Q60" s="461"/>
    </row>
    <row r="61" spans="1:29" s="113" customFormat="1" ht="15">
      <c r="A61" s="478" t="s">
        <v>2309</v>
      </c>
      <c r="B61" s="467"/>
      <c r="C61" s="479" t="s">
        <v>2346</v>
      </c>
      <c r="D61" s="480"/>
      <c r="E61" s="480"/>
      <c r="F61" s="480"/>
      <c r="G61" s="480"/>
      <c r="H61" s="480"/>
      <c r="I61" s="480"/>
      <c r="J61" s="480"/>
      <c r="K61" s="480"/>
      <c r="L61" s="481"/>
      <c r="M61" s="482"/>
      <c r="N61" s="1059"/>
      <c r="O61" s="1059"/>
      <c r="P61" s="2070"/>
      <c r="Q61" s="461"/>
    </row>
    <row r="62" spans="1:29" s="113" customFormat="1" ht="15.75" thickBot="1">
      <c r="A62" s="478"/>
      <c r="B62" s="467"/>
      <c r="C62" s="468">
        <v>100</v>
      </c>
      <c r="D62" s="469"/>
      <c r="E62" s="469"/>
      <c r="F62" s="469"/>
      <c r="G62" s="469"/>
      <c r="H62" s="469"/>
      <c r="I62" s="469"/>
      <c r="J62" s="469"/>
      <c r="K62" s="469"/>
      <c r="L62" s="469"/>
      <c r="M62" s="471"/>
      <c r="N62" s="1059"/>
      <c r="O62" s="1059"/>
      <c r="P62" s="2069"/>
      <c r="Q62" s="461"/>
    </row>
    <row r="63" spans="1:29">
      <c r="A63" s="484" t="s">
        <v>2347</v>
      </c>
      <c r="B63" s="485" t="s">
        <v>2313</v>
      </c>
      <c r="C63" s="486" t="str">
        <f>C9</f>
        <v>办公</v>
      </c>
      <c r="D63" s="3325" t="s">
        <v>3358</v>
      </c>
      <c r="E63" s="487"/>
      <c r="F63" s="487"/>
      <c r="G63" s="487"/>
      <c r="H63" s="487"/>
      <c r="I63" s="487"/>
      <c r="J63" s="487"/>
      <c r="K63" s="488"/>
      <c r="L63" s="489"/>
      <c r="M63" s="490"/>
      <c r="N63" s="1060"/>
      <c r="O63" s="1060"/>
      <c r="P63" s="2071"/>
      <c r="Q63" s="461"/>
    </row>
    <row r="64" spans="1:29" ht="15.75" thickBot="1">
      <c r="A64" s="491"/>
      <c r="B64" s="492"/>
      <c r="C64" s="493">
        <v>100</v>
      </c>
      <c r="D64" s="493">
        <v>102</v>
      </c>
      <c r="E64" s="493"/>
      <c r="F64" s="493"/>
      <c r="G64" s="493"/>
      <c r="H64" s="493"/>
      <c r="I64" s="493"/>
      <c r="J64" s="493"/>
      <c r="K64" s="493"/>
      <c r="L64" s="493"/>
      <c r="M64" s="494"/>
      <c r="N64" s="1061"/>
      <c r="O64" s="1061"/>
      <c r="P64" s="2071"/>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0"/>
      <c r="O65" s="1060"/>
      <c r="P65" s="207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1"/>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1"/>
      <c r="Q67" s="461"/>
    </row>
    <row r="68" spans="1:17" ht="15">
      <c r="A68" s="491"/>
      <c r="B68" s="505"/>
      <c r="C68" s="506">
        <v>0</v>
      </c>
      <c r="D68" s="506">
        <v>1</v>
      </c>
      <c r="E68" s="506">
        <v>2</v>
      </c>
      <c r="F68" s="506">
        <v>3</v>
      </c>
      <c r="G68" s="506"/>
      <c r="H68" s="506"/>
      <c r="I68" s="506"/>
      <c r="J68" s="506"/>
      <c r="K68" s="507"/>
      <c r="L68" s="508"/>
      <c r="M68" s="509"/>
      <c r="N68" s="1060"/>
      <c r="O68" s="1060"/>
      <c r="P68" s="207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1"/>
      <c r="Q69" s="461"/>
    </row>
    <row r="70" spans="1:17" s="430" customFormat="1" ht="15.75" thickTop="1">
      <c r="A70" s="510"/>
      <c r="B70" s="495">
        <f>B12</f>
        <v>111</v>
      </c>
      <c r="C70" s="511"/>
      <c r="D70" s="511"/>
      <c r="E70" s="511"/>
      <c r="F70" s="511"/>
      <c r="G70" s="511"/>
      <c r="H70" s="512"/>
      <c r="I70" s="512"/>
      <c r="J70" s="512"/>
      <c r="K70" s="512"/>
      <c r="L70" s="513"/>
      <c r="M70" s="514"/>
      <c r="N70" s="1062"/>
      <c r="O70" s="1062"/>
      <c r="P70" s="2072"/>
      <c r="Q70" s="516"/>
    </row>
    <row r="71" spans="1:17" s="430" customFormat="1" ht="15.75" thickBot="1">
      <c r="A71" s="510"/>
      <c r="B71" s="500"/>
      <c r="C71" s="517"/>
      <c r="D71" s="493"/>
      <c r="E71" s="493"/>
      <c r="F71" s="493"/>
      <c r="G71" s="493"/>
      <c r="H71" s="493"/>
      <c r="I71" s="493"/>
      <c r="J71" s="493"/>
      <c r="K71" s="493"/>
      <c r="L71" s="493"/>
      <c r="M71" s="494"/>
      <c r="N71" s="1061"/>
      <c r="O71" s="1061"/>
      <c r="P71" s="2072"/>
      <c r="Q71" s="516"/>
    </row>
    <row r="72" spans="1:17" s="430" customFormat="1" ht="15.75" thickTop="1">
      <c r="A72" s="510"/>
      <c r="B72" s="495">
        <f>B13</f>
        <v>111</v>
      </c>
      <c r="C72" s="511"/>
      <c r="D72" s="511"/>
      <c r="E72" s="511"/>
      <c r="F72" s="511"/>
      <c r="G72" s="511"/>
      <c r="H72" s="512"/>
      <c r="I72" s="512"/>
      <c r="J72" s="512"/>
      <c r="K72" s="512"/>
      <c r="L72" s="513"/>
      <c r="M72" s="514"/>
      <c r="N72" s="1062"/>
      <c r="O72" s="1062"/>
      <c r="P72" s="2073"/>
      <c r="Q72" s="518"/>
    </row>
    <row r="73" spans="1:17" s="430" customFormat="1" ht="15.75" thickBot="1">
      <c r="A73" s="510"/>
      <c r="B73" s="500"/>
      <c r="C73" s="517"/>
      <c r="D73" s="517"/>
      <c r="E73" s="517"/>
      <c r="F73" s="517"/>
      <c r="G73" s="517"/>
      <c r="H73" s="519"/>
      <c r="I73" s="519"/>
      <c r="J73" s="519"/>
      <c r="K73" s="519"/>
      <c r="L73" s="519"/>
      <c r="M73" s="520"/>
      <c r="N73" s="1062"/>
      <c r="O73" s="1062"/>
      <c r="P73" s="2072"/>
      <c r="Q73" s="516"/>
    </row>
    <row r="74" spans="1:17" s="430" customFormat="1" ht="15.75" thickTop="1">
      <c r="A74" s="510"/>
      <c r="B74" s="503">
        <f>B14</f>
        <v>111</v>
      </c>
      <c r="C74" s="511"/>
      <c r="D74" s="511"/>
      <c r="E74" s="511"/>
      <c r="F74" s="511"/>
      <c r="G74" s="480"/>
      <c r="H74" s="521"/>
      <c r="I74" s="521"/>
      <c r="J74" s="521"/>
      <c r="K74" s="521"/>
      <c r="L74" s="522"/>
      <c r="M74" s="523"/>
      <c r="N74" s="1062"/>
      <c r="O74" s="1062"/>
      <c r="P74" s="2074"/>
      <c r="Q74" s="516"/>
    </row>
    <row r="75" spans="1:17" s="430" customFormat="1" ht="15.75" thickBot="1">
      <c r="A75" s="525"/>
      <c r="B75" s="526"/>
      <c r="C75" s="527"/>
      <c r="D75" s="527"/>
      <c r="E75" s="527"/>
      <c r="F75" s="527"/>
      <c r="G75" s="527"/>
      <c r="H75" s="528"/>
      <c r="I75" s="528"/>
      <c r="J75" s="528"/>
      <c r="K75" s="528"/>
      <c r="L75" s="528"/>
      <c r="M75" s="529"/>
      <c r="N75" s="1062"/>
      <c r="O75" s="1062"/>
      <c r="P75" s="2072"/>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0"/>
      <c r="O76" s="1060"/>
      <c r="P76" s="207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1"/>
      <c r="O77" s="1061"/>
      <c r="P77" s="2071"/>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0"/>
      <c r="O78" s="1060"/>
      <c r="P78" s="207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1"/>
      <c r="O79" s="1061"/>
      <c r="P79" s="2071"/>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0"/>
      <c r="O80" s="1060"/>
      <c r="P80" s="207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1"/>
      <c r="O81" s="1061"/>
      <c r="P81" s="2071"/>
      <c r="Q81" s="461"/>
    </row>
    <row r="82" spans="1:17" ht="15.75" thickTop="1">
      <c r="A82" s="491"/>
      <c r="B82" s="503" t="s">
        <v>1885</v>
      </c>
      <c r="C82" s="496" t="s">
        <v>2363</v>
      </c>
      <c r="D82" s="496" t="s">
        <v>2364</v>
      </c>
      <c r="E82" s="496" t="s">
        <v>2365</v>
      </c>
      <c r="F82" s="496" t="s">
        <v>2366</v>
      </c>
      <c r="G82" s="496" t="s">
        <v>2367</v>
      </c>
      <c r="H82" s="496"/>
      <c r="I82" s="496"/>
      <c r="J82" s="496"/>
      <c r="K82" s="496"/>
      <c r="L82" s="496"/>
      <c r="M82" s="1259"/>
      <c r="N82" s="1061"/>
      <c r="O82" s="1061"/>
      <c r="P82" s="2071"/>
      <c r="Q82" s="461"/>
    </row>
    <row r="83" spans="1:17" ht="15.75" thickBot="1">
      <c r="A83" s="491"/>
      <c r="B83" s="503"/>
      <c r="C83" s="616">
        <v>100</v>
      </c>
      <c r="D83" s="616">
        <f>C83-$K21</f>
        <v>98</v>
      </c>
      <c r="E83" s="616">
        <f t="shared" ref="E83:G83" si="23">D83-$K21</f>
        <v>96</v>
      </c>
      <c r="F83" s="616">
        <f t="shared" si="23"/>
        <v>94</v>
      </c>
      <c r="G83" s="616">
        <f t="shared" si="23"/>
        <v>92</v>
      </c>
      <c r="H83" s="616"/>
      <c r="I83" s="616"/>
      <c r="J83" s="616"/>
      <c r="K83" s="616"/>
      <c r="L83" s="616"/>
      <c r="M83" s="409"/>
      <c r="N83" s="1061"/>
      <c r="O83" s="1061"/>
      <c r="P83" s="2071"/>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0"/>
      <c r="O84" s="1060"/>
      <c r="P84" s="2071"/>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1"/>
      <c r="O85" s="1061"/>
      <c r="P85" s="2071"/>
      <c r="Q85" s="461"/>
    </row>
    <row r="86" spans="1:17" s="113" customFormat="1" ht="15.75" thickTop="1">
      <c r="A86" s="536"/>
      <c r="B86" s="495" t="s">
        <v>2369</v>
      </c>
      <c r="C86" s="511"/>
      <c r="D86" s="511"/>
      <c r="E86" s="511"/>
      <c r="F86" s="511"/>
      <c r="G86" s="511"/>
      <c r="H86" s="511"/>
      <c r="I86" s="511"/>
      <c r="J86" s="511"/>
      <c r="K86" s="511"/>
      <c r="L86" s="537"/>
      <c r="M86" s="538"/>
      <c r="N86" s="1059"/>
      <c r="O86" s="1059"/>
      <c r="P86" s="207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1"/>
      <c r="Q87" s="461"/>
    </row>
    <row r="88" spans="1:17" s="113" customFormat="1" ht="15.75" thickTop="1">
      <c r="A88" s="536"/>
      <c r="B88" s="495" t="s">
        <v>2370</v>
      </c>
      <c r="C88" s="511"/>
      <c r="D88" s="511"/>
      <c r="E88" s="511"/>
      <c r="F88" s="2076"/>
      <c r="G88" s="511"/>
      <c r="H88" s="511"/>
      <c r="I88" s="511"/>
      <c r="J88" s="511"/>
      <c r="K88" s="511"/>
      <c r="L88" s="511"/>
      <c r="M88" s="538"/>
      <c r="N88" s="1059"/>
      <c r="O88" s="1059"/>
      <c r="P88" s="207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1"/>
      <c r="Q89" s="461"/>
    </row>
    <row r="90" spans="1:17" s="430" customFormat="1" ht="15.75" thickTop="1">
      <c r="A90" s="510"/>
      <c r="B90" s="495">
        <f>B27</f>
        <v>111</v>
      </c>
      <c r="C90" s="511"/>
      <c r="D90" s="511"/>
      <c r="E90" s="511"/>
      <c r="F90" s="511"/>
      <c r="G90" s="511"/>
      <c r="H90" s="512"/>
      <c r="I90" s="512"/>
      <c r="J90" s="512"/>
      <c r="K90" s="512"/>
      <c r="L90" s="513"/>
      <c r="M90" s="514"/>
      <c r="N90" s="1062"/>
      <c r="O90" s="1062"/>
      <c r="P90" s="2072"/>
      <c r="Q90" s="516"/>
    </row>
    <row r="91" spans="1:17" s="430" customFormat="1" ht="15.75" thickBot="1">
      <c r="A91" s="510"/>
      <c r="B91" s="500"/>
      <c r="C91" s="517"/>
      <c r="D91" s="517"/>
      <c r="E91" s="517"/>
      <c r="F91" s="517"/>
      <c r="G91" s="517"/>
      <c r="H91" s="519"/>
      <c r="I91" s="519"/>
      <c r="J91" s="519"/>
      <c r="K91" s="519"/>
      <c r="L91" s="519"/>
      <c r="M91" s="520"/>
      <c r="N91" s="1062"/>
      <c r="O91" s="1062"/>
      <c r="P91" s="2072"/>
      <c r="Q91" s="516"/>
    </row>
    <row r="92" spans="1:17" ht="15.75" thickTop="1">
      <c r="A92" s="491"/>
      <c r="B92" s="495">
        <f>B28</f>
        <v>111</v>
      </c>
      <c r="C92" s="511"/>
      <c r="D92" s="511"/>
      <c r="E92" s="511"/>
      <c r="F92" s="511"/>
      <c r="G92" s="540"/>
      <c r="H92" s="540"/>
      <c r="I92" s="540"/>
      <c r="J92" s="540"/>
      <c r="K92" s="541"/>
      <c r="L92" s="542"/>
      <c r="M92" s="543"/>
      <c r="N92" s="1060"/>
      <c r="O92" s="1060"/>
      <c r="P92" s="2071"/>
      <c r="Q92" s="461"/>
    </row>
    <row r="93" spans="1:17" ht="15.75" thickBot="1">
      <c r="A93" s="491"/>
      <c r="B93" s="500"/>
      <c r="C93" s="517"/>
      <c r="D93" s="493"/>
      <c r="E93" s="493"/>
      <c r="F93" s="493"/>
      <c r="G93" s="493"/>
      <c r="H93" s="493"/>
      <c r="I93" s="493"/>
      <c r="J93" s="493"/>
      <c r="K93" s="493"/>
      <c r="L93" s="493"/>
      <c r="M93" s="494"/>
      <c r="N93" s="1061"/>
      <c r="O93" s="1061"/>
      <c r="P93" s="2071"/>
      <c r="Q93" s="461"/>
    </row>
    <row r="94" spans="1:17" ht="15.75" thickTop="1">
      <c r="A94" s="491"/>
      <c r="B94" s="495">
        <f>B29</f>
        <v>111</v>
      </c>
      <c r="C94" s="511"/>
      <c r="D94" s="511"/>
      <c r="E94" s="511"/>
      <c r="F94" s="511"/>
      <c r="G94" s="540"/>
      <c r="H94" s="540"/>
      <c r="I94" s="540"/>
      <c r="J94" s="540"/>
      <c r="K94" s="541"/>
      <c r="L94" s="542"/>
      <c r="M94" s="543"/>
      <c r="N94" s="1060"/>
      <c r="O94" s="1060"/>
      <c r="P94" s="2071"/>
      <c r="Q94" s="461"/>
    </row>
    <row r="95" spans="1:17" ht="15.75" thickBot="1">
      <c r="A95" s="491"/>
      <c r="B95" s="500"/>
      <c r="C95" s="517"/>
      <c r="D95" s="517"/>
      <c r="E95" s="517"/>
      <c r="F95" s="517"/>
      <c r="G95" s="493"/>
      <c r="H95" s="493"/>
      <c r="I95" s="493"/>
      <c r="J95" s="493"/>
      <c r="K95" s="493"/>
      <c r="L95" s="493"/>
      <c r="M95" s="494"/>
      <c r="N95" s="1061"/>
      <c r="O95" s="1061"/>
      <c r="P95" s="2071"/>
      <c r="Q95" s="461"/>
    </row>
    <row r="96" spans="1:17" ht="15.75" thickTop="1">
      <c r="A96" s="491"/>
      <c r="B96" s="495">
        <f>B30</f>
        <v>111</v>
      </c>
      <c r="C96" s="511"/>
      <c r="D96" s="511"/>
      <c r="E96" s="511"/>
      <c r="F96" s="511"/>
      <c r="G96" s="540"/>
      <c r="H96" s="540"/>
      <c r="I96" s="540"/>
      <c r="J96" s="540"/>
      <c r="K96" s="541"/>
      <c r="L96" s="542"/>
      <c r="M96" s="543"/>
      <c r="N96" s="1060"/>
      <c r="O96" s="1060"/>
      <c r="P96" s="2071"/>
      <c r="Q96" s="461"/>
    </row>
    <row r="97" spans="1:17" ht="15.75" thickBot="1">
      <c r="A97" s="491"/>
      <c r="B97" s="500"/>
      <c r="C97" s="527"/>
      <c r="D97" s="527"/>
      <c r="E97" s="527"/>
      <c r="F97" s="527"/>
      <c r="G97" s="493"/>
      <c r="H97" s="493"/>
      <c r="I97" s="493"/>
      <c r="J97" s="493"/>
      <c r="K97" s="493"/>
      <c r="L97" s="493"/>
      <c r="M97" s="494"/>
      <c r="N97" s="1061"/>
      <c r="O97" s="1061"/>
      <c r="P97" s="2071"/>
      <c r="Q97" s="461"/>
    </row>
    <row r="98" spans="1:17" ht="15.75" thickTop="1">
      <c r="A98" s="491"/>
      <c r="B98" s="503">
        <f>B31</f>
        <v>111</v>
      </c>
      <c r="C98" s="544"/>
      <c r="D98" s="544"/>
      <c r="E98" s="544"/>
      <c r="F98" s="544"/>
      <c r="G98" s="544"/>
      <c r="H98" s="544"/>
      <c r="I98" s="544"/>
      <c r="J98" s="544"/>
      <c r="K98" s="545"/>
      <c r="L98" s="546"/>
      <c r="M98" s="547"/>
      <c r="N98" s="1060"/>
      <c r="O98" s="1060"/>
      <c r="P98" s="2071"/>
      <c r="Q98" s="461"/>
    </row>
    <row r="99" spans="1:17" ht="15.75" thickBot="1">
      <c r="A99" s="2077"/>
      <c r="B99" s="526"/>
      <c r="C99" s="548"/>
      <c r="D99" s="548"/>
      <c r="E99" s="548"/>
      <c r="F99" s="548"/>
      <c r="G99" s="548"/>
      <c r="H99" s="548"/>
      <c r="I99" s="548"/>
      <c r="J99" s="548"/>
      <c r="K99" s="548"/>
      <c r="L99" s="548"/>
      <c r="M99" s="549"/>
      <c r="N99" s="1061"/>
      <c r="O99" s="1061"/>
      <c r="P99" s="2071"/>
      <c r="Q99" s="461"/>
    </row>
    <row r="100" spans="1:17">
      <c r="A100" s="484" t="s">
        <v>2322</v>
      </c>
      <c r="B100" s="3326" t="s">
        <v>3361</v>
      </c>
      <c r="C100" s="3325" t="s">
        <v>3360</v>
      </c>
      <c r="D100" s="487"/>
      <c r="E100" s="487"/>
      <c r="F100" s="487"/>
      <c r="G100" s="487"/>
      <c r="H100" s="487"/>
      <c r="I100" s="487"/>
      <c r="J100" s="487"/>
      <c r="K100" s="488"/>
      <c r="L100" s="489"/>
      <c r="M100" s="490"/>
      <c r="N100" s="1060"/>
      <c r="O100" s="1060"/>
      <c r="P100" s="207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1"/>
      <c r="Q101" s="461"/>
    </row>
    <row r="102" spans="1:17" ht="15.75" thickTop="1">
      <c r="A102" s="491"/>
      <c r="B102" s="495" t="s">
        <v>2372</v>
      </c>
      <c r="C102" s="535" t="str">
        <f>C103&amp;"(含)"&amp;"-"&amp;D103</f>
        <v>0(含)-100</v>
      </c>
      <c r="D102" s="535" t="str">
        <f t="shared" ref="D102:L102" si="27">D103&amp;"(含)"&amp;"-"&amp;E103</f>
        <v>100(含)-200</v>
      </c>
      <c r="E102" s="535" t="str">
        <f t="shared" si="27"/>
        <v>200(含)-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1"/>
      <c r="Q102" s="461"/>
    </row>
    <row r="103" spans="1:17" s="430" customFormat="1">
      <c r="A103" s="550"/>
      <c r="B103" s="551"/>
      <c r="C103" s="552">
        <v>0</v>
      </c>
      <c r="D103" s="552">
        <v>100</v>
      </c>
      <c r="E103" s="552">
        <v>200</v>
      </c>
      <c r="F103" s="552"/>
      <c r="G103" s="552"/>
      <c r="H103" s="552"/>
      <c r="I103" s="552"/>
      <c r="J103" s="553"/>
      <c r="K103" s="553"/>
      <c r="L103" s="554"/>
      <c r="M103" s="555"/>
      <c r="N103" s="1062"/>
      <c r="O103" s="1062"/>
      <c r="P103" s="2072"/>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2"/>
      <c r="Q104" s="516"/>
    </row>
    <row r="105" spans="1:17" ht="15" thickTop="1">
      <c r="A105" s="556"/>
      <c r="B105" s="495" t="s">
        <v>2373</v>
      </c>
      <c r="C105" s="3327" t="s">
        <v>3362</v>
      </c>
      <c r="D105" s="511"/>
      <c r="E105" s="540"/>
      <c r="F105" s="540"/>
      <c r="G105" s="540"/>
      <c r="H105" s="540"/>
      <c r="I105" s="540"/>
      <c r="J105" s="540"/>
      <c r="K105" s="541"/>
      <c r="L105" s="542"/>
      <c r="M105" s="543"/>
      <c r="N105" s="1060"/>
      <c r="O105" s="1060"/>
      <c r="P105" s="207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1"/>
      <c r="Q106" s="461"/>
    </row>
    <row r="107" spans="1:17" ht="15" thickTop="1">
      <c r="A107" s="556"/>
      <c r="B107" s="495" t="s">
        <v>2374</v>
      </c>
      <c r="C107" s="540"/>
      <c r="D107" s="540"/>
      <c r="E107" s="540"/>
      <c r="F107" s="540"/>
      <c r="G107" s="540"/>
      <c r="H107" s="540"/>
      <c r="I107" s="540"/>
      <c r="J107" s="540"/>
      <c r="K107" s="541"/>
      <c r="L107" s="542"/>
      <c r="M107" s="543"/>
      <c r="N107" s="1060"/>
      <c r="O107" s="1060"/>
      <c r="P107" s="207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1"/>
      <c r="Q108" s="461"/>
    </row>
    <row r="109" spans="1:17" ht="15" thickTop="1">
      <c r="A109" s="556"/>
      <c r="B109" s="495" t="s">
        <v>2375</v>
      </c>
      <c r="C109" s="3327" t="s">
        <v>3364</v>
      </c>
      <c r="D109" s="511"/>
      <c r="E109" s="511"/>
      <c r="F109" s="540"/>
      <c r="G109" s="540"/>
      <c r="H109" s="540"/>
      <c r="I109" s="540"/>
      <c r="J109" s="540"/>
      <c r="K109" s="541"/>
      <c r="L109" s="542"/>
      <c r="M109" s="543"/>
      <c r="N109" s="1060"/>
      <c r="O109" s="1060"/>
      <c r="P109" s="207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2"/>
      <c r="Q113" s="516"/>
    </row>
    <row r="114" spans="1:17" ht="15" thickTop="1">
      <c r="A114" s="556"/>
      <c r="B114" s="495" t="s">
        <v>2376</v>
      </c>
      <c r="C114" s="511"/>
      <c r="D114" s="511"/>
      <c r="E114" s="540"/>
      <c r="F114" s="540"/>
      <c r="G114" s="540"/>
      <c r="H114" s="540"/>
      <c r="I114" s="540"/>
      <c r="J114" s="540"/>
      <c r="K114" s="541"/>
      <c r="L114" s="542"/>
      <c r="M114" s="543"/>
      <c r="N114" s="1060"/>
      <c r="O114" s="1060"/>
      <c r="P114" s="207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1"/>
      <c r="Q115" s="461"/>
    </row>
    <row r="116" spans="1:17" ht="15" thickTop="1">
      <c r="A116" s="556"/>
      <c r="B116" s="495" t="s">
        <v>2377</v>
      </c>
      <c r="C116" s="3327" t="s">
        <v>3464</v>
      </c>
      <c r="D116" s="3327" t="s">
        <v>3466</v>
      </c>
      <c r="E116" s="3327" t="s">
        <v>3468</v>
      </c>
      <c r="F116" s="511"/>
      <c r="G116" s="511"/>
      <c r="H116" s="540"/>
      <c r="I116" s="540"/>
      <c r="J116" s="540"/>
      <c r="K116" s="541"/>
      <c r="L116" s="542"/>
      <c r="M116" s="543"/>
      <c r="N116" s="1060"/>
      <c r="O116" s="1060"/>
      <c r="P116" s="207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1"/>
      <c r="O117" s="1061"/>
      <c r="P117" s="2071"/>
      <c r="Q117" s="461"/>
    </row>
    <row r="118" spans="1:17" ht="15" thickTop="1">
      <c r="A118" s="556"/>
      <c r="B118" s="495" t="s">
        <v>2378</v>
      </c>
      <c r="C118" s="3328" t="s">
        <v>3368</v>
      </c>
      <c r="D118" s="540"/>
      <c r="E118" s="540"/>
      <c r="F118" s="540"/>
      <c r="G118" s="540"/>
      <c r="H118" s="540"/>
      <c r="I118" s="540"/>
      <c r="J118" s="540"/>
      <c r="K118" s="541"/>
      <c r="L118" s="542"/>
      <c r="M118" s="543"/>
      <c r="N118" s="1060"/>
      <c r="O118" s="1060"/>
      <c r="P118" s="207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1"/>
      <c r="Q119" s="461"/>
    </row>
    <row r="120" spans="1:17" s="430" customFormat="1" ht="28.5" thickTop="1">
      <c r="A120" s="550"/>
      <c r="B120" s="495" t="s">
        <v>2333</v>
      </c>
      <c r="C120" s="511"/>
      <c r="D120" s="511"/>
      <c r="E120" s="511"/>
      <c r="F120" s="511"/>
      <c r="G120" s="511"/>
      <c r="H120" s="511"/>
      <c r="I120" s="511"/>
      <c r="J120" s="511"/>
      <c r="K120" s="511"/>
      <c r="L120" s="537"/>
      <c r="M120" s="538"/>
      <c r="N120" s="1062"/>
      <c r="O120" s="1062"/>
      <c r="P120" s="2072"/>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2"/>
      <c r="Q121" s="516"/>
    </row>
    <row r="122" spans="1:17" ht="15" thickTop="1">
      <c r="A122" s="556"/>
      <c r="B122" s="495" t="s">
        <v>2379</v>
      </c>
      <c r="C122" s="3327" t="s">
        <v>3366</v>
      </c>
      <c r="D122" s="511"/>
      <c r="E122" s="511"/>
      <c r="F122" s="540"/>
      <c r="G122" s="540"/>
      <c r="H122" s="540"/>
      <c r="I122" s="540"/>
      <c r="J122" s="540"/>
      <c r="K122" s="541"/>
      <c r="L122" s="542"/>
      <c r="M122" s="543"/>
      <c r="N122" s="1060"/>
      <c r="O122" s="1060"/>
      <c r="P122" s="207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1"/>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0"/>
      <c r="O124" s="1060"/>
      <c r="P124" s="207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1"/>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2"/>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2"/>
      <c r="Q127" s="516"/>
    </row>
    <row r="128" spans="1:17" ht="15" thickTop="1">
      <c r="A128" s="556"/>
      <c r="B128" s="495">
        <f>B45</f>
        <v>111</v>
      </c>
      <c r="C128" s="511"/>
      <c r="D128" s="511"/>
      <c r="E128" s="511"/>
      <c r="F128" s="511"/>
      <c r="G128" s="540"/>
      <c r="H128" s="540"/>
      <c r="I128" s="540"/>
      <c r="J128" s="540"/>
      <c r="K128" s="541"/>
      <c r="L128" s="542"/>
      <c r="M128" s="543"/>
      <c r="N128" s="1060"/>
      <c r="O128" s="1060"/>
      <c r="P128" s="2071"/>
      <c r="Q128" s="461"/>
    </row>
    <row r="129" spans="1:17" ht="15.75" thickBot="1">
      <c r="A129" s="491"/>
      <c r="B129" s="500"/>
      <c r="C129" s="517"/>
      <c r="D129" s="517"/>
      <c r="E129" s="517"/>
      <c r="F129" s="517"/>
      <c r="G129" s="493"/>
      <c r="H129" s="493"/>
      <c r="I129" s="493"/>
      <c r="J129" s="493"/>
      <c r="K129" s="493"/>
      <c r="L129" s="493"/>
      <c r="M129" s="494"/>
      <c r="N129" s="1061"/>
      <c r="O129" s="1061"/>
      <c r="P129" s="2071"/>
      <c r="Q129" s="461"/>
    </row>
    <row r="130" spans="1:17" ht="15" thickTop="1">
      <c r="A130" s="556"/>
      <c r="B130" s="503">
        <f>B46</f>
        <v>111</v>
      </c>
      <c r="C130" s="511"/>
      <c r="D130" s="511"/>
      <c r="E130" s="511"/>
      <c r="F130" s="511"/>
      <c r="G130" s="544"/>
      <c r="H130" s="544"/>
      <c r="I130" s="544"/>
      <c r="J130" s="544"/>
      <c r="K130" s="480"/>
      <c r="L130" s="481"/>
      <c r="M130" s="547"/>
      <c r="N130" s="1060"/>
      <c r="O130" s="1060"/>
      <c r="P130" s="2071"/>
      <c r="Q130" s="461"/>
    </row>
    <row r="131" spans="1:17" ht="15.75" thickBot="1">
      <c r="A131" s="2077"/>
      <c r="B131" s="526"/>
      <c r="C131" s="527"/>
      <c r="D131" s="527"/>
      <c r="E131" s="527"/>
      <c r="F131" s="527"/>
      <c r="G131" s="548"/>
      <c r="H131" s="548"/>
      <c r="I131" s="548"/>
      <c r="J131" s="548"/>
      <c r="K131" s="548"/>
      <c r="L131" s="548"/>
      <c r="M131" s="549"/>
      <c r="N131" s="1061"/>
      <c r="O131" s="1061"/>
      <c r="P131" s="2071"/>
      <c r="Q131" s="461"/>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2" t="s">
        <v>2384</v>
      </c>
      <c r="D138" s="142" t="s">
        <v>2385</v>
      </c>
      <c r="E138" s="2086" t="s">
        <v>2386</v>
      </c>
      <c r="F138" s="2087" t="s">
        <v>2387</v>
      </c>
      <c r="G138" s="142" t="s">
        <v>2385</v>
      </c>
      <c r="H138" s="143" t="s">
        <v>2386</v>
      </c>
      <c r="I138" s="2088"/>
      <c r="J138" s="142" t="s">
        <v>2388</v>
      </c>
      <c r="K138" s="143" t="s">
        <v>2389</v>
      </c>
    </row>
    <row r="139" spans="1:17" ht="15">
      <c r="B139" s="994">
        <v>6</v>
      </c>
      <c r="C139" s="995">
        <v>96</v>
      </c>
      <c r="D139" s="2089" t="s">
        <v>2390</v>
      </c>
      <c r="E139" s="996">
        <v>100</v>
      </c>
      <c r="F139" s="997">
        <v>102.5</v>
      </c>
      <c r="G139" s="2089" t="s">
        <v>2390</v>
      </c>
      <c r="H139" s="998">
        <v>105</v>
      </c>
      <c r="I139" s="2090" t="s">
        <v>2391</v>
      </c>
      <c r="J139" s="995">
        <v>20</v>
      </c>
      <c r="K139" s="999">
        <f>C145/(J139-2)</f>
        <v>4.0555555555555553E-3</v>
      </c>
    </row>
    <row r="140" spans="1:17" ht="15">
      <c r="B140" s="1000">
        <v>5</v>
      </c>
      <c r="C140" s="1001">
        <v>100</v>
      </c>
      <c r="D140" s="1001"/>
      <c r="E140" s="1002"/>
      <c r="F140" s="1003">
        <v>102</v>
      </c>
      <c r="G140" s="1001"/>
      <c r="H140" s="1004"/>
      <c r="I140" s="2091" t="s">
        <v>2392</v>
      </c>
      <c r="J140" s="277">
        <f>ROUNDUP((J139-1)/2,0)</f>
        <v>10</v>
      </c>
      <c r="K140" s="1005">
        <v>100</v>
      </c>
    </row>
    <row r="141" spans="1:17" ht="15">
      <c r="B141" s="1000">
        <v>4</v>
      </c>
      <c r="C141" s="1001">
        <v>102</v>
      </c>
      <c r="D141" s="1001"/>
      <c r="E141" s="1002"/>
      <c r="F141" s="1003">
        <v>101.5</v>
      </c>
      <c r="G141" s="1001"/>
      <c r="H141" s="1004"/>
      <c r="I141" s="2091" t="s">
        <v>2393</v>
      </c>
      <c r="J141" s="277">
        <v>1</v>
      </c>
      <c r="K141" s="1006">
        <f>ROUND(100+(J141-J140)*K139*100,1)</f>
        <v>96.4</v>
      </c>
    </row>
    <row r="142" spans="1:17" ht="15">
      <c r="B142" s="1000">
        <v>3</v>
      </c>
      <c r="C142" s="1001">
        <v>103</v>
      </c>
      <c r="D142" s="1001"/>
      <c r="E142" s="1002"/>
      <c r="F142" s="1003">
        <v>101</v>
      </c>
      <c r="G142" s="1001"/>
      <c r="H142" s="1004"/>
      <c r="I142" s="2091" t="s">
        <v>2394</v>
      </c>
      <c r="J142" s="277">
        <f>J139</f>
        <v>20</v>
      </c>
      <c r="K142" s="1007">
        <v>95</v>
      </c>
    </row>
    <row r="143" spans="1:17" ht="15">
      <c r="B143" s="1000">
        <v>2</v>
      </c>
      <c r="C143" s="1001">
        <v>100</v>
      </c>
      <c r="D143" s="1001"/>
      <c r="E143" s="1002"/>
      <c r="F143" s="1003">
        <v>100.5</v>
      </c>
      <c r="G143" s="1001"/>
      <c r="H143" s="1004"/>
      <c r="I143" s="2091" t="s">
        <v>2395</v>
      </c>
      <c r="J143" s="1001">
        <v>15</v>
      </c>
      <c r="K143" s="1006">
        <f>ROUND(100+(J143-J140)*K139*100,1)</f>
        <v>102</v>
      </c>
    </row>
    <row r="144" spans="1:17" ht="15">
      <c r="B144" s="1000">
        <v>1</v>
      </c>
      <c r="C144" s="1001">
        <v>98</v>
      </c>
      <c r="D144" s="2092" t="s">
        <v>2396</v>
      </c>
      <c r="E144" s="1002">
        <v>102</v>
      </c>
      <c r="F144" s="1008">
        <v>100</v>
      </c>
      <c r="G144" s="2092" t="s">
        <v>2396</v>
      </c>
      <c r="H144" s="1004">
        <v>105</v>
      </c>
      <c r="I144" s="2091" t="s">
        <v>2395</v>
      </c>
      <c r="J144" s="1001">
        <v>18</v>
      </c>
      <c r="K144" s="1006">
        <f>ROUND(100+(J144-J140)*K139*100,1)</f>
        <v>103.2</v>
      </c>
    </row>
    <row r="145" spans="2:11" ht="15.75" thickBot="1">
      <c r="B145" s="2093" t="s">
        <v>2397</v>
      </c>
      <c r="C145" s="1009">
        <f>ROUND(MAX(C139:C144)/MIN(C139:C144)-1,3)</f>
        <v>7.2999999999999995E-2</v>
      </c>
      <c r="D145" s="1010"/>
      <c r="E145" s="1010"/>
      <c r="F145" s="2094" t="s">
        <v>2398</v>
      </c>
      <c r="G145" s="2095"/>
      <c r="H145" s="2096"/>
      <c r="I145" s="2097" t="s">
        <v>2395</v>
      </c>
      <c r="J145" s="1011">
        <v>8</v>
      </c>
      <c r="K145" s="1012">
        <f>ROUND(100+(J145-J140)*K139*100,1)</f>
        <v>99.2</v>
      </c>
    </row>
    <row r="147" spans="2:11">
      <c r="B147" s="2078" t="s">
        <v>2399</v>
      </c>
    </row>
    <row r="148" spans="2:11">
      <c r="B148" s="2078" t="s">
        <v>2400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xr:uid="{83C64916-5107-4FA8-A2FF-8A3792816CED}">
      <formula1>"简单平均,加权平均"</formula1>
    </dataValidation>
    <dataValidation type="list" allowBlank="1" showInputMessage="1" showErrorMessage="1" sqref="F2" xr:uid="{695404E1-BD10-4B18-A679-4E0CC802E13C}">
      <formula1>估价方法</formula1>
    </dataValidation>
    <dataValidation type="list" allowBlank="1" showInputMessage="1" showErrorMessage="1" sqref="C2" xr:uid="{ABB28839-A84A-43B1-88E6-26CC5BD66346}">
      <formula1>"需扣减承租人权益,——"</formula1>
    </dataValidation>
    <dataValidation type="list" allowBlank="1" showInputMessage="1" showErrorMessage="1" sqref="F1" xr:uid="{51DEE9EB-3F6D-410D-B54D-C387DFA376B5}">
      <formula1>"售价,租金"</formula1>
    </dataValidation>
    <dataValidation type="list" allowBlank="1" showInputMessage="1" showErrorMessage="1" sqref="C22 E22 G22 I22" xr:uid="{DEA0760E-F1BB-456A-A369-85816B5E299D}">
      <formula1>基础设施水平</formula1>
    </dataValidation>
    <dataValidation type="list" allowBlank="1" showInputMessage="1" showErrorMessage="1" sqref="E9 G9 I9" xr:uid="{BA26FDCF-2507-46E9-ADEE-733033CD6C0F}">
      <formula1>住宅用途</formula1>
    </dataValidation>
    <dataValidation type="list" allowBlank="1" showInputMessage="1" showErrorMessage="1" sqref="C10 E10 G10 I10" xr:uid="{655278C4-7BDF-42B0-BFD8-3606903B52B0}">
      <formula1>土地年限区间</formula1>
    </dataValidation>
    <dataValidation type="list" allowBlank="1" showInputMessage="1" showErrorMessage="1" sqref="D1" xr:uid="{09D24AD2-910E-4A1A-9497-E7DC93B0F451}">
      <formula1>项目类型</formula1>
    </dataValidation>
    <dataValidation type="list" allowBlank="1" showInputMessage="1" showErrorMessage="1" sqref="E8 G8 I8 C8" xr:uid="{D545523D-A4A0-4FDD-B84E-DA85DB13E31F}">
      <formula1>住宅交易情况</formula1>
    </dataValidation>
    <dataValidation type="list" allowBlank="1" showInputMessage="1" showErrorMessage="1" sqref="C43 E43 G43 I43" xr:uid="{58A5F68C-AD49-4208-B26D-3E85CAB8E43A}">
      <formula1>内部装修维护情况</formula1>
    </dataValidation>
    <dataValidation type="list" allowBlank="1" showInputMessage="1" showErrorMessage="1" sqref="C42 E42 G42 I42" xr:uid="{0E8D9AC9-9E3A-45A6-AC1C-3CAEC4531074}">
      <formula1>住宅内部装修</formula1>
    </dataValidation>
    <dataValidation type="list" allowBlank="1" showInputMessage="1" showErrorMessage="1" sqref="C40 G40 E40 I40" xr:uid="{8F3409B6-D741-4D24-AEA0-5A7CBCFD6F64}">
      <formula1>住宅房型</formula1>
    </dataValidation>
    <dataValidation type="list" allowBlank="1" showInputMessage="1" showErrorMessage="1" sqref="C39 E39 G39 I39" xr:uid="{56F1276A-A5B3-4798-824D-DF34CC6E3E03}">
      <formula1>住宅基础设施水平</formula1>
    </dataValidation>
    <dataValidation type="list" allowBlank="1" showInputMessage="1" showErrorMessage="1" sqref="C38 E38 G38 I38" xr:uid="{AAD94DFD-EA16-4296-9761-815707C0CBE0}">
      <formula1>住宅物业管理</formula1>
    </dataValidation>
    <dataValidation type="list" allowBlank="1" showInputMessage="1" showErrorMessage="1" sqref="C36 E36 G36 I36" xr:uid="{84A7C7EB-CEAE-4B19-9883-1031911ABF1B}">
      <formula1>住宅公共部分装修</formula1>
    </dataValidation>
    <dataValidation type="list" allowBlank="1" showInputMessage="1" showErrorMessage="1" sqref="C35 E35 G35 I35" xr:uid="{D8EFB88B-4394-4730-B387-7766E86D99A6}">
      <formula1>住宅建筑品质</formula1>
    </dataValidation>
    <dataValidation type="list" allowBlank="1" showInputMessage="1" showErrorMessage="1" sqref="C34 E34 G34 I34" xr:uid="{BF08260F-578C-4F2C-885E-947306531635}">
      <formula1>住宅建筑结构</formula1>
    </dataValidation>
    <dataValidation type="list" allowBlank="1" showInputMessage="1" showErrorMessage="1" sqref="C32 G32 E32 I32" xr:uid="{9543D792-D1D4-417C-8B19-1658F3A512C2}">
      <formula1>住宅建筑类型</formula1>
    </dataValidation>
    <dataValidation type="list" allowBlank="1" showInputMessage="1" showErrorMessage="1" sqref="E26 G26 I26 C26" xr:uid="{408E74E5-F47E-419E-8BB4-A0978E98E1F6}">
      <formula1>住宅朝向</formula1>
    </dataValidation>
    <dataValidation type="list" allowBlank="1" showInputMessage="1" showErrorMessage="1" sqref="E25 G25 I25 C25" xr:uid="{223F07D7-2B49-4F77-9693-A3BA3F42E53D}">
      <formula1>住宅楼层</formula1>
    </dataValidation>
    <dataValidation type="list" allowBlank="1" showInputMessage="1" showErrorMessage="1" sqref="C20 G20 E20 I20" xr:uid="{3EC47856-ABBE-405D-AB88-63E004F5FD2E}">
      <formula1>公共配套设施</formula1>
    </dataValidation>
    <dataValidation type="list" allowBlank="1" showInputMessage="1" showErrorMessage="1" sqref="E18 G18 I18 C18" xr:uid="{AFA425AE-B52F-40F3-8812-C5ADD8B6D570}">
      <formula1>交通便捷度</formula1>
    </dataValidation>
    <dataValidation type="list" allowBlank="1" showInputMessage="1" showErrorMessage="1" sqref="E16 G16 I16 C16" xr:uid="{E2DCE0FA-BDCB-4010-991E-CA6C69E89AE1}">
      <formula1>居住社区成熟度</formula1>
    </dataValidation>
    <dataValidation type="list" allowBlank="1" showInputMessage="1" showErrorMessage="1" sqref="E24 G24 I24 C24" xr:uid="{9FDD445F-443F-4C27-B708-8DBA6349FDFA}">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O11:Q18"/>
  <sheetViews>
    <sheetView topLeftCell="A21" workbookViewId="0">
      <selection activeCell="Q14" sqref="Q14"/>
    </sheetView>
  </sheetViews>
  <sheetFormatPr defaultRowHeight="13.5"/>
  <cols>
    <col min="15" max="17" width="15.5" customWidth="1"/>
  </cols>
  <sheetData>
    <row r="11" spans="15:17">
      <c r="O11" s="3232" t="s">
        <v>3247</v>
      </c>
      <c r="P11" s="3232" t="s">
        <v>3248</v>
      </c>
      <c r="Q11" s="3232" t="s">
        <v>3249</v>
      </c>
    </row>
    <row r="12" spans="15:17">
      <c r="O12" s="3232" t="s">
        <v>3250</v>
      </c>
      <c r="P12" s="3232" t="s">
        <v>3251</v>
      </c>
      <c r="Q12" s="3233">
        <v>35</v>
      </c>
    </row>
    <row r="13" spans="15:17">
      <c r="O13" s="3232" t="s">
        <v>3252</v>
      </c>
      <c r="P13" s="3232" t="s">
        <v>3253</v>
      </c>
      <c r="Q13" s="3233">
        <v>18</v>
      </c>
    </row>
    <row r="14" spans="15:17">
      <c r="O14" s="3232" t="s">
        <v>3254</v>
      </c>
      <c r="P14" s="3232" t="s">
        <v>3255</v>
      </c>
      <c r="Q14" s="3233">
        <v>30</v>
      </c>
    </row>
    <row r="15" spans="15:17">
      <c r="O15" s="3232" t="s">
        <v>3256</v>
      </c>
      <c r="P15" s="3232" t="s">
        <v>3255</v>
      </c>
      <c r="Q15" s="3233">
        <v>30</v>
      </c>
    </row>
    <row r="16" spans="15:17">
      <c r="O16" s="3232" t="s">
        <v>3257</v>
      </c>
      <c r="P16" s="3232" t="s">
        <v>3258</v>
      </c>
      <c r="Q16" s="3233">
        <v>23.4</v>
      </c>
    </row>
    <row r="17" spans="15:17">
      <c r="O17" s="3232" t="s">
        <v>3259</v>
      </c>
      <c r="P17" s="3232" t="s">
        <v>3260</v>
      </c>
      <c r="Q17" s="3233">
        <v>30</v>
      </c>
    </row>
    <row r="18" spans="15:17">
      <c r="O18" s="3232" t="s">
        <v>3261</v>
      </c>
      <c r="P18" s="3232" t="s">
        <v>3262</v>
      </c>
      <c r="Q18" s="3233">
        <v>15.1</v>
      </c>
    </row>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0"/>
  <sheetViews>
    <sheetView workbookViewId="0">
      <selection activeCell="L14" sqref="L14:Z14"/>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44652</v>
      </c>
      <c r="D1" s="1438" t="s">
        <v>1209</v>
      </c>
      <c r="E1" s="1433">
        <f>'数据-取费表'!B22</f>
        <v>1</v>
      </c>
      <c r="F1" s="1438" t="s">
        <v>1210</v>
      </c>
      <c r="G1" s="1434">
        <f ca="1">INDIRECT("d"&amp;$K$1)/100</f>
        <v>3.7000000000000005E-2</v>
      </c>
      <c r="H1" s="1438" t="s">
        <v>1240</v>
      </c>
      <c r="I1" s="1434">
        <f ca="1">F4/100</f>
        <v>1.4999999999999999E-2</v>
      </c>
      <c r="J1" s="1439">
        <f>IF(C1&gt;C13,0,MATCH(C1,C$13:C$107,-1))+IF(SUMIF(C13:C107,C1,D13:D107)=0,13,12)</f>
        <v>13</v>
      </c>
      <c r="K1" s="1439">
        <f ca="1">MATCH(E1,C3:C7,1)+IF(SUMIF(C3:C7,E1,D3:D7)=0,2,1)</f>
        <v>4</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4">
        <v>44581</v>
      </c>
      <c r="D13" s="3015">
        <v>3.7</v>
      </c>
      <c r="E13" s="3015">
        <f>D13</f>
        <v>3.7</v>
      </c>
      <c r="F13" s="3015">
        <f>D13</f>
        <v>3.7</v>
      </c>
      <c r="G13" s="3015">
        <f>D13</f>
        <v>3.7</v>
      </c>
      <c r="H13" s="3015">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0"/>
      <c r="C14" s="3011">
        <v>44550</v>
      </c>
      <c r="D14" s="3010">
        <v>3.8</v>
      </c>
      <c r="E14" s="3010">
        <f>D14</f>
        <v>3.8</v>
      </c>
      <c r="F14" s="3010">
        <f>D14</f>
        <v>3.8</v>
      </c>
      <c r="G14" s="3010">
        <f>D14</f>
        <v>3.8</v>
      </c>
      <c r="H14" s="3010">
        <v>4.6500000000000004</v>
      </c>
      <c r="I14" s="3010"/>
      <c r="J14" s="3015"/>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0"/>
      <c r="C15" s="3011">
        <v>43941</v>
      </c>
      <c r="D15" s="3010">
        <v>3.85</v>
      </c>
      <c r="E15" s="3010">
        <v>3.85</v>
      </c>
      <c r="F15" s="3010">
        <v>3.85</v>
      </c>
      <c r="G15" s="3010">
        <v>3.85</v>
      </c>
      <c r="H15" s="3010">
        <v>4.6500000000000004</v>
      </c>
      <c r="I15" s="3010"/>
      <c r="J15" s="3010"/>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0"/>
      <c r="C16" s="3011">
        <v>43881</v>
      </c>
      <c r="D16" s="3010">
        <v>4.05</v>
      </c>
      <c r="E16" s="3010">
        <v>4.05</v>
      </c>
      <c r="F16" s="3010">
        <v>4.05</v>
      </c>
      <c r="G16" s="3010">
        <v>4.05</v>
      </c>
      <c r="H16" s="3010">
        <v>4.75</v>
      </c>
      <c r="I16" s="3010"/>
      <c r="J16" s="3010"/>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0"/>
      <c r="C17" s="3011">
        <v>43789</v>
      </c>
      <c r="D17" s="3010">
        <v>4.1500000000000004</v>
      </c>
      <c r="E17" s="3010">
        <v>4.1500000000000004</v>
      </c>
      <c r="F17" s="3010">
        <v>4.1500000000000004</v>
      </c>
      <c r="G17" s="3010">
        <v>4.1500000000000004</v>
      </c>
      <c r="H17" s="3010">
        <v>4.8</v>
      </c>
      <c r="I17" s="3010"/>
      <c r="J17" s="3010"/>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3010"/>
      <c r="C18" s="3011">
        <v>43728</v>
      </c>
      <c r="D18" s="3010">
        <v>4.2</v>
      </c>
      <c r="E18" s="3010">
        <v>4.2</v>
      </c>
      <c r="F18" s="3010">
        <v>4.2</v>
      </c>
      <c r="G18" s="3010">
        <v>4.2</v>
      </c>
      <c r="H18" s="3010">
        <v>4.8499999999999996</v>
      </c>
      <c r="I18" s="3010"/>
      <c r="J18" s="3010"/>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4.25">
      <c r="A19" s="1420"/>
      <c r="B19" s="3009" t="s">
        <v>2997</v>
      </c>
      <c r="C19" s="3012">
        <v>43697</v>
      </c>
      <c r="D19" s="3013">
        <v>4.25</v>
      </c>
      <c r="E19" s="3013">
        <v>4.25</v>
      </c>
      <c r="F19" s="3013">
        <v>4.25</v>
      </c>
      <c r="G19" s="3013">
        <v>4.25</v>
      </c>
      <c r="H19" s="3013">
        <v>4.8499999999999996</v>
      </c>
      <c r="I19" s="3013"/>
      <c r="J19" s="3013"/>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3016"/>
      <c r="B20" s="3017"/>
      <c r="C20" s="3018">
        <v>42301</v>
      </c>
      <c r="D20" s="3019">
        <v>4.3499999999999996</v>
      </c>
      <c r="E20" s="3019">
        <v>4.3499999999999996</v>
      </c>
      <c r="F20" s="3019">
        <v>4.75</v>
      </c>
      <c r="G20" s="3019">
        <v>4.75</v>
      </c>
      <c r="H20" s="3019">
        <v>4.9000000000000004</v>
      </c>
      <c r="I20" s="3019"/>
      <c r="J20" s="3019"/>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444" t="s">
        <v>1567</v>
      </c>
      <c r="B1" s="3444"/>
      <c r="C1" s="3444"/>
      <c r="D1" s="3444"/>
    </row>
    <row r="2" spans="1:4" ht="18">
      <c r="A2" s="3445" t="s">
        <v>1551</v>
      </c>
      <c r="B2" s="3445"/>
      <c r="C2" s="3445"/>
      <c r="D2" s="3445"/>
    </row>
    <row r="3" spans="1:4" ht="18.75">
      <c r="A3" s="1660" t="s">
        <v>1552</v>
      </c>
      <c r="B3" s="1660" t="s">
        <v>1553</v>
      </c>
      <c r="C3" s="1660" t="s">
        <v>1554</v>
      </c>
      <c r="D3" s="1660" t="s">
        <v>1555</v>
      </c>
    </row>
    <row r="4" spans="1:4" ht="56.25" customHeight="1">
      <c r="A4" s="1661">
        <f>项目基本情况!B4</f>
        <v>0</v>
      </c>
      <c r="B4" s="1662">
        <f>项目基本情况!C4</f>
        <v>0</v>
      </c>
      <c r="C4" s="1663"/>
      <c r="D4" s="1664" t="s">
        <v>1556</v>
      </c>
    </row>
    <row r="5" spans="1:4" ht="56.25" customHeight="1">
      <c r="A5" s="1661">
        <f>项目基本情况!D4</f>
        <v>0</v>
      </c>
      <c r="B5" s="1662">
        <f>项目基本情况!E4</f>
        <v>0</v>
      </c>
      <c r="C5" s="1665"/>
      <c r="D5" s="1664" t="s">
        <v>1556</v>
      </c>
    </row>
    <row r="6" spans="1:4" ht="18">
      <c r="A6" s="3445" t="s">
        <v>1557</v>
      </c>
      <c r="B6" s="3445"/>
      <c r="C6" s="3445"/>
      <c r="D6" s="3445"/>
    </row>
    <row r="7" spans="1:4" ht="18.75">
      <c r="A7" s="1660" t="s">
        <v>1552</v>
      </c>
      <c r="B7" s="1662" t="s">
        <v>1558</v>
      </c>
      <c r="C7" s="1660" t="s">
        <v>1554</v>
      </c>
      <c r="D7" s="1660" t="s">
        <v>1555</v>
      </c>
    </row>
    <row r="8" spans="1:4" ht="56.25" customHeight="1">
      <c r="A8" s="1666" t="s">
        <v>837</v>
      </c>
      <c r="B8" s="1666" t="s">
        <v>1</v>
      </c>
      <c r="C8" s="1663"/>
      <c r="D8" s="1664" t="s">
        <v>1556</v>
      </c>
    </row>
    <row r="9" spans="1:4">
      <c r="A9" s="684"/>
      <c r="B9" s="684"/>
      <c r="C9" s="684"/>
      <c r="D9" s="684"/>
    </row>
    <row r="10" spans="1:4" ht="18.75">
      <c r="A10" s="1667" t="s">
        <v>1559</v>
      </c>
      <c r="B10" s="684"/>
      <c r="C10" s="684"/>
      <c r="D10" s="684"/>
    </row>
    <row r="11" spans="1:4" ht="30" customHeight="1">
      <c r="A11" s="3446" t="s">
        <v>1560</v>
      </c>
      <c r="B11" s="3438"/>
      <c r="C11" s="3438"/>
      <c r="D11" s="3438"/>
    </row>
    <row r="12" spans="1:4" ht="15.75">
      <c r="A12" s="34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3"/>
      <c r="C12" s="3443"/>
      <c r="D12" s="3443"/>
    </row>
    <row r="13" spans="1:4" ht="30" customHeight="1">
      <c r="A13" s="3438" t="str">
        <f>IF(项目基本情况!B8="抵押","3.抵押双方在办理抵押登记手续时，应使用本公司出具的正式《房地产评估报告》，特提醒报告使用者注意。","——")</f>
        <v>——</v>
      </c>
      <c r="B13" s="3443"/>
      <c r="C13" s="3443"/>
      <c r="D13" s="3443"/>
    </row>
    <row r="14" spans="1:4" ht="15.75" customHeight="1">
      <c r="A14" s="3438" t="str">
        <f>IF(项目基本情况!B8="抵押","4.本次评估估价师所知悉的法定优先受偿款情况说明如下：","——")</f>
        <v>——</v>
      </c>
      <c r="B14" s="3443"/>
      <c r="C14" s="3443"/>
      <c r="D14" s="3443"/>
    </row>
    <row r="15" spans="1:4" ht="42" customHeight="1">
      <c r="A15" s="3438" t="str">
        <f>IF(项目基本情况!B8="抵押","（1）"&amp;CONCATENATE(项目基本情况!L20,项目基本情况!L21,项目基本情况!L22),"——")</f>
        <v>——</v>
      </c>
      <c r="B15" s="3438"/>
      <c r="C15" s="3438"/>
      <c r="D15" s="3438"/>
    </row>
    <row r="16" spans="1:4" ht="30" customHeight="1">
      <c r="A16" s="3440" t="s">
        <v>1561</v>
      </c>
      <c r="B16" s="3440"/>
      <c r="C16" s="3440"/>
      <c r="D16" s="3440"/>
    </row>
    <row r="17" spans="1:4" ht="144" customHeight="1">
      <c r="A17" s="3440" t="s">
        <v>1562</v>
      </c>
      <c r="B17" s="3440"/>
      <c r="C17" s="3440"/>
      <c r="D17" s="3440"/>
    </row>
    <row r="18" spans="1:4" ht="15.75" customHeight="1">
      <c r="A18" s="3438" t="str">
        <f>IF(项目基本情况!B8="抵押",结果表!K120,"——")</f>
        <v>——</v>
      </c>
      <c r="B18" s="3438"/>
      <c r="C18" s="3438"/>
      <c r="D18" s="3438"/>
    </row>
    <row r="19" spans="1:4" ht="46.5" customHeight="1">
      <c r="A19" s="34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spans="1:4" ht="57.75" customHeight="1">
      <c r="A20" s="34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8"/>
      <c r="C20" s="3438"/>
      <c r="D20" s="3438"/>
    </row>
    <row r="21" spans="1:4" ht="57.75" customHeight="1">
      <c r="A21" s="3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1"/>
      <c r="C21" s="3441"/>
      <c r="D21" s="3441"/>
    </row>
    <row r="22" spans="1:4" ht="18.75" customHeight="1">
      <c r="A22" s="3442" t="s">
        <v>1563</v>
      </c>
      <c r="B22" s="3442"/>
      <c r="C22" s="3442"/>
      <c r="D22" s="3442"/>
    </row>
    <row r="23" spans="1:4">
      <c r="A23" s="1668"/>
      <c r="B23" s="1640"/>
      <c r="C23" s="1640"/>
      <c r="D23" s="1640"/>
    </row>
    <row r="24" spans="1:4">
      <c r="A24" s="1668"/>
      <c r="B24" s="1640"/>
      <c r="C24" s="1640"/>
      <c r="D24" s="1640"/>
    </row>
    <row r="25" spans="1:4" ht="18.75">
      <c r="A25" s="1669" t="s">
        <v>1564</v>
      </c>
    </row>
    <row r="26" spans="1:4" ht="18">
      <c r="A26" s="1638"/>
    </row>
    <row r="27" spans="1:4" ht="18.75">
      <c r="A27" s="1638" t="s">
        <v>1565</v>
      </c>
    </row>
    <row r="30" spans="1:4" ht="18.75">
      <c r="D30" s="1669" t="s">
        <v>1566</v>
      </c>
    </row>
    <row r="31" spans="1:4" ht="13.5" customHeight="1">
      <c r="C31" s="3439">
        <v>42551</v>
      </c>
      <c r="D31" s="34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1568</v>
      </c>
    </row>
    <row r="3" spans="1:7">
      <c r="A3" s="1674" t="s">
        <v>82</v>
      </c>
      <c r="B3" s="1658" t="s">
        <v>1569</v>
      </c>
      <c r="G3" s="1675"/>
    </row>
    <row r="4" spans="1:7">
      <c r="G4" s="1675"/>
    </row>
    <row r="5" spans="1:7">
      <c r="A5" s="1677" t="s">
        <v>73</v>
      </c>
      <c r="B5" s="1658" t="s">
        <v>1570</v>
      </c>
      <c r="G5" s="1675"/>
    </row>
    <row r="6" spans="1:7">
      <c r="G6" s="1675"/>
    </row>
    <row r="7" spans="1:7">
      <c r="A7" s="1678" t="s">
        <v>135</v>
      </c>
      <c r="B7" s="1658" t="s">
        <v>1571</v>
      </c>
      <c r="G7" s="1675"/>
    </row>
    <row r="8" spans="1:7">
      <c r="G8" s="1675"/>
    </row>
    <row r="9" spans="1:7">
      <c r="A9" s="1679" t="s">
        <v>74</v>
      </c>
      <c r="B9" s="1658" t="s">
        <v>1572</v>
      </c>
    </row>
    <row r="11" spans="1:7">
      <c r="A11" s="1680" t="s">
        <v>75</v>
      </c>
      <c r="B11" s="1681" t="s">
        <v>72</v>
      </c>
    </row>
    <row r="13" spans="1:7">
      <c r="A13" s="1682" t="s">
        <v>1573</v>
      </c>
    </row>
    <row r="15" spans="1:7" ht="13.5">
      <c r="A15" s="3452" t="s">
        <v>1574</v>
      </c>
      <c r="B15" s="3447" t="s">
        <v>136</v>
      </c>
      <c r="C15" s="3448"/>
    </row>
    <row r="16" spans="1:7" ht="13.5">
      <c r="A16" s="3453"/>
      <c r="B16" s="3447" t="s">
        <v>69</v>
      </c>
      <c r="C16" s="3448"/>
    </row>
    <row r="17" spans="1:3" ht="13.5">
      <c r="A17" s="3453"/>
      <c r="B17" s="3450" t="s">
        <v>1575</v>
      </c>
      <c r="C17" s="1683" t="s">
        <v>1574</v>
      </c>
    </row>
    <row r="18" spans="1:3" ht="13.5">
      <c r="A18" s="3453"/>
      <c r="B18" s="3450"/>
      <c r="C18" s="1683" t="s">
        <v>1576</v>
      </c>
    </row>
    <row r="19" spans="1:3" ht="13.5">
      <c r="A19" s="3453"/>
      <c r="B19" s="3450"/>
      <c r="C19" s="1683" t="s">
        <v>1577</v>
      </c>
    </row>
    <row r="20" spans="1:3" ht="13.5">
      <c r="A20" s="3454"/>
      <c r="B20" s="3449" t="s">
        <v>1578</v>
      </c>
      <c r="C20" s="3448"/>
    </row>
    <row r="21" spans="1:3" ht="13.5">
      <c r="A21" s="1684" t="s">
        <v>1579</v>
      </c>
      <c r="B21" s="1685"/>
      <c r="C21" s="1686"/>
    </row>
    <row r="22" spans="1:3" ht="13.5">
      <c r="A22" s="3451" t="s">
        <v>1580</v>
      </c>
      <c r="B22" s="3449" t="s">
        <v>1581</v>
      </c>
      <c r="C22" s="3448"/>
    </row>
    <row r="23" spans="1:3" ht="13.5">
      <c r="A23" s="3451"/>
      <c r="B23" s="3449" t="s">
        <v>1582</v>
      </c>
      <c r="C23" s="3448"/>
    </row>
    <row r="24" spans="1:3" ht="13.5">
      <c r="A24" s="3451"/>
      <c r="B24" s="3449" t="s">
        <v>1583</v>
      </c>
      <c r="C24" s="3448"/>
    </row>
    <row r="25" spans="1:3" ht="13.5">
      <c r="A25" s="3451"/>
      <c r="B25" s="3450" t="s">
        <v>1584</v>
      </c>
      <c r="C25" s="1683" t="s">
        <v>1585</v>
      </c>
    </row>
    <row r="26" spans="1:3" ht="13.5">
      <c r="A26" s="3451"/>
      <c r="B26" s="3450"/>
      <c r="C26" s="1683" t="s">
        <v>1586</v>
      </c>
    </row>
    <row r="27" spans="1:3" ht="13.5">
      <c r="A27" s="3451"/>
      <c r="B27" s="3450"/>
      <c r="C27" s="1683" t="s">
        <v>1587</v>
      </c>
    </row>
    <row r="28" spans="1:3" ht="13.5">
      <c r="A28" s="3451"/>
      <c r="B28" s="3450"/>
      <c r="C28" s="1683" t="s">
        <v>1588</v>
      </c>
    </row>
    <row r="29" spans="1:3" ht="13.5">
      <c r="A29" s="3451"/>
      <c r="B29" s="3450"/>
      <c r="C29" s="1683" t="s">
        <v>1589</v>
      </c>
    </row>
    <row r="30" spans="1:3" ht="13.5">
      <c r="A30" s="3451"/>
      <c r="B30" s="3450"/>
      <c r="C30" s="1683" t="s">
        <v>1590</v>
      </c>
    </row>
    <row r="31" spans="1:3" ht="13.5">
      <c r="A31" s="3451"/>
      <c r="B31" s="3450"/>
      <c r="C31" s="1683" t="s">
        <v>1591</v>
      </c>
    </row>
    <row r="32" spans="1:3" ht="13.5">
      <c r="A32" s="3451"/>
      <c r="B32" s="3450"/>
      <c r="C32" s="1683" t="s">
        <v>1592</v>
      </c>
    </row>
    <row r="33" spans="1:3" ht="13.5">
      <c r="A33" s="3451"/>
      <c r="B33" s="3450"/>
      <c r="C33" s="1683" t="s">
        <v>1593</v>
      </c>
    </row>
    <row r="34" spans="1:3">
      <c r="A34" s="1687" t="s">
        <v>76</v>
      </c>
    </row>
    <row r="37" spans="1:3">
      <c r="A37" s="1687" t="s">
        <v>1594</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2820</v>
      </c>
      <c r="B2" s="2525">
        <f ca="1">TODAY()</f>
        <v>44660</v>
      </c>
      <c r="C2" s="2526" t="s">
        <v>2821</v>
      </c>
      <c r="D2" s="2526"/>
      <c r="E2" s="2526"/>
      <c r="F2" s="2522"/>
      <c r="G2" s="2522"/>
      <c r="H2" s="2522"/>
    </row>
    <row r="3" spans="1:8" ht="24" customHeight="1">
      <c r="A3" s="2527" t="s">
        <v>2822</v>
      </c>
      <c r="B3" s="2528" t="s">
        <v>2823</v>
      </c>
      <c r="C3" s="2528" t="s">
        <v>2824</v>
      </c>
      <c r="D3" s="2529" t="s">
        <v>2825</v>
      </c>
      <c r="E3" s="2530" t="s">
        <v>2826</v>
      </c>
      <c r="F3" s="1440" t="s">
        <v>2827</v>
      </c>
      <c r="G3" s="2528" t="s">
        <v>2824</v>
      </c>
      <c r="H3" s="2529" t="s">
        <v>2828</v>
      </c>
    </row>
    <row r="4" spans="1:8" ht="24" customHeight="1">
      <c r="A4" s="1440" t="s">
        <v>2829</v>
      </c>
      <c r="B4" s="1440">
        <f ca="1">IF(C4&lt;B2,"已过期",1119970066)</f>
        <v>1119970066</v>
      </c>
      <c r="C4" s="2531">
        <v>44876</v>
      </c>
      <c r="D4" s="2532" t="str">
        <f ca="1">A4&amp;"（注册号："&amp;B4&amp;"）"</f>
        <v>梁津（注册号：1119970066）</v>
      </c>
      <c r="E4" s="2533" t="s">
        <v>2829</v>
      </c>
      <c r="F4" s="1440">
        <f ca="1">IF(G4&lt;B2,"已过期",96010014)</f>
        <v>96010014</v>
      </c>
      <c r="G4" s="2534">
        <v>47118</v>
      </c>
      <c r="H4" s="2535" t="str">
        <f ca="1">E4&amp;"（注册号："&amp;F4&amp;"）"</f>
        <v>梁津（注册号：96010014）</v>
      </c>
    </row>
    <row r="5" spans="1:8" ht="24" customHeight="1">
      <c r="A5" s="1440" t="s">
        <v>2830</v>
      </c>
      <c r="B5" s="1440">
        <f ca="1">IF(C5&lt;B2,"已过期",1119970111)</f>
        <v>1119970111</v>
      </c>
      <c r="C5" s="2531">
        <v>44876</v>
      </c>
      <c r="D5" s="2532" t="str">
        <f t="shared" ref="D5:D15" ca="1" si="0">A5&amp;"（注册号："&amp;B5&amp;"）"</f>
        <v>叶凌（注册号：1119970111）</v>
      </c>
      <c r="E5" s="2533" t="s">
        <v>2830</v>
      </c>
      <c r="F5" s="1440">
        <f ca="1">IF(G5&lt;B2,"已过期",94010078)</f>
        <v>94010078</v>
      </c>
      <c r="G5" s="2534">
        <v>46387</v>
      </c>
      <c r="H5" s="2535" t="str">
        <f t="shared" ref="H5:H16" ca="1" si="1">E5&amp;"（注册号："&amp;F5&amp;"）"</f>
        <v>叶凌（注册号：94010078）</v>
      </c>
    </row>
    <row r="6" spans="1:8" ht="24" customHeight="1">
      <c r="A6" s="1440" t="s">
        <v>2831</v>
      </c>
      <c r="B6" s="1440" t="str">
        <f ca="1">IF(C6&lt;B2,"已过期",1120050019)</f>
        <v>已过期</v>
      </c>
      <c r="C6" s="2531">
        <v>44395</v>
      </c>
      <c r="D6" s="2532" t="str">
        <f t="shared" ca="1" si="0"/>
        <v>王鹏（注册号：已过期）</v>
      </c>
      <c r="E6" s="2533" t="s">
        <v>2831</v>
      </c>
      <c r="F6" s="1440">
        <f ca="1">IF(G6&lt;B2,"已过期",2002110030)</f>
        <v>2002110030</v>
      </c>
      <c r="G6" s="2534">
        <v>46387</v>
      </c>
      <c r="H6" s="2535" t="str">
        <f t="shared" ca="1" si="1"/>
        <v>王鹏（注册号：2002110030）</v>
      </c>
    </row>
    <row r="7" spans="1:8" ht="24" customHeight="1">
      <c r="A7" s="1440" t="s">
        <v>2832</v>
      </c>
      <c r="B7" s="1440">
        <f ca="1">IF(C7&lt;B2,"已过期",1120000080)</f>
        <v>1120000080</v>
      </c>
      <c r="C7" s="2531">
        <v>44876</v>
      </c>
      <c r="D7" s="2532" t="str">
        <f t="shared" ca="1" si="0"/>
        <v>欧红伟（注册号：1120000080）</v>
      </c>
      <c r="E7" s="2533" t="s">
        <v>2832</v>
      </c>
      <c r="F7" s="1440">
        <f ca="1">IF(G7&lt;B2,"已过期",2000110082)</f>
        <v>2000110082</v>
      </c>
      <c r="G7" s="2534">
        <v>46387</v>
      </c>
      <c r="H7" s="2535" t="str">
        <f t="shared" ca="1" si="1"/>
        <v>欧红伟（注册号：2000110082）</v>
      </c>
    </row>
    <row r="8" spans="1:8" ht="24" customHeight="1">
      <c r="A8" s="1440" t="s">
        <v>2833</v>
      </c>
      <c r="B8" s="1440">
        <f ca="1">IF(C8&lt;B2,"已过期",1419970001)</f>
        <v>1419970001</v>
      </c>
      <c r="C8" s="2531">
        <v>44899</v>
      </c>
      <c r="D8" s="2532" t="str">
        <f t="shared" ca="1" si="0"/>
        <v>吴薇（注册号：1419970001）</v>
      </c>
      <c r="E8" s="2533" t="s">
        <v>2833</v>
      </c>
      <c r="F8" s="1440">
        <f ca="1">IF(G8&lt;B2,"已过期",2002110125)</f>
        <v>2002110125</v>
      </c>
      <c r="G8" s="2534">
        <v>47118</v>
      </c>
      <c r="H8" s="2535" t="str">
        <f t="shared" ca="1" si="1"/>
        <v>吴薇（注册号：2002110125）</v>
      </c>
    </row>
    <row r="9" spans="1:8" ht="24" customHeight="1">
      <c r="A9" s="1440" t="s">
        <v>2834</v>
      </c>
      <c r="B9" s="1440" t="str">
        <f ca="1">IF(C9&lt;B2,"已过期",1120060040)</f>
        <v>已过期</v>
      </c>
      <c r="C9" s="2536">
        <v>44554</v>
      </c>
      <c r="D9" s="2532" t="str">
        <f t="shared" ca="1" si="0"/>
        <v>陈颖（注册号：已过期）</v>
      </c>
      <c r="E9" s="2533" t="s">
        <v>2834</v>
      </c>
      <c r="F9" s="1440">
        <f ca="1">IF(G9&lt;B2,"已过期",2004110096)</f>
        <v>2004110096</v>
      </c>
      <c r="G9" s="2534">
        <v>47118</v>
      </c>
      <c r="H9" s="2535" t="str">
        <f t="shared" ca="1" si="1"/>
        <v>陈颖（注册号：2004110096）</v>
      </c>
    </row>
    <row r="10" spans="1:8" ht="24" customHeight="1">
      <c r="A10" s="1440" t="s">
        <v>2835</v>
      </c>
      <c r="B10" s="1440">
        <f ca="1">IF(C10&lt;B2,"已过期",1120100036)</f>
        <v>1120100036</v>
      </c>
      <c r="C10" s="2536">
        <v>44675</v>
      </c>
      <c r="D10" s="2532" t="str">
        <f t="shared" ca="1" si="0"/>
        <v>崔锴（注册号：1120100036）</v>
      </c>
      <c r="E10" s="2533" t="s">
        <v>2835</v>
      </c>
      <c r="F10" s="1440">
        <f ca="1">IF(G10&lt;B2,"已过期",2010110070)</f>
        <v>2010110070</v>
      </c>
      <c r="G10" s="2534">
        <v>47907</v>
      </c>
      <c r="H10" s="2535" t="str">
        <f t="shared" ca="1" si="1"/>
        <v>崔锴（注册号：2010110070）</v>
      </c>
    </row>
    <row r="11" spans="1:8" ht="24" customHeight="1">
      <c r="A11" s="1440" t="s">
        <v>2836</v>
      </c>
      <c r="B11" s="1440">
        <f ca="1">IF(C11&lt;B2,"已过期",1120070131)</f>
        <v>1120070131</v>
      </c>
      <c r="C11" s="2531">
        <v>44849</v>
      </c>
      <c r="D11" s="2532" t="str">
        <f t="shared" ca="1" si="0"/>
        <v>郑燚（注册号：1120070131）</v>
      </c>
      <c r="E11" s="2533" t="s">
        <v>2836</v>
      </c>
      <c r="F11" s="1440">
        <f ca="1">IF(G11&lt;B2,"已过期",2014110011)</f>
        <v>2014110011</v>
      </c>
      <c r="G11" s="2534">
        <v>49302</v>
      </c>
      <c r="H11" s="2535" t="str">
        <f t="shared" ca="1" si="1"/>
        <v>郑燚（注册号：2014110011）</v>
      </c>
    </row>
    <row r="12" spans="1:8" ht="24" customHeight="1">
      <c r="A12" s="1440" t="s">
        <v>2837</v>
      </c>
      <c r="B12" s="1440">
        <f ca="1">IF(C12&lt;B2,"已过期",1120040230)</f>
        <v>1120040230</v>
      </c>
      <c r="C12" s="2536">
        <v>44864</v>
      </c>
      <c r="D12" s="2532" t="str">
        <f t="shared" ca="1" si="0"/>
        <v>苏海（注册号：1120040230）</v>
      </c>
      <c r="E12" s="2533" t="s">
        <v>2837</v>
      </c>
      <c r="F12" s="1440">
        <f ca="1">IF(G12&lt;B2,"已过期",98030020)</f>
        <v>98030020</v>
      </c>
      <c r="G12" s="2534">
        <v>47118</v>
      </c>
      <c r="H12" s="2535" t="str">
        <f t="shared" ca="1" si="1"/>
        <v>苏海（注册号：98030020）</v>
      </c>
    </row>
    <row r="13" spans="1:8" ht="24" customHeight="1">
      <c r="A13" s="1440" t="s">
        <v>2838</v>
      </c>
      <c r="B13" s="1440" t="str">
        <f ca="1">IF(C13&lt;B2,"已过期",1120020033)</f>
        <v>已过期</v>
      </c>
      <c r="C13" s="2531">
        <v>44339</v>
      </c>
      <c r="D13" s="2532" t="str">
        <f t="shared" ca="1" si="0"/>
        <v>刘敬东（注册号：已过期）</v>
      </c>
      <c r="E13" s="2533" t="s">
        <v>2838</v>
      </c>
      <c r="F13" s="1440">
        <f ca="1">IF(G13&lt;B2,"已过期",2000110137)</f>
        <v>2000110137</v>
      </c>
      <c r="G13" s="2534">
        <v>46387</v>
      </c>
      <c r="H13" s="2535" t="str">
        <f t="shared" ca="1" si="1"/>
        <v>刘敬东（注册号：2000110137）</v>
      </c>
    </row>
    <row r="14" spans="1:8" ht="24" customHeight="1">
      <c r="A14" s="1440" t="s">
        <v>2839</v>
      </c>
      <c r="B14" s="1440">
        <f ca="1">IF(C14&lt;B2,"已过期",1119980106)</f>
        <v>1119980106</v>
      </c>
      <c r="C14" s="2536">
        <v>44969</v>
      </c>
      <c r="D14" s="2532" t="str">
        <f t="shared" ca="1" si="0"/>
        <v>刘俊财（注册号：1119980106）</v>
      </c>
      <c r="E14" s="2533" t="s">
        <v>2839</v>
      </c>
      <c r="F14" s="1440">
        <f ca="1">IF(G14&lt;B2,"已过期",96010063)</f>
        <v>96010063</v>
      </c>
      <c r="G14" s="2534">
        <v>47483</v>
      </c>
      <c r="H14" s="2535" t="str">
        <f t="shared" ca="1" si="1"/>
        <v>刘俊财（注册号：96010063）</v>
      </c>
    </row>
    <row r="15" spans="1:8" ht="24" customHeight="1">
      <c r="A15" s="1440"/>
      <c r="B15" s="1440"/>
      <c r="C15" s="2536"/>
      <c r="D15" s="2532" t="str">
        <f t="shared" si="0"/>
        <v>（注册号：）</v>
      </c>
      <c r="E15" s="2533" t="s">
        <v>2840</v>
      </c>
      <c r="F15" s="1440">
        <f ca="1">IF(G15&lt;B2,"已过期",2011110090)</f>
        <v>2011110090</v>
      </c>
      <c r="G15" s="2534">
        <v>48302</v>
      </c>
      <c r="H15" s="2535" t="str">
        <f t="shared" ca="1" si="1"/>
        <v>赵雯（注册号：2011110090）</v>
      </c>
    </row>
    <row r="16" spans="1:8" s="2538" customFormat="1" ht="24" customHeight="1">
      <c r="A16" s="1440"/>
      <c r="B16" s="1440"/>
      <c r="C16" s="1440"/>
      <c r="D16" s="2532" t="str">
        <f>A16&amp;"（注册号："&amp;B16&amp;"）"</f>
        <v>（注册号：）</v>
      </c>
      <c r="E16" s="2533"/>
      <c r="F16" s="1440"/>
      <c r="G16" s="1440"/>
      <c r="H16" s="2537" t="str">
        <f t="shared" si="1"/>
        <v>（注册号：）</v>
      </c>
    </row>
    <row r="17" spans="1:8" ht="24" customHeight="1">
      <c r="A17" s="3455" t="s">
        <v>2841</v>
      </c>
      <c r="B17" s="3455"/>
      <c r="C17" s="3455"/>
      <c r="D17" s="3455"/>
      <c r="E17" s="3455"/>
      <c r="F17" s="3455"/>
      <c r="G17" s="3455"/>
      <c r="H17" s="3455"/>
    </row>
    <row r="18" spans="1:8" ht="24" customHeight="1">
      <c r="A18" s="3456" t="s">
        <v>2842</v>
      </c>
      <c r="B18" s="3456"/>
      <c r="C18" s="3456"/>
      <c r="D18" s="2529"/>
      <c r="E18" s="3457" t="s">
        <v>2843</v>
      </c>
      <c r="F18" s="3456"/>
      <c r="G18" s="3456"/>
    </row>
    <row r="19" spans="1:8" s="2540" customFormat="1" ht="24" customHeight="1">
      <c r="A19" s="2539" t="s">
        <v>2844</v>
      </c>
      <c r="B19" s="2528" t="s">
        <v>2845</v>
      </c>
      <c r="C19" s="2528" t="s">
        <v>2824</v>
      </c>
      <c r="D19" s="2529"/>
      <c r="E19" s="2533" t="s">
        <v>2844</v>
      </c>
      <c r="F19" s="2528" t="s">
        <v>2845</v>
      </c>
      <c r="G19" s="2528" t="s">
        <v>2824</v>
      </c>
    </row>
    <row r="20" spans="1:8" s="2540" customFormat="1" ht="24" customHeight="1">
      <c r="A20" s="2541" t="s">
        <v>2846</v>
      </c>
      <c r="B20" s="2541" t="s">
        <v>2847</v>
      </c>
      <c r="C20" s="2534">
        <v>44820</v>
      </c>
      <c r="D20" s="2542"/>
      <c r="E20" s="2543" t="s">
        <v>2848</v>
      </c>
      <c r="F20" s="2541" t="s">
        <v>2849</v>
      </c>
      <c r="G20" s="2544">
        <v>44377</v>
      </c>
    </row>
    <row r="21" spans="1:8" s="2540" customFormat="1" ht="24" customHeight="1">
      <c r="A21" s="2541"/>
      <c r="B21" s="2541"/>
      <c r="C21" s="2545"/>
      <c r="D21" s="2546"/>
      <c r="E21" s="2543" t="s">
        <v>2850</v>
      </c>
      <c r="F21" s="2547" t="s">
        <v>2851</v>
      </c>
      <c r="G21" s="2548">
        <v>44012</v>
      </c>
    </row>
    <row r="22" spans="1:8" ht="24" customHeight="1">
      <c r="C22" s="2549"/>
      <c r="D22" s="2549"/>
      <c r="E22" s="2550"/>
      <c r="F22" s="2551"/>
      <c r="G22" s="2552"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8" priority="51">
      <formula>AND($C4-TODAY()&lt;30,TODAY()&lt;$C4)</formula>
    </cfRule>
  </conditionalFormatting>
  <conditionalFormatting sqref="C20:D20">
    <cfRule type="expression" dxfId="267" priority="50">
      <formula>AND($C20-TODAY()&lt;30,TODAY()&lt;$C20)</formula>
    </cfRule>
  </conditionalFormatting>
  <conditionalFormatting sqref="C20:D20 G4 C4:D5 C13:D13">
    <cfRule type="cellIs" dxfId="266" priority="52" stopIfTrue="1" operator="lessThan">
      <formula>$B$2</formula>
    </cfRule>
  </conditionalFormatting>
  <conditionalFormatting sqref="G5 G7 G9">
    <cfRule type="cellIs" dxfId="265" priority="49" stopIfTrue="1" operator="lessThan">
      <formula>$B$2</formula>
    </cfRule>
  </conditionalFormatting>
  <conditionalFormatting sqref="C6:D6 D14 D16">
    <cfRule type="expression" dxfId="264" priority="47">
      <formula>AND($C6-TODAY()&lt;30,TODAY()&lt;$C6)</formula>
    </cfRule>
  </conditionalFormatting>
  <conditionalFormatting sqref="G6 G8 G10 C6:D6 D7:D12 D14 D16">
    <cfRule type="cellIs" dxfId="263" priority="48" stopIfTrue="1" operator="lessThan">
      <formula>$B$2</formula>
    </cfRule>
  </conditionalFormatting>
  <conditionalFormatting sqref="D12">
    <cfRule type="expression" dxfId="262" priority="45">
      <formula>AND($C12-TODAY()&lt;30,TODAY()&lt;$C12)</formula>
    </cfRule>
  </conditionalFormatting>
  <conditionalFormatting sqref="D12">
    <cfRule type="cellIs" dxfId="261" priority="46" stopIfTrue="1" operator="lessThan">
      <formula>$B$2</formula>
    </cfRule>
  </conditionalFormatting>
  <conditionalFormatting sqref="C13:D13">
    <cfRule type="expression" dxfId="260" priority="43">
      <formula>AND($C13-TODAY()&lt;30,TODAY()&lt;$C13)</formula>
    </cfRule>
  </conditionalFormatting>
  <conditionalFormatting sqref="C13:D13">
    <cfRule type="cellIs" dxfId="259" priority="44" stopIfTrue="1" operator="lessThan">
      <formula>$B$2</formula>
    </cfRule>
  </conditionalFormatting>
  <conditionalFormatting sqref="D14">
    <cfRule type="expression" dxfId="258" priority="41">
      <formula>AND($C14-TODAY()&lt;30,TODAY()&lt;$C14)</formula>
    </cfRule>
  </conditionalFormatting>
  <conditionalFormatting sqref="D14">
    <cfRule type="cellIs" dxfId="257" priority="42" stopIfTrue="1" operator="lessThan">
      <formula>$B$2</formula>
    </cfRule>
  </conditionalFormatting>
  <conditionalFormatting sqref="G13">
    <cfRule type="cellIs" dxfId="256" priority="40" stopIfTrue="1" operator="lessThan">
      <formula>$B$2</formula>
    </cfRule>
  </conditionalFormatting>
  <conditionalFormatting sqref="B4:B11 F4:F11 B13 F13:F14">
    <cfRule type="cellIs" dxfId="255" priority="39" stopIfTrue="1" operator="equal">
      <formula>"已过期"</formula>
    </cfRule>
  </conditionalFormatting>
  <conditionalFormatting sqref="G20">
    <cfRule type="expression" dxfId="254" priority="37">
      <formula>AND($E20-TODAY()&lt;30,TODAY()&lt;$E20)</formula>
    </cfRule>
  </conditionalFormatting>
  <conditionalFormatting sqref="G20">
    <cfRule type="cellIs" dxfId="253" priority="38" stopIfTrue="1" operator="lessThan">
      <formula>$B$2</formula>
    </cfRule>
  </conditionalFormatting>
  <conditionalFormatting sqref="C7">
    <cfRule type="expression" dxfId="252" priority="35">
      <formula>AND($C7-TODAY()&lt;30,TODAY()&lt;$C7)</formula>
    </cfRule>
  </conditionalFormatting>
  <conditionalFormatting sqref="C7">
    <cfRule type="cellIs" dxfId="251" priority="36" stopIfTrue="1" operator="lessThan">
      <formula>$B$2</formula>
    </cfRule>
  </conditionalFormatting>
  <conditionalFormatting sqref="C8">
    <cfRule type="expression" dxfId="250" priority="33">
      <formula>AND($C8-TODAY()&lt;30,TODAY()&lt;$C8)</formula>
    </cfRule>
  </conditionalFormatting>
  <conditionalFormatting sqref="C8">
    <cfRule type="cellIs" dxfId="249" priority="34" stopIfTrue="1" operator="lessThan">
      <formula>$B$2</formula>
    </cfRule>
  </conditionalFormatting>
  <conditionalFormatting sqref="C11">
    <cfRule type="expression" dxfId="248" priority="31">
      <formula>AND($C11-TODAY()&lt;30,TODAY()&lt;$C11)</formula>
    </cfRule>
  </conditionalFormatting>
  <conditionalFormatting sqref="C11">
    <cfRule type="cellIs" dxfId="247" priority="32" stopIfTrue="1" operator="lessThan">
      <formula>$B$2</formula>
    </cfRule>
  </conditionalFormatting>
  <conditionalFormatting sqref="A16:C16">
    <cfRule type="cellIs" dxfId="246" priority="30" stopIfTrue="1" operator="equal">
      <formula>"已过期"</formula>
    </cfRule>
  </conditionalFormatting>
  <conditionalFormatting sqref="E16:G16">
    <cfRule type="cellIs" dxfId="245" priority="29" stopIfTrue="1" operator="equal">
      <formula>"已过期"</formula>
    </cfRule>
  </conditionalFormatting>
  <conditionalFormatting sqref="G11">
    <cfRule type="cellIs" dxfId="244" priority="28" stopIfTrue="1" operator="lessThan">
      <formula>$B$2</formula>
    </cfRule>
  </conditionalFormatting>
  <conditionalFormatting sqref="F12">
    <cfRule type="cellIs" dxfId="243" priority="27" stopIfTrue="1" operator="equal">
      <formula>"已过期"</formula>
    </cfRule>
  </conditionalFormatting>
  <conditionalFormatting sqref="G12">
    <cfRule type="cellIs" dxfId="242" priority="26" stopIfTrue="1" operator="lessThan">
      <formula>$B$2</formula>
    </cfRule>
  </conditionalFormatting>
  <conditionalFormatting sqref="C12">
    <cfRule type="cellIs" dxfId="241" priority="25" stopIfTrue="1" operator="lessThan">
      <formula>$B$2</formula>
    </cfRule>
  </conditionalFormatting>
  <conditionalFormatting sqref="C12">
    <cfRule type="expression" dxfId="240" priority="23">
      <formula>AND($C12-TODAY()&lt;30,TODAY()&lt;$C12)</formula>
    </cfRule>
  </conditionalFormatting>
  <conditionalFormatting sqref="C12">
    <cfRule type="cellIs" dxfId="239" priority="24" stopIfTrue="1" operator="lessThan">
      <formula>$B$2</formula>
    </cfRule>
  </conditionalFormatting>
  <conditionalFormatting sqref="B12">
    <cfRule type="cellIs" dxfId="238" priority="22" stopIfTrue="1" operator="equal">
      <formula>"已过期"</formula>
    </cfRule>
  </conditionalFormatting>
  <conditionalFormatting sqref="C9:C10">
    <cfRule type="expression" dxfId="237" priority="20">
      <formula>AND($C9-TODAY()&lt;30,TODAY()&lt;$C9)</formula>
    </cfRule>
  </conditionalFormatting>
  <conditionalFormatting sqref="C9:C10">
    <cfRule type="cellIs" dxfId="236" priority="21" stopIfTrue="1" operator="lessThan">
      <formula>$B$2</formula>
    </cfRule>
  </conditionalFormatting>
  <conditionalFormatting sqref="G21">
    <cfRule type="expression" dxfId="235" priority="18" stopIfTrue="1">
      <formula>AND(#REF!-TODAY()&lt;30,TODAY()&lt;#REF!)</formula>
    </cfRule>
  </conditionalFormatting>
  <conditionalFormatting sqref="G21">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C14">
    <cfRule type="expression" dxfId="231" priority="14">
      <formula>AND($C14-TODAY()&lt;30,TODAY()&lt;$C14)</formula>
    </cfRule>
  </conditionalFormatting>
  <conditionalFormatting sqref="C14">
    <cfRule type="cellIs" dxfId="230" priority="15" stopIfTrue="1" operator="lessThan">
      <formula>$B$2</formula>
    </cfRule>
  </conditionalFormatting>
  <conditionalFormatting sqref="B14">
    <cfRule type="cellIs" dxfId="229" priority="13" stopIfTrue="1" operator="equal">
      <formula>"已过期"</formula>
    </cfRule>
  </conditionalFormatting>
  <conditionalFormatting sqref="G14">
    <cfRule type="cellIs" dxfId="228" priority="12"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D15">
    <cfRule type="expression" dxfId="225" priority="8">
      <formula>AND($C15-TODAY()&lt;30,TODAY()&lt;$C15)</formula>
    </cfRule>
  </conditionalFormatting>
  <conditionalFormatting sqref="D15">
    <cfRule type="cellIs" dxfId="224" priority="9" stopIfTrue="1" operator="lessThan">
      <formula>$B$2</formula>
    </cfRule>
  </conditionalFormatting>
  <conditionalFormatting sqref="F15">
    <cfRule type="cellIs" dxfId="223" priority="7" stopIfTrue="1" operator="equal">
      <formula>"已过期"</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C15">
    <cfRule type="expression" dxfId="220" priority="3">
      <formula>AND($C15-TODAY()&lt;30,TODAY()&lt;$C15)</formula>
    </cfRule>
  </conditionalFormatting>
  <conditionalFormatting sqref="C15">
    <cfRule type="cellIs" dxfId="219" priority="4" stopIfTrue="1" operator="lessThan">
      <formula>$B$2</formula>
    </cfRule>
  </conditionalFormatting>
  <conditionalFormatting sqref="B15">
    <cfRule type="cellIs" dxfId="218" priority="2" stopIfTrue="1" operator="equal">
      <formula>"已过期"</formula>
    </cfRule>
  </conditionalFormatting>
  <conditionalFormatting sqref="G15">
    <cfRule type="cellIs" dxfId="21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房源表</vt:lpstr>
      <vt:lpstr>权属文件</vt:lpstr>
      <vt:lpstr>测绘</vt:lpstr>
      <vt:lpstr>户型</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收益法-宿舍</vt:lpstr>
      <vt:lpstr>收益法 -商业</vt:lpstr>
      <vt:lpstr>收益法-车库</vt:lpstr>
      <vt:lpstr>收益法-库房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收益法-宿舍无燃气</vt:lpstr>
      <vt:lpstr>比较法-住宅无燃气</vt:lpstr>
      <vt:lpstr>Sheet6</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'比较法-住宅无燃气'!Print_Area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 -商业'!Print_Area</vt:lpstr>
      <vt:lpstr>'收益法（汇总）'!Print_Area</vt:lpstr>
      <vt:lpstr>'收益法-车库'!Print_Area</vt:lpstr>
      <vt:lpstr>'收益法-库房'!Print_Area</vt:lpstr>
      <vt:lpstr>'收益法-宿舍'!Print_Area</vt:lpstr>
      <vt:lpstr>'收益法-宿舍无燃气'!Print_Area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'比较法-住宅无燃气'!住宅朝向</vt:lpstr>
      <vt:lpstr>住宅朝向</vt:lpstr>
      <vt:lpstr>'比较法-住宅无燃气'!住宅房型</vt:lpstr>
      <vt:lpstr>住宅房型</vt:lpstr>
      <vt:lpstr>'比较法-住宅无燃气'!住宅公共部分装修</vt:lpstr>
      <vt:lpstr>住宅公共部分装修</vt:lpstr>
      <vt:lpstr>'比较法-住宅无燃气'!住宅基础设施水平</vt:lpstr>
      <vt:lpstr>住宅基础设施水平</vt:lpstr>
      <vt:lpstr>'比较法-住宅无燃气'!住宅建筑结构</vt:lpstr>
      <vt:lpstr>住宅建筑结构</vt:lpstr>
      <vt:lpstr>'比较法-住宅无燃气'!住宅建筑类型</vt:lpstr>
      <vt:lpstr>住宅建筑类型</vt:lpstr>
      <vt:lpstr>'比较法-住宅无燃气'!住宅建筑品质</vt:lpstr>
      <vt:lpstr>住宅建筑品质</vt:lpstr>
      <vt:lpstr>'比较法-住宅无燃气'!住宅交易情况</vt:lpstr>
      <vt:lpstr>住宅交易情况</vt:lpstr>
      <vt:lpstr>'比较法-住宅无燃气'!住宅楼层</vt:lpstr>
      <vt:lpstr>住宅楼层</vt:lpstr>
      <vt:lpstr>'比较法-住宅无燃气'!住宅内部装修</vt:lpstr>
      <vt:lpstr>住宅内部装修</vt:lpstr>
      <vt:lpstr>'比较法-住宅无燃气'!住宅物业管理</vt:lpstr>
      <vt:lpstr>住宅物业管理</vt:lpstr>
      <vt:lpstr>'比较法-住宅无燃气'!住宅用途</vt:lpstr>
      <vt:lpstr>住宅用途</vt:lpstr>
      <vt:lpstr>'比较法-住宅无燃气'!住宅主力户型面积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2022-04-09T05:37:42Z</dcterms:modified>
</cp:coreProperties>
</file>