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xing&amp;han\Desktop\怀柔水岸雁栖P02\"/>
    </mc:Choice>
  </mc:AlternateContent>
  <xr:revisionPtr revIDLastSave="0" documentId="13_ncr:1_{432583D7-C4D3-4AF3-8649-EA0A4ADFBFF5}" xr6:coauthVersionLast="45" xr6:coauthVersionMax="45" xr10:uidLastSave="{00000000-0000-0000-0000-000000000000}"/>
  <bookViews>
    <workbookView xWindow="-110" yWindow="-110" windowWidth="19420" windowHeight="1042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已售清单" sheetId="78"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比较法-住宅" sheetId="21" r:id="rId26"/>
    <sheet name="典型户型修正" sheetId="31" r:id="rId27"/>
    <sheet name="Sheet4" sheetId="80" r:id="rId28"/>
    <sheet name="收益法" sheetId="15" r:id="rId29"/>
    <sheet name="收益法 (车库)" sheetId="82"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收益法 (仓储) " sheetId="83"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_FilterDatabase" localSheetId="14" hidden="1">已售清单!$A$1:$G$1</definedName>
    <definedName name="_xlnm.Print_Area" localSheetId="8">估价师及机构信息!$A$1:$F$29</definedName>
    <definedName name="_xlnm.Print_Area" localSheetId="28">收益法!$A$1:$AK$69</definedName>
    <definedName name="_xlnm.Print_Area" localSheetId="44">'收益法 (仓储) '!$A$1:$AK$69</definedName>
    <definedName name="_xlnm.Print_Area" localSheetId="29">'收益法 (车库)'!$A$1:$AK$69</definedName>
    <definedName name="_xlnm.Print_Area" localSheetId="30">'收益法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11" i="1" l="1"/>
  <c r="D9" i="68"/>
  <c r="C9" i="68"/>
  <c r="D10" i="68"/>
  <c r="C10" i="68"/>
  <c r="B29" i="1"/>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9"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9" i="1"/>
  <c r="F41" i="15"/>
  <c r="C40" i="15"/>
  <c r="M6" i="15"/>
  <c r="M8" i="15"/>
  <c r="M7" i="15"/>
  <c r="M9" i="15"/>
  <c r="J6" i="15"/>
  <c r="M11" i="15"/>
  <c r="J10" i="15"/>
  <c r="J5" i="15"/>
  <c r="J26" i="15"/>
  <c r="J29" i="15"/>
  <c r="J60" i="15"/>
  <c r="L46" i="15"/>
  <c r="B2" i="15"/>
  <c r="F8" i="12"/>
  <c r="F6" i="83"/>
  <c r="F8" i="83"/>
  <c r="F7" i="83"/>
  <c r="F9" i="83"/>
  <c r="C6" i="83"/>
  <c r="F11" i="83"/>
  <c r="C10" i="83"/>
  <c r="C5" i="83"/>
  <c r="C32" i="83"/>
  <c r="C33" i="83"/>
  <c r="R10"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10" i="1"/>
  <c r="F41" i="83"/>
  <c r="C40" i="83"/>
  <c r="M6" i="83"/>
  <c r="M8" i="83"/>
  <c r="M7" i="83"/>
  <c r="M9" i="83"/>
  <c r="J6" i="83"/>
  <c r="M11" i="83"/>
  <c r="J10" i="83"/>
  <c r="J5" i="83"/>
  <c r="J26" i="83"/>
  <c r="J29" i="83"/>
  <c r="J60" i="83"/>
  <c r="L46" i="83"/>
  <c r="B2" i="83"/>
  <c r="G8" i="12"/>
  <c r="F6" i="82"/>
  <c r="F8" i="82"/>
  <c r="F7" i="82"/>
  <c r="F9" i="82"/>
  <c r="C6" i="82"/>
  <c r="F11" i="82"/>
  <c r="C10" i="82"/>
  <c r="C5" i="82"/>
  <c r="C32" i="82"/>
  <c r="C33" i="82"/>
  <c r="R11" i="1"/>
  <c r="F35" i="82"/>
  <c r="C34" i="82"/>
  <c r="C31" i="82"/>
  <c r="C14" i="82"/>
  <c r="C15" i="82"/>
  <c r="F16" i="82"/>
  <c r="C16" i="82"/>
  <c r="F43" i="82"/>
  <c r="C17" i="82"/>
  <c r="C18" i="82"/>
  <c r="C19" i="82"/>
  <c r="C20" i="82"/>
  <c r="F24" i="82"/>
  <c r="C23" i="82"/>
  <c r="F26" i="82"/>
  <c r="C26" i="82"/>
  <c r="C24" i="82"/>
  <c r="C27" i="82"/>
  <c r="C29" i="82"/>
  <c r="F36" i="82"/>
  <c r="C36" i="82"/>
  <c r="F13" i="82"/>
  <c r="C13" i="82"/>
  <c r="F37" i="82"/>
  <c r="C37" i="82"/>
  <c r="F38" i="82"/>
  <c r="C38" i="82"/>
  <c r="C30" i="82"/>
  <c r="C39" i="82"/>
  <c r="F42" i="82"/>
  <c r="F40" i="82"/>
  <c r="L48" i="82"/>
  <c r="J53" i="82"/>
  <c r="F1" i="82"/>
  <c r="AE11" i="1"/>
  <c r="F41" i="82"/>
  <c r="C40" i="82"/>
  <c r="M6" i="82"/>
  <c r="M8" i="82"/>
  <c r="M7" i="82"/>
  <c r="M9" i="82"/>
  <c r="J6" i="82"/>
  <c r="M11" i="82"/>
  <c r="J10" i="82"/>
  <c r="J5" i="82"/>
  <c r="J26" i="82"/>
  <c r="J29" i="82"/>
  <c r="J60" i="82"/>
  <c r="L46" i="82"/>
  <c r="B2" i="82"/>
  <c r="H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H101" i="9"/>
  <c r="H109" i="9"/>
  <c r="M49" i="9"/>
  <c r="D45" i="9"/>
  <c r="D53" i="9"/>
  <c r="D48" i="9"/>
  <c r="M52" i="9"/>
  <c r="D55" i="9"/>
  <c r="M53" i="9"/>
  <c r="C85" i="9"/>
  <c r="C91" i="9"/>
  <c r="C92" i="9"/>
  <c r="C93" i="9"/>
  <c r="C94" i="9"/>
  <c r="C86" i="9"/>
  <c r="C95" i="9"/>
  <c r="C96" i="9"/>
  <c r="C97" i="9"/>
  <c r="D58" i="9"/>
  <c r="D56" i="9"/>
  <c r="M54" i="9"/>
  <c r="N57" i="9"/>
  <c r="N59" i="9"/>
  <c r="B3" i="68"/>
  <c r="C57" i="68"/>
  <c r="D35" i="9"/>
  <c r="P59" i="9"/>
  <c r="C56" i="68"/>
  <c r="D34" i="9"/>
  <c r="P58" i="9"/>
  <c r="D29" i="9"/>
  <c r="N5" i="77"/>
  <c r="N6" i="77"/>
  <c r="N7" i="77"/>
  <c r="N8" i="77"/>
  <c r="N9" i="77"/>
  <c r="N10" i="77"/>
  <c r="N11" i="77"/>
  <c r="N12" i="77"/>
  <c r="N13" i="77"/>
  <c r="N14" i="77"/>
  <c r="N15" i="77"/>
  <c r="N16" i="77"/>
  <c r="N17" i="77"/>
  <c r="N18" i="77"/>
  <c r="N19" i="77"/>
  <c r="N20" i="77"/>
  <c r="N21" i="77"/>
  <c r="N22" i="77"/>
  <c r="N4" i="77"/>
  <c r="F15" i="83"/>
  <c r="F20" i="83"/>
  <c r="F21" i="83"/>
  <c r="B3" i="83"/>
  <c r="G6" i="12"/>
  <c r="B21" i="1"/>
  <c r="D6" i="31"/>
  <c r="E6" i="31"/>
  <c r="E26" i="31"/>
  <c r="D69" i="21"/>
  <c r="F11" i="21"/>
  <c r="AA11" i="21"/>
  <c r="R48" i="21"/>
  <c r="E69" i="21"/>
  <c r="H11" i="21"/>
  <c r="AB11" i="21"/>
  <c r="T48" i="21"/>
  <c r="J11" i="21"/>
  <c r="AC11" i="21"/>
  <c r="V48" i="21"/>
  <c r="R49" i="21"/>
  <c r="C49" i="21"/>
  <c r="B3" i="21"/>
  <c r="R24" i="31"/>
  <c r="R26" i="31"/>
  <c r="S26" i="31"/>
  <c r="E8" i="12"/>
  <c r="G1" i="83"/>
  <c r="F17" i="83"/>
  <c r="F18" i="83"/>
  <c r="F23" i="83"/>
  <c r="F28" i="83"/>
  <c r="C28" i="83"/>
  <c r="F32" i="83"/>
  <c r="F33" i="83"/>
  <c r="F34" i="83"/>
  <c r="B24" i="1"/>
  <c r="C83" i="83"/>
  <c r="C82" i="83"/>
  <c r="C76" i="83"/>
  <c r="C75" i="83"/>
  <c r="C80" i="83"/>
  <c r="C79" i="83"/>
  <c r="Q65" i="83"/>
  <c r="M47" i="83"/>
  <c r="J50" i="83"/>
  <c r="J51" i="83"/>
  <c r="L60" i="83"/>
  <c r="Q66" i="83"/>
  <c r="Q75" i="83"/>
  <c r="L47" i="83"/>
  <c r="M59" i="83"/>
  <c r="L59" i="83"/>
  <c r="Q74" i="83"/>
  <c r="K59" i="83"/>
  <c r="P74" i="83"/>
  <c r="L58"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L51" i="83"/>
  <c r="Q67" i="83"/>
  <c r="Q56" i="83"/>
  <c r="Q57" i="83"/>
  <c r="Q62" i="83"/>
  <c r="Q61" i="83"/>
  <c r="P61" i="83"/>
  <c r="Q60" i="83"/>
  <c r="Q59" i="83"/>
  <c r="N59" i="83"/>
  <c r="J59" i="83"/>
  <c r="F59" i="83"/>
  <c r="Q58" i="83"/>
  <c r="J57" i="83"/>
  <c r="J55" i="83"/>
  <c r="J58" i="83"/>
  <c r="L57"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E25" i="31"/>
  <c r="R25" i="31"/>
  <c r="S25" i="31"/>
  <c r="D8" i="12"/>
  <c r="G10" i="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F20" i="68"/>
  <c r="B23" i="1"/>
  <c r="Q16" i="1"/>
  <c r="F21" i="68"/>
  <c r="C21" i="68"/>
  <c r="F35" i="68"/>
  <c r="F36" i="68"/>
  <c r="C40" i="68"/>
  <c r="F50" i="68"/>
  <c r="F15" i="15"/>
  <c r="F20" i="15"/>
  <c r="F21" i="15"/>
  <c r="F15" i="82"/>
  <c r="F20" i="82"/>
  <c r="F21" i="82"/>
  <c r="B2" i="21"/>
  <c r="C8" i="12"/>
  <c r="F12" i="12"/>
  <c r="F13" i="12"/>
  <c r="F22" i="12"/>
  <c r="F23" i="12"/>
  <c r="D28" i="9"/>
  <c r="C88" i="9"/>
  <c r="S10" i="77"/>
  <c r="R10" i="77"/>
  <c r="Q10" i="77"/>
  <c r="A19" i="77"/>
  <c r="A17" i="77"/>
  <c r="A6" i="77"/>
  <c r="A4" i="77"/>
  <c r="AL29" i="3"/>
  <c r="AM29" i="3"/>
  <c r="AH29" i="3"/>
  <c r="AI29" i="3"/>
  <c r="AE29" i="3"/>
  <c r="AL14" i="3"/>
  <c r="AO26" i="3"/>
  <c r="AM26" i="3"/>
  <c r="AM25" i="3"/>
  <c r="AM24" i="3"/>
  <c r="AO16" i="3"/>
  <c r="AM14" i="3"/>
  <c r="AD27" i="3"/>
  <c r="AE27" i="3"/>
  <c r="K19" i="77"/>
  <c r="AL5" i="3"/>
  <c r="K4" i="77"/>
  <c r="AN47" i="3"/>
  <c r="AN48" i="3"/>
  <c r="AN49" i="3"/>
  <c r="AN50" i="3"/>
  <c r="AN52" i="3"/>
  <c r="AN54" i="3"/>
  <c r="AN57" i="3"/>
  <c r="AN5" i="3"/>
  <c r="L6" i="77"/>
  <c r="K3" i="77"/>
  <c r="L3" i="77"/>
  <c r="L4" i="77"/>
  <c r="K5" i="77"/>
  <c r="L5" i="77"/>
  <c r="K6" i="77"/>
  <c r="K7" i="77"/>
  <c r="L7" i="77"/>
  <c r="K8" i="77"/>
  <c r="L8" i="77"/>
  <c r="K9" i="77"/>
  <c r="L9" i="77"/>
  <c r="K10" i="77"/>
  <c r="L10" i="77"/>
  <c r="K11" i="77"/>
  <c r="L11" i="77"/>
  <c r="K12" i="77"/>
  <c r="L12" i="77"/>
  <c r="K13" i="77"/>
  <c r="L13" i="77"/>
  <c r="K14" i="77"/>
  <c r="L14" i="77"/>
  <c r="K15" i="77"/>
  <c r="L15" i="77"/>
  <c r="K16" i="77"/>
  <c r="L16" i="77"/>
  <c r="K17" i="77"/>
  <c r="L17" i="77"/>
  <c r="K18" i="77"/>
  <c r="L18" i="77"/>
  <c r="L19" i="77"/>
  <c r="K20" i="77"/>
  <c r="L20" i="77"/>
  <c r="K21" i="77"/>
  <c r="L21" i="77"/>
  <c r="K22" i="77"/>
  <c r="L22" i="77"/>
  <c r="H14" i="3"/>
  <c r="AC14" i="3"/>
  <c r="G14" i="3"/>
  <c r="J5" i="78"/>
  <c r="J14" i="3"/>
  <c r="H15" i="3"/>
  <c r="AC15" i="3"/>
  <c r="G15" i="3"/>
  <c r="J8" i="78"/>
  <c r="J15" i="3"/>
  <c r="A5" i="77"/>
  <c r="H16" i="3"/>
  <c r="AC16" i="3"/>
  <c r="G16" i="3"/>
  <c r="H17" i="3"/>
  <c r="AC17" i="3"/>
  <c r="G17" i="3"/>
  <c r="J9" i="78"/>
  <c r="J17" i="3"/>
  <c r="A7" i="77"/>
  <c r="H18" i="3"/>
  <c r="AC18" i="3"/>
  <c r="G18" i="3"/>
  <c r="J10" i="78"/>
  <c r="J18" i="3"/>
  <c r="A8" i="77"/>
  <c r="H19" i="3"/>
  <c r="AC19" i="3"/>
  <c r="G19" i="3"/>
  <c r="J11" i="78"/>
  <c r="J19" i="3"/>
  <c r="A9" i="77"/>
  <c r="H20" i="3"/>
  <c r="AC20" i="3"/>
  <c r="G20" i="3"/>
  <c r="J12" i="78"/>
  <c r="J20" i="3"/>
  <c r="A10" i="77"/>
  <c r="H21" i="3"/>
  <c r="AC21" i="3"/>
  <c r="G21" i="3"/>
  <c r="J13" i="78"/>
  <c r="J21" i="3"/>
  <c r="A11" i="77"/>
  <c r="H22" i="3"/>
  <c r="AC22" i="3"/>
  <c r="G22" i="3"/>
  <c r="J14" i="78"/>
  <c r="J22" i="3"/>
  <c r="A12" i="77"/>
  <c r="AC23" i="3"/>
  <c r="H23" i="3"/>
  <c r="G23" i="3"/>
  <c r="A13" i="77"/>
  <c r="AC24" i="3"/>
  <c r="H24" i="3"/>
  <c r="G24" i="3"/>
  <c r="AC25" i="3"/>
  <c r="H25" i="3"/>
  <c r="G25" i="3"/>
  <c r="H26" i="3"/>
  <c r="AC26" i="3"/>
  <c r="G26" i="3"/>
  <c r="H27" i="3"/>
  <c r="AC27" i="3"/>
  <c r="G27" i="3"/>
  <c r="J3" i="78"/>
  <c r="J27" i="3"/>
  <c r="H28" i="3"/>
  <c r="AC28" i="3"/>
  <c r="G28" i="3"/>
  <c r="A18" i="77"/>
  <c r="H29" i="3"/>
  <c r="AC29" i="3"/>
  <c r="G29" i="3"/>
  <c r="H30" i="3"/>
  <c r="AC30" i="3"/>
  <c r="G30" i="3"/>
  <c r="A20" i="77"/>
  <c r="H31" i="3"/>
  <c r="AC31" i="3"/>
  <c r="G31" i="3"/>
  <c r="J6" i="78"/>
  <c r="J31" i="3"/>
  <c r="A21" i="77"/>
  <c r="H32" i="3"/>
  <c r="AC32" i="3"/>
  <c r="G32" i="3"/>
  <c r="J7" i="78"/>
  <c r="J32" i="3"/>
  <c r="A22" i="77"/>
  <c r="AC33" i="3"/>
  <c r="H33" i="3"/>
  <c r="G33" i="3"/>
  <c r="A23" i="77"/>
  <c r="AC34" i="3"/>
  <c r="H34" i="3"/>
  <c r="G34" i="3"/>
  <c r="A24" i="77"/>
  <c r="AC35" i="3"/>
  <c r="H35" i="3"/>
  <c r="G35" i="3"/>
  <c r="A25" i="77"/>
  <c r="AC36" i="3"/>
  <c r="H36" i="3"/>
  <c r="G36" i="3"/>
  <c r="A26" i="77"/>
  <c r="AC37" i="3"/>
  <c r="H37" i="3"/>
  <c r="G37" i="3"/>
  <c r="A27" i="77"/>
  <c r="AC38" i="3"/>
  <c r="H38" i="3"/>
  <c r="G38" i="3"/>
  <c r="A28" i="77"/>
  <c r="AC39" i="3"/>
  <c r="H39" i="3"/>
  <c r="G39" i="3"/>
  <c r="A29" i="77"/>
  <c r="AC40" i="3"/>
  <c r="H40" i="3"/>
  <c r="G40" i="3"/>
  <c r="A30" i="77"/>
  <c r="AC41" i="3"/>
  <c r="H41" i="3"/>
  <c r="G41" i="3"/>
  <c r="A31" i="77"/>
  <c r="AC42" i="3"/>
  <c r="H42" i="3"/>
  <c r="G42" i="3"/>
  <c r="A32" i="77"/>
  <c r="AC43" i="3"/>
  <c r="H43" i="3"/>
  <c r="G43" i="3"/>
  <c r="A33" i="77"/>
  <c r="AC44" i="3"/>
  <c r="H44" i="3"/>
  <c r="G44" i="3"/>
  <c r="A34" i="77"/>
  <c r="AC45" i="3"/>
  <c r="H45" i="3"/>
  <c r="G45" i="3"/>
  <c r="A35" i="77"/>
  <c r="AC46" i="3"/>
  <c r="H46" i="3"/>
  <c r="G46" i="3"/>
  <c r="A36" i="77"/>
  <c r="AC47" i="3"/>
  <c r="H47" i="3"/>
  <c r="G47" i="3"/>
  <c r="A37" i="77"/>
  <c r="AC48" i="3"/>
  <c r="H48" i="3"/>
  <c r="G48" i="3"/>
  <c r="A38" i="77"/>
  <c r="AC49" i="3"/>
  <c r="H49" i="3"/>
  <c r="G49" i="3"/>
  <c r="A39" i="77"/>
  <c r="AC50" i="3"/>
  <c r="H50" i="3"/>
  <c r="G50" i="3"/>
  <c r="A40" i="77"/>
  <c r="AC51" i="3"/>
  <c r="H51" i="3"/>
  <c r="G51" i="3"/>
  <c r="A41" i="77"/>
  <c r="AC52" i="3"/>
  <c r="H52" i="3"/>
  <c r="G52" i="3"/>
  <c r="A42" i="77"/>
  <c r="AC53" i="3"/>
  <c r="H53" i="3"/>
  <c r="G53" i="3"/>
  <c r="A43" i="77"/>
  <c r="AC54" i="3"/>
  <c r="H54" i="3"/>
  <c r="G54" i="3"/>
  <c r="A44" i="77"/>
  <c r="AC55" i="3"/>
  <c r="H55" i="3"/>
  <c r="G55" i="3"/>
  <c r="A45" i="77"/>
  <c r="AC56" i="3"/>
  <c r="H56" i="3"/>
  <c r="G56" i="3"/>
  <c r="A46" i="77"/>
  <c r="AC57" i="3"/>
  <c r="H57" i="3"/>
  <c r="G57" i="3"/>
  <c r="A47" i="77"/>
  <c r="AC58" i="3"/>
  <c r="H58" i="3"/>
  <c r="AT58" i="3"/>
  <c r="G58" i="3"/>
  <c r="A48" i="77"/>
  <c r="AC59" i="3"/>
  <c r="H59" i="3"/>
  <c r="G59" i="3"/>
  <c r="A49" i="77"/>
  <c r="H13" i="3"/>
  <c r="AC13" i="3"/>
  <c r="G13" i="3"/>
  <c r="J4" i="78"/>
  <c r="J13" i="3"/>
  <c r="A3" i="77"/>
  <c r="A50" i="77"/>
  <c r="H3" i="77"/>
  <c r="H4" i="77"/>
  <c r="H5" i="77"/>
  <c r="H6" i="77"/>
  <c r="H7" i="77"/>
  <c r="H17" i="77"/>
  <c r="H18" i="77"/>
  <c r="H19" i="77"/>
  <c r="H20" i="77"/>
  <c r="H16" i="77"/>
  <c r="H8" i="77"/>
  <c r="H9" i="77"/>
  <c r="H10" i="77"/>
  <c r="H11" i="77"/>
  <c r="H12" i="77"/>
  <c r="H13" i="77"/>
  <c r="H14" i="77"/>
  <c r="H15" i="77"/>
  <c r="H21" i="77"/>
  <c r="H22" i="77"/>
  <c r="R7"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Q7" i="77"/>
  <c r="S7" i="77"/>
  <c r="G3" i="77"/>
  <c r="G4" i="77"/>
  <c r="G5" i="77"/>
  <c r="G6" i="77"/>
  <c r="G7" i="77"/>
  <c r="G8" i="77"/>
  <c r="G9" i="77"/>
  <c r="G10" i="77"/>
  <c r="G11" i="77"/>
  <c r="G12" i="77"/>
  <c r="G17" i="77"/>
  <c r="G18" i="77"/>
  <c r="G19" i="77"/>
  <c r="G20" i="77"/>
  <c r="G21" i="77"/>
  <c r="G22" i="77"/>
  <c r="G13" i="77"/>
  <c r="G14" i="77"/>
  <c r="G15" i="77"/>
  <c r="G16" i="77"/>
  <c r="R3"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Q5" i="77"/>
  <c r="Q4" i="77"/>
  <c r="Q3" i="77"/>
  <c r="S3" i="77"/>
  <c r="F19" i="6"/>
  <c r="BB13" i="3"/>
  <c r="BB14" i="3"/>
  <c r="BB60" i="3"/>
  <c r="BB15" i="3"/>
  <c r="BB16" i="3"/>
  <c r="BB61" i="3"/>
  <c r="BB17" i="3"/>
  <c r="BB18" i="3"/>
  <c r="BB19" i="3"/>
  <c r="BB20" i="3"/>
  <c r="BB21" i="3"/>
  <c r="BB22" i="3"/>
  <c r="BB24" i="3"/>
  <c r="BB25" i="3"/>
  <c r="BB26" i="3"/>
  <c r="BB27" i="3"/>
  <c r="BB62" i="3"/>
  <c r="BB28" i="3"/>
  <c r="BB29" i="3"/>
  <c r="BB63" i="3"/>
  <c r="BB30" i="3"/>
  <c r="BB31" i="3"/>
  <c r="BB32" i="3"/>
  <c r="BB59" i="3"/>
  <c r="BB23"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F11" i="3"/>
  <c r="BB11" i="3"/>
  <c r="BC11" i="3"/>
  <c r="BD11" i="3"/>
  <c r="BE11" i="3"/>
  <c r="BG11" i="3"/>
  <c r="BH11" i="3"/>
  <c r="BI11" i="3"/>
  <c r="BJ11" i="3"/>
  <c r="BK11" i="3"/>
  <c r="BM11" i="3"/>
  <c r="BN11" i="3"/>
  <c r="BO11" i="3"/>
  <c r="BP11" i="3"/>
  <c r="BQ11" i="3"/>
  <c r="BR11" i="3"/>
  <c r="BS11" i="3"/>
  <c r="BT11" i="3"/>
  <c r="F5"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M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E9" i="68"/>
  <c r="E3" i="6"/>
  <c r="E6" i="6"/>
  <c r="E10" i="68"/>
  <c r="C1" i="73"/>
  <c r="J1" i="73"/>
  <c r="B22" i="1"/>
  <c r="E1" i="73"/>
  <c r="K1" i="73"/>
  <c r="A6" i="1"/>
  <c r="A7" i="1"/>
  <c r="A8" i="1"/>
  <c r="A9" i="1"/>
  <c r="G1" i="15"/>
  <c r="F22" i="6"/>
  <c r="E22" i="6"/>
  <c r="K9" i="1"/>
  <c r="L1" i="73"/>
  <c r="B43" i="1"/>
  <c r="B41" i="1"/>
  <c r="F32" i="15"/>
  <c r="B2" i="1"/>
  <c r="C42" i="1"/>
  <c r="F33" i="15"/>
  <c r="B3" i="3"/>
  <c r="AY6" i="3"/>
  <c r="D3" i="6"/>
  <c r="D22" i="6"/>
  <c r="E19" i="6"/>
  <c r="F20" i="6"/>
  <c r="F21" i="6"/>
  <c r="BF10" i="3"/>
  <c r="BB10" i="3"/>
  <c r="BC10" i="3"/>
  <c r="BD10" i="3"/>
  <c r="BE10" i="3"/>
  <c r="BG10" i="3"/>
  <c r="BH10" i="3"/>
  <c r="BI10" i="3"/>
  <c r="BJ10" i="3"/>
  <c r="BK10" i="3"/>
  <c r="E8" i="6"/>
  <c r="F27" i="6"/>
  <c r="E20" i="6"/>
  <c r="E21" i="6"/>
  <c r="G23" i="6"/>
  <c r="E23" i="6"/>
  <c r="G24" i="6"/>
  <c r="E24" i="6"/>
  <c r="E25" i="6"/>
  <c r="E26" i="6"/>
  <c r="E27" i="6"/>
  <c r="F28" i="6"/>
  <c r="G28" i="6"/>
  <c r="E28" i="6"/>
  <c r="K22" i="6"/>
  <c r="L22" i="6"/>
  <c r="M22" i="6"/>
  <c r="I22" i="6"/>
  <c r="H22" i="6"/>
  <c r="R22" i="6"/>
  <c r="B59" i="1"/>
  <c r="B52" i="1"/>
  <c r="F34" i="15"/>
  <c r="M9" i="1"/>
  <c r="S9" i="1"/>
  <c r="T9" i="1"/>
  <c r="F17" i="15"/>
  <c r="F18" i="15"/>
  <c r="F23" i="15"/>
  <c r="F28" i="15"/>
  <c r="C28" i="15"/>
  <c r="E15" i="4"/>
  <c r="F9" i="1"/>
  <c r="M47" i="15"/>
  <c r="J50" i="15"/>
  <c r="J51" i="15"/>
  <c r="A10" i="1"/>
  <c r="A11" i="1"/>
  <c r="G1" i="82"/>
  <c r="K11" i="1"/>
  <c r="F32" i="82"/>
  <c r="F33" i="82"/>
  <c r="D24" i="6"/>
  <c r="K24" i="6"/>
  <c r="L24" i="6"/>
  <c r="M24" i="6"/>
  <c r="I24" i="6"/>
  <c r="H24" i="6"/>
  <c r="R24" i="6"/>
  <c r="F34" i="82"/>
  <c r="M11" i="1"/>
  <c r="S11" i="1"/>
  <c r="T11" i="1"/>
  <c r="F17" i="82"/>
  <c r="F18" i="82"/>
  <c r="F23" i="82"/>
  <c r="F28" i="82"/>
  <c r="C28" i="82"/>
  <c r="G15" i="4"/>
  <c r="F11" i="1"/>
  <c r="M47" i="82"/>
  <c r="J50" i="82"/>
  <c r="J51" i="82"/>
  <c r="C33" i="21"/>
  <c r="F33" i="21"/>
  <c r="AA33" i="21"/>
  <c r="I4" i="6"/>
  <c r="C11" i="21"/>
  <c r="E47" i="21"/>
  <c r="R47" i="2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E37"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H33" i="21"/>
  <c r="AB33" i="21"/>
  <c r="G47"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D101" i="21"/>
  <c r="E101" i="21"/>
  <c r="H32" i="21"/>
  <c r="AB32"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J33" i="21"/>
  <c r="AC33" i="21"/>
  <c r="I47" i="21"/>
  <c r="V47" i="21"/>
  <c r="I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I37" i="21"/>
  <c r="J37" i="21"/>
  <c r="AC37" i="21"/>
  <c r="J38" i="21"/>
  <c r="AC38" i="21"/>
  <c r="J39" i="21"/>
  <c r="AC39" i="21"/>
  <c r="J40" i="21"/>
  <c r="AC40" i="21"/>
  <c r="J41" i="21"/>
  <c r="AC41" i="21"/>
  <c r="J42" i="21"/>
  <c r="AC42" i="21"/>
  <c r="J43" i="21"/>
  <c r="AC43" i="21"/>
  <c r="J44" i="21"/>
  <c r="AC44" i="21"/>
  <c r="J45" i="21"/>
  <c r="AC45" i="21"/>
  <c r="J46" i="21"/>
  <c r="AC46" i="21"/>
  <c r="D3" i="21"/>
  <c r="D2" i="21"/>
  <c r="B24" i="31"/>
  <c r="B25" i="31"/>
  <c r="C25" i="31"/>
  <c r="G25" i="31"/>
  <c r="I25" i="31"/>
  <c r="K25" i="31"/>
  <c r="M25" i="31"/>
  <c r="O25" i="31"/>
  <c r="Q25" i="31"/>
  <c r="B26" i="31"/>
  <c r="C26" i="31"/>
  <c r="G26" i="31"/>
  <c r="I26" i="31"/>
  <c r="K26" i="31"/>
  <c r="M26" i="31"/>
  <c r="O26" i="31"/>
  <c r="Q26" i="31"/>
  <c r="K6" i="1"/>
  <c r="M6" i="1"/>
  <c r="N6" i="1"/>
  <c r="O6" i="1"/>
  <c r="P6" i="1"/>
  <c r="K7" i="1"/>
  <c r="M7" i="1"/>
  <c r="O7" i="1"/>
  <c r="P7" i="1"/>
  <c r="K8" i="1"/>
  <c r="M8" i="1"/>
  <c r="O8" i="1"/>
  <c r="P8" i="1"/>
  <c r="N9" i="1"/>
  <c r="O9" i="1"/>
  <c r="P9" i="1"/>
  <c r="K10" i="1"/>
  <c r="M10" i="1"/>
  <c r="O10" i="1"/>
  <c r="P10" i="1"/>
  <c r="O11" i="1"/>
  <c r="P11" i="1"/>
  <c r="A12" i="1"/>
  <c r="K12" i="1"/>
  <c r="M12" i="1"/>
  <c r="O12" i="1"/>
  <c r="P12" i="1"/>
  <c r="A13" i="1"/>
  <c r="K13" i="1"/>
  <c r="M13" i="1"/>
  <c r="O13" i="1"/>
  <c r="P13" i="1"/>
  <c r="K14" i="1"/>
  <c r="M14" i="1"/>
  <c r="N14" i="1"/>
  <c r="O14" i="1"/>
  <c r="P14" i="1"/>
  <c r="P16" i="1"/>
  <c r="F15" i="12"/>
  <c r="E17" i="12"/>
  <c r="E19" i="12"/>
  <c r="E20" i="12"/>
  <c r="C17" i="9"/>
  <c r="D17" i="9"/>
  <c r="C18" i="9"/>
  <c r="D18" i="9"/>
  <c r="M16" i="1"/>
  <c r="E6" i="12"/>
  <c r="D6" i="12"/>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I3" i="77"/>
  <c r="I4" i="77"/>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Q6" i="77"/>
  <c r="J4" i="77"/>
  <c r="J5" i="77"/>
  <c r="J6" i="77"/>
  <c r="J7" i="77"/>
  <c r="J8" i="77"/>
  <c r="J9" i="77"/>
  <c r="J10" i="77"/>
  <c r="J11" i="77"/>
  <c r="J12" i="77"/>
  <c r="J13" i="77"/>
  <c r="J14" i="77"/>
  <c r="J15" i="77"/>
  <c r="J16" i="77"/>
  <c r="J17" i="77"/>
  <c r="J18" i="77"/>
  <c r="J19" i="77"/>
  <c r="J20" i="77"/>
  <c r="J21" i="77"/>
  <c r="J22" i="77"/>
  <c r="J23" i="77"/>
  <c r="J24" i="77"/>
  <c r="J25" i="77"/>
  <c r="J26" i="77"/>
  <c r="J27" i="77"/>
  <c r="J28" i="77"/>
  <c r="J29" i="77"/>
  <c r="J30" i="77"/>
  <c r="J31" i="77"/>
  <c r="J32" i="77"/>
  <c r="J33" i="77"/>
  <c r="J34" i="77"/>
  <c r="J35" i="77"/>
  <c r="J36" i="77"/>
  <c r="J37" i="77"/>
  <c r="J38" i="77"/>
  <c r="J39" i="77"/>
  <c r="J40" i="77"/>
  <c r="J41" i="77"/>
  <c r="J42" i="77"/>
  <c r="J43" i="77"/>
  <c r="J44" i="77"/>
  <c r="J45" i="77"/>
  <c r="J46" i="77"/>
  <c r="J47" i="77"/>
  <c r="J48" i="77"/>
  <c r="J49" i="77"/>
  <c r="J3" i="77"/>
  <c r="C48" i="77"/>
  <c r="C49" i="77"/>
  <c r="C14" i="77"/>
  <c r="C15" i="77"/>
  <c r="C16" i="77"/>
  <c r="N81" i="80"/>
  <c r="N80" i="80"/>
  <c r="N82" i="80"/>
  <c r="M82" i="80"/>
  <c r="M84" i="80"/>
  <c r="D6" i="73"/>
  <c r="C76" i="82"/>
  <c r="C75" i="82"/>
  <c r="C80" i="82"/>
  <c r="C79" i="82"/>
  <c r="L60" i="82"/>
  <c r="Q66" i="82"/>
  <c r="D11" i="1"/>
  <c r="L47"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Q70" i="82"/>
  <c r="Q69" i="82"/>
  <c r="Q68" i="82"/>
  <c r="L51" i="82"/>
  <c r="Q67" i="82"/>
  <c r="Q57" i="82"/>
  <c r="P61" i="82"/>
  <c r="Q60" i="82"/>
  <c r="Q59" i="82"/>
  <c r="N59" i="82"/>
  <c r="J59" i="82"/>
  <c r="F59" i="82"/>
  <c r="Q58" i="82"/>
  <c r="J57" i="82"/>
  <c r="J55" i="82"/>
  <c r="J58" i="82"/>
  <c r="L57" i="82"/>
  <c r="L56" i="82"/>
  <c r="I54" i="82"/>
  <c r="Q48" i="82"/>
  <c r="Q51" i="82"/>
  <c r="Q50" i="82"/>
  <c r="Q49" i="82"/>
  <c r="D46" i="82"/>
  <c r="F31" i="82"/>
  <c r="M29" i="82"/>
  <c r="M28" i="82"/>
  <c r="AG11" i="1"/>
  <c r="M27" i="82"/>
  <c r="M26" i="82"/>
  <c r="M18" i="82"/>
  <c r="J18" i="82"/>
  <c r="M19" i="82"/>
  <c r="J19" i="82"/>
  <c r="M20" i="82"/>
  <c r="M21" i="82"/>
  <c r="J20" i="82"/>
  <c r="J17" i="82"/>
  <c r="J14" i="82"/>
  <c r="M22" i="82"/>
  <c r="J22" i="82"/>
  <c r="J15" i="82"/>
  <c r="J13" i="82"/>
  <c r="M23" i="82"/>
  <c r="J23" i="82"/>
  <c r="M24" i="82"/>
  <c r="J24" i="82"/>
  <c r="J16" i="82"/>
  <c r="J25" i="82"/>
  <c r="D24" i="82"/>
  <c r="D23" i="82"/>
  <c r="D22" i="82"/>
  <c r="M17" i="82"/>
  <c r="D82" i="39"/>
  <c r="C82" i="39"/>
  <c r="I38" i="39"/>
  <c r="G38" i="39"/>
  <c r="E38" i="39"/>
  <c r="I46" i="39"/>
  <c r="G46" i="39"/>
  <c r="E46" i="39"/>
  <c r="I7" i="39"/>
  <c r="G7" i="39"/>
  <c r="E7" i="39"/>
  <c r="I5" i="39"/>
  <c r="G5" i="39"/>
  <c r="E5" i="39"/>
  <c r="C6" i="12"/>
  <c r="H61" i="39"/>
  <c r="I61" i="39"/>
  <c r="C61" i="39"/>
  <c r="C7" i="39"/>
  <c r="C68" i="39"/>
  <c r="C70" i="39"/>
  <c r="D68" i="39"/>
  <c r="D70" i="39"/>
  <c r="D71"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1" i="39"/>
  <c r="F71" i="39"/>
  <c r="G71" i="39"/>
  <c r="H71" i="39"/>
  <c r="I71" i="39"/>
  <c r="J71" i="39"/>
  <c r="K71" i="39"/>
  <c r="L71" i="39"/>
  <c r="M71" i="39"/>
  <c r="F7" i="39"/>
  <c r="AA7" i="39"/>
  <c r="B82" i="39"/>
  <c r="F12" i="39"/>
  <c r="AA12" i="39"/>
  <c r="R46" i="39"/>
  <c r="D91" i="39"/>
  <c r="E91" i="39"/>
  <c r="F17" i="39"/>
  <c r="AA17" i="39"/>
  <c r="F34" i="39"/>
  <c r="AA34" i="39"/>
  <c r="B110" i="39"/>
  <c r="F35" i="39"/>
  <c r="AA35" i="39"/>
  <c r="B112" i="39"/>
  <c r="F36" i="39"/>
  <c r="AA36" i="39"/>
  <c r="B114" i="39"/>
  <c r="F37" i="39"/>
  <c r="AA37" i="39"/>
  <c r="C38" i="39"/>
  <c r="F38" i="39"/>
  <c r="AA38" i="39"/>
  <c r="F41" i="39"/>
  <c r="AA41" i="39"/>
  <c r="B127" i="39"/>
  <c r="F43" i="39"/>
  <c r="AA43" i="39"/>
  <c r="B129" i="39"/>
  <c r="F44" i="39"/>
  <c r="AA44" i="39"/>
  <c r="B131" i="39"/>
  <c r="F45" i="39"/>
  <c r="AA45" i="39"/>
  <c r="D81" i="39"/>
  <c r="C11" i="39"/>
  <c r="F11" i="39"/>
  <c r="AA11" i="39"/>
  <c r="B84" i="39"/>
  <c r="F13" i="39"/>
  <c r="AA13" i="39"/>
  <c r="B86" i="39"/>
  <c r="F14" i="39"/>
  <c r="AA14" i="39"/>
  <c r="D107" i="39"/>
  <c r="E107" i="39"/>
  <c r="F107" i="39"/>
  <c r="F32" i="39"/>
  <c r="AA32" i="39"/>
  <c r="H7" i="39"/>
  <c r="AB7" i="39"/>
  <c r="E81" i="39"/>
  <c r="H11" i="39"/>
  <c r="AB11" i="39"/>
  <c r="H12" i="39"/>
  <c r="AB12" i="39"/>
  <c r="T46" i="39"/>
  <c r="D89" i="39"/>
  <c r="E89" i="39"/>
  <c r="H15" i="39"/>
  <c r="AB15" i="39"/>
  <c r="H17" i="39"/>
  <c r="AB17" i="39"/>
  <c r="D95" i="39"/>
  <c r="E95" i="39"/>
  <c r="H21" i="39"/>
  <c r="AB21" i="39"/>
  <c r="D99" i="39"/>
  <c r="H25" i="39"/>
  <c r="AB25" i="39"/>
  <c r="D101" i="39"/>
  <c r="E101" i="39"/>
  <c r="H27" i="39"/>
  <c r="AB27" i="39"/>
  <c r="H34" i="39"/>
  <c r="AB34" i="39"/>
  <c r="H35" i="39"/>
  <c r="AB35" i="39"/>
  <c r="H36" i="39"/>
  <c r="AB36" i="39"/>
  <c r="H37" i="39"/>
  <c r="AB37" i="39"/>
  <c r="H38" i="39"/>
  <c r="AB38" i="39"/>
  <c r="D120" i="39"/>
  <c r="E120" i="39"/>
  <c r="H39" i="39"/>
  <c r="AB39" i="39"/>
  <c r="D124" i="39"/>
  <c r="H41" i="39"/>
  <c r="AB41" i="39"/>
  <c r="H43" i="39"/>
  <c r="AB43" i="39"/>
  <c r="H44" i="39"/>
  <c r="AB44" i="39"/>
  <c r="H45" i="39"/>
  <c r="AB45" i="39"/>
  <c r="H13" i="39"/>
  <c r="AB13" i="39"/>
  <c r="H14" i="39"/>
  <c r="AB14" i="39"/>
  <c r="H32" i="39"/>
  <c r="AB32" i="39"/>
  <c r="J7" i="39"/>
  <c r="AC7" i="39"/>
  <c r="J11" i="39"/>
  <c r="AC11" i="39"/>
  <c r="J12" i="39"/>
  <c r="AC12" i="39"/>
  <c r="V46" i="39"/>
  <c r="J15" i="39"/>
  <c r="AC15" i="39"/>
  <c r="J17" i="39"/>
  <c r="AC17" i="39"/>
  <c r="J21" i="39"/>
  <c r="AC21" i="39"/>
  <c r="J27" i="39"/>
  <c r="AC27" i="39"/>
  <c r="J34" i="39"/>
  <c r="AC34" i="39"/>
  <c r="J35" i="39"/>
  <c r="AC35" i="39"/>
  <c r="J36" i="39"/>
  <c r="AC36" i="39"/>
  <c r="J37" i="39"/>
  <c r="AC37" i="39"/>
  <c r="J38" i="39"/>
  <c r="AC38" i="39"/>
  <c r="J39" i="39"/>
  <c r="AC39" i="39"/>
  <c r="E124" i="39"/>
  <c r="F124" i="39"/>
  <c r="G124" i="39"/>
  <c r="J41" i="39"/>
  <c r="AC41" i="39"/>
  <c r="J43" i="39"/>
  <c r="AC43" i="39"/>
  <c r="J44" i="39"/>
  <c r="AC44" i="39"/>
  <c r="J45" i="39"/>
  <c r="AC45" i="39"/>
  <c r="J13" i="39"/>
  <c r="AC13" i="39"/>
  <c r="J14" i="39"/>
  <c r="AC14" i="39"/>
  <c r="J32" i="39"/>
  <c r="AC32" i="39"/>
  <c r="H62" i="39"/>
  <c r="I62" i="39"/>
  <c r="C62" i="39"/>
  <c r="H63" i="39"/>
  <c r="I63" i="39"/>
  <c r="C63" i="39"/>
  <c r="H65" i="39"/>
  <c r="I65" i="39"/>
  <c r="C65" i="39"/>
  <c r="D15" i="4"/>
  <c r="C10" i="39"/>
  <c r="G192" i="78"/>
  <c r="E192" i="78"/>
  <c r="J15" i="78"/>
  <c r="K3" i="78"/>
  <c r="K4" i="78"/>
  <c r="K5" i="78"/>
  <c r="K6" i="78"/>
  <c r="K7" i="78"/>
  <c r="K8" i="78"/>
  <c r="K9" i="78"/>
  <c r="K10" i="78"/>
  <c r="K11" i="78"/>
  <c r="K12" i="78"/>
  <c r="K13" i="78"/>
  <c r="K14" i="78"/>
  <c r="K15" i="78"/>
  <c r="F192" i="78"/>
  <c r="I8" i="1"/>
  <c r="H8" i="1"/>
  <c r="I7" i="1"/>
  <c r="H7" i="1"/>
  <c r="H13" i="4"/>
  <c r="B55" i="1"/>
  <c r="B56" i="1"/>
  <c r="B57" i="1"/>
  <c r="B58" i="1"/>
  <c r="B54" i="1"/>
  <c r="C4" i="77"/>
  <c r="C5" i="77"/>
  <c r="C6" i="77"/>
  <c r="C7" i="77"/>
  <c r="C8" i="77"/>
  <c r="C9" i="77"/>
  <c r="C10" i="77"/>
  <c r="C11" i="77"/>
  <c r="C12" i="77"/>
  <c r="C13" i="77"/>
  <c r="C17" i="77"/>
  <c r="C18" i="77"/>
  <c r="C19" i="77"/>
  <c r="C20" i="77"/>
  <c r="C21" i="77"/>
  <c r="C22" i="77"/>
  <c r="C23" i="77"/>
  <c r="C24" i="77"/>
  <c r="C25" i="77"/>
  <c r="C26" i="77"/>
  <c r="C27" i="77"/>
  <c r="C28" i="77"/>
  <c r="C29" i="77"/>
  <c r="C30" i="77"/>
  <c r="C31" i="77"/>
  <c r="C32" i="77"/>
  <c r="C33" i="77"/>
  <c r="C34" i="77"/>
  <c r="C35" i="77"/>
  <c r="C36" i="77"/>
  <c r="C37" i="77"/>
  <c r="C38" i="77"/>
  <c r="C39" i="77"/>
  <c r="C40" i="77"/>
  <c r="C41" i="77"/>
  <c r="C42" i="77"/>
  <c r="C43" i="77"/>
  <c r="C44" i="77"/>
  <c r="C45" i="77"/>
  <c r="C46" i="77"/>
  <c r="C47" i="77"/>
  <c r="C3" i="77"/>
  <c r="C11" i="4"/>
  <c r="B7" i="4"/>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24" i="12"/>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3"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0"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5" i="4"/>
  <c r="F8" i="1"/>
  <c r="H15" i="4"/>
  <c r="F10" i="1"/>
  <c r="F12" i="1"/>
  <c r="F13" i="1"/>
  <c r="D6" i="1"/>
  <c r="D9" i="1"/>
  <c r="D10"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4" i="39"/>
  <c r="I64" i="39"/>
  <c r="C64" i="39"/>
  <c r="H60" i="39"/>
  <c r="I60" i="39"/>
  <c r="C60" i="39"/>
  <c r="H59" i="39"/>
  <c r="I59" i="39"/>
  <c r="C59" i="39"/>
  <c r="H58" i="39"/>
  <c r="I58" i="39"/>
  <c r="C58" i="39"/>
  <c r="H57" i="39"/>
  <c r="I57" i="39"/>
  <c r="C57" i="39"/>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E1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F120" i="39"/>
  <c r="G120" i="39"/>
  <c r="H120" i="39"/>
  <c r="I120" i="39"/>
  <c r="J120" i="39"/>
  <c r="K120" i="39"/>
  <c r="L120" i="39"/>
  <c r="M120" i="39"/>
  <c r="D109"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F95" i="39"/>
  <c r="D93" i="39"/>
  <c r="E93" i="39"/>
  <c r="F93" i="39"/>
  <c r="G93" i="39"/>
  <c r="F91" i="39"/>
  <c r="G91" i="39"/>
  <c r="F89" i="39"/>
  <c r="G89" i="39"/>
  <c r="M79" i="39"/>
  <c r="L79" i="39"/>
  <c r="K79" i="39"/>
  <c r="J79" i="39"/>
  <c r="I79" i="39"/>
  <c r="H79" i="39"/>
  <c r="G79" i="39"/>
  <c r="F79" i="39"/>
  <c r="E79" i="39"/>
  <c r="D79" i="39"/>
  <c r="C79" i="39"/>
  <c r="P48" i="39"/>
  <c r="P47"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U34" i="39"/>
  <c r="E109" i="39"/>
  <c r="H31" i="39"/>
  <c r="AB31" i="39"/>
  <c r="F31" i="39"/>
  <c r="AA31" i="39"/>
  <c r="H19" i="39"/>
  <c r="AB19" i="39"/>
  <c r="F19" i="39"/>
  <c r="AA19" i="39"/>
  <c r="J23" i="40"/>
  <c r="AC23" i="40"/>
  <c r="F21" i="40"/>
  <c r="AA21" i="40"/>
  <c r="J21" i="40"/>
  <c r="W21" i="40"/>
  <c r="H42" i="39"/>
  <c r="AB42" i="39"/>
  <c r="F109" i="39"/>
  <c r="G109" i="39"/>
  <c r="H109" i="39"/>
  <c r="I109" i="39"/>
  <c r="J109" i="39"/>
  <c r="K109" i="39"/>
  <c r="L109" i="39"/>
  <c r="M109" i="39"/>
  <c r="J31" i="39"/>
  <c r="F101" i="39"/>
  <c r="U27" i="39"/>
  <c r="J19" i="39"/>
  <c r="AC19"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M27" i="31"/>
  <c r="M28"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W43" i="39"/>
  <c r="U45" i="39"/>
  <c r="U44" i="39"/>
  <c r="G101" i="39"/>
  <c r="W37" i="39"/>
  <c r="J25" i="39"/>
  <c r="F25" i="39"/>
  <c r="AA25" i="39"/>
  <c r="F15" i="39"/>
  <c r="AA15"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F29" i="6"/>
  <c r="U36" i="40"/>
  <c r="F36" i="43"/>
  <c r="F81" i="43"/>
  <c r="H83" i="43"/>
  <c r="F48" i="43"/>
  <c r="H52" i="43"/>
  <c r="F70" i="43"/>
  <c r="H73" i="43"/>
  <c r="M11" i="43"/>
  <c r="D17" i="43"/>
  <c r="F39" i="43"/>
  <c r="I17" i="43"/>
  <c r="F35" i="43"/>
  <c r="J17" i="43"/>
  <c r="F6" i="1"/>
  <c r="U17" i="39"/>
  <c r="S14" i="35"/>
  <c r="U43" i="21"/>
  <c r="U35" i="21"/>
  <c r="U10" i="21"/>
  <c r="G8" i="1"/>
  <c r="G9"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D93" i="9"/>
  <c r="E12" i="6"/>
  <c r="E15" i="6"/>
  <c r="E60" i="40"/>
  <c r="E13" i="6"/>
  <c r="E58" i="40"/>
  <c r="G29" i="6"/>
  <c r="E29" i="6"/>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K23" i="6"/>
  <c r="S10" i="1"/>
  <c r="AQ10" i="1"/>
  <c r="M23" i="6"/>
  <c r="I23" i="6"/>
  <c r="H23" i="6"/>
  <c r="D23" i="6"/>
  <c r="R23" i="6"/>
  <c r="B10" i="1"/>
  <c r="E10" i="1"/>
  <c r="D1" i="66"/>
  <c r="E10" i="66"/>
  <c r="S13" i="1"/>
  <c r="AR13" i="1"/>
  <c r="R13" i="1"/>
  <c r="AQ11" i="1"/>
  <c r="AR9" i="1"/>
  <c r="J51" i="67"/>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25" i="39"/>
  <c r="U31" i="39"/>
  <c r="S25" i="39"/>
  <c r="F21"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S13" i="39"/>
  <c r="S14" i="39"/>
  <c r="U43" i="39"/>
  <c r="U11" i="39"/>
  <c r="AA27" i="39"/>
  <c r="S27" i="39"/>
  <c r="W17" i="39"/>
  <c r="W31" i="39"/>
  <c r="AC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3" i="49"/>
  <c r="E4" i="4"/>
  <c r="B11" i="49"/>
  <c r="C4" i="4"/>
  <c r="K4" i="4"/>
  <c r="B46" i="48"/>
  <c r="B4" i="72"/>
  <c r="AQ13" i="1"/>
  <c r="F30" i="68"/>
  <c r="F30" i="11"/>
  <c r="C48" i="11"/>
  <c r="F28" i="67"/>
  <c r="F52" i="9"/>
  <c r="M18" i="67"/>
  <c r="F32" i="67"/>
  <c r="F60" i="67"/>
  <c r="F30" i="69"/>
  <c r="C48" i="69"/>
  <c r="F60" i="15"/>
  <c r="M18" i="15"/>
  <c r="E63" i="39"/>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H107" i="39"/>
  <c r="I107" i="39"/>
  <c r="J107" i="39"/>
  <c r="K107" i="39"/>
  <c r="L107" i="39"/>
  <c r="M107" i="39"/>
  <c r="S32" i="39"/>
  <c r="U21" i="39"/>
  <c r="AA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O16" i="1"/>
  <c r="S20" i="6"/>
  <c r="I19" i="6"/>
  <c r="M27" i="6"/>
  <c r="AC11" i="37"/>
  <c r="W11" i="37"/>
  <c r="W11" i="34"/>
  <c r="AC11" i="34"/>
  <c r="H20" i="6"/>
  <c r="B2" i="74"/>
  <c r="E6" i="3"/>
  <c r="D10" i="11"/>
  <c r="C10" i="11"/>
  <c r="D19" i="6"/>
  <c r="D25" i="6"/>
  <c r="D26" i="6"/>
  <c r="D15" i="6"/>
  <c r="C18" i="4"/>
  <c r="D8" i="6"/>
  <c r="D21" i="6"/>
  <c r="D14" i="6"/>
  <c r="D20" i="6"/>
  <c r="R20" i="6"/>
  <c r="R7" i="1"/>
  <c r="D5" i="6"/>
  <c r="D6" i="6"/>
  <c r="D12" i="6"/>
  <c r="D9" i="6"/>
  <c r="D11" i="6"/>
  <c r="D10" i="6"/>
  <c r="D13" i="6"/>
  <c r="L19" i="9"/>
  <c r="D28" i="6"/>
  <c r="D29" i="6"/>
  <c r="E61" i="40"/>
  <c r="H25" i="6"/>
  <c r="R25" i="6"/>
  <c r="H21" i="6"/>
  <c r="H26" i="6"/>
  <c r="H19" i="6"/>
  <c r="S19" i="6"/>
  <c r="S27" i="6"/>
  <c r="I27" i="6"/>
  <c r="L16" i="1"/>
  <c r="R26" i="6"/>
  <c r="R21" i="6"/>
  <c r="R8" i="1"/>
  <c r="D30" i="6"/>
  <c r="D16" i="6"/>
  <c r="A7" i="51"/>
  <c r="B7" i="72"/>
  <c r="C4" i="52"/>
  <c r="B45" i="72"/>
  <c r="A10" i="51"/>
  <c r="B9" i="72"/>
  <c r="D27" i="6"/>
  <c r="H27" i="6"/>
  <c r="R19" i="6"/>
  <c r="D31" i="6"/>
  <c r="I6" i="6"/>
  <c r="R27" i="6"/>
  <c r="R6" i="1"/>
  <c r="I5" i="6"/>
  <c r="E2" i="70"/>
  <c r="C34" i="69"/>
  <c r="D10" i="69"/>
  <c r="C10" i="69"/>
  <c r="S16" i="1"/>
  <c r="AE7" i="1"/>
  <c r="T16" i="1"/>
  <c r="AE8" i="1"/>
  <c r="AE6" i="1"/>
  <c r="AG6" i="1"/>
  <c r="C19" i="68"/>
  <c r="H110" i="9"/>
  <c r="D18" i="53"/>
  <c r="B35" i="72"/>
  <c r="D124" i="9"/>
  <c r="D16" i="53"/>
  <c r="B34" i="72"/>
  <c r="D10" i="52"/>
  <c r="H14" i="74"/>
  <c r="D17" i="53"/>
  <c r="B36" i="72"/>
  <c r="D125" i="9"/>
  <c r="D11" i="52"/>
  <c r="B7" i="74"/>
  <c r="D7" i="74"/>
  <c r="C7" i="74"/>
  <c r="J7" i="33"/>
  <c r="W7" i="33"/>
  <c r="F7" i="33"/>
  <c r="S7" i="33"/>
  <c r="H7" i="33"/>
  <c r="AB7" i="33"/>
  <c r="T48" i="33"/>
  <c r="G48" i="33"/>
  <c r="H107" i="9"/>
  <c r="N61" i="9"/>
  <c r="H112" i="9"/>
  <c r="D21" i="53"/>
  <c r="B39" i="72"/>
  <c r="H111" i="9"/>
  <c r="D126" i="9"/>
  <c r="D19" i="53"/>
  <c r="D59" i="9"/>
  <c r="M55" i="9"/>
  <c r="B38" i="72"/>
  <c r="D20" i="53"/>
  <c r="B40" i="72"/>
  <c r="I14" i="74"/>
  <c r="B8" i="74"/>
  <c r="D127" i="9"/>
  <c r="D13" i="52"/>
  <c r="D12" i="52"/>
  <c r="D8" i="74"/>
  <c r="C8" i="74"/>
  <c r="B4" i="62"/>
  <c r="B71" i="72"/>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48" i="68"/>
  <c r="D11" i="71"/>
  <c r="D12" i="71"/>
  <c r="D13" i="71"/>
  <c r="U13" i="71"/>
  <c r="S13" i="71"/>
  <c r="T13" i="71"/>
  <c r="AB11" i="71"/>
  <c r="X9" i="71"/>
  <c r="X8" i="71"/>
  <c r="AA9" i="71"/>
  <c r="AA8" i="71"/>
  <c r="X12" i="71"/>
  <c r="Z7" i="71"/>
  <c r="Y8" i="71"/>
  <c r="Z8" i="71"/>
  <c r="AB9" i="71"/>
  <c r="AB8" i="71"/>
  <c r="S9" i="71"/>
  <c r="C20" i="11"/>
  <c r="Y9" i="71"/>
  <c r="Z9" i="71"/>
  <c r="E7" i="49"/>
  <c r="AB3" i="71"/>
  <c r="X3" i="71"/>
  <c r="E10" i="49"/>
  <c r="E14" i="49"/>
  <c r="P24" i="43"/>
  <c r="B66" i="40"/>
  <c r="P21" i="43"/>
  <c r="P22" i="43"/>
  <c r="B9" i="49"/>
  <c r="E6" i="49"/>
  <c r="B8" i="49"/>
  <c r="E4" i="49"/>
  <c r="B14" i="49"/>
  <c r="B22" i="49"/>
  <c r="G20" i="43"/>
  <c r="D65" i="40"/>
  <c r="E63" i="40"/>
  <c r="G17" i="43"/>
  <c r="C16" i="43"/>
  <c r="D5" i="43"/>
  <c r="C5" i="43"/>
  <c r="U7" i="36"/>
  <c r="AB7" i="36"/>
  <c r="T36" i="36"/>
  <c r="G36" i="36"/>
  <c r="AA7" i="35"/>
  <c r="R38" i="35"/>
  <c r="S7" i="35"/>
  <c r="AC7" i="37"/>
  <c r="V42" i="37"/>
  <c r="I42" i="37"/>
  <c r="W7" i="37"/>
  <c r="I52" i="33"/>
  <c r="J52" i="33"/>
  <c r="I53" i="33"/>
  <c r="J53" i="33"/>
  <c r="H59" i="34"/>
  <c r="C49"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M21" i="15"/>
  <c r="F5" i="73"/>
  <c r="AO6" i="1"/>
  <c r="E11" i="76"/>
  <c r="F7" i="73"/>
  <c r="F36" i="67"/>
  <c r="M6" i="67"/>
  <c r="AO12" i="1"/>
  <c r="F6" i="67"/>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L47" i="15"/>
  <c r="F9" i="67"/>
  <c r="J57" i="15"/>
  <c r="J55" i="15"/>
  <c r="J58" i="15"/>
  <c r="J59" i="15"/>
  <c r="L51" i="15"/>
  <c r="L57" i="15"/>
  <c r="L58" i="15"/>
  <c r="L60" i="15"/>
  <c r="B11" i="76"/>
  <c r="F37" i="67"/>
  <c r="D7" i="73"/>
  <c r="F8" i="67"/>
  <c r="E7" i="76"/>
  <c r="M24" i="15"/>
  <c r="E10" i="76"/>
  <c r="AO10" i="1"/>
  <c r="M23" i="67"/>
  <c r="E2" i="69"/>
  <c r="E12" i="76"/>
  <c r="M22" i="15"/>
  <c r="F38" i="67"/>
  <c r="E8" i="76"/>
  <c r="E13" i="76"/>
  <c r="D2" i="35"/>
  <c r="M28" i="15"/>
  <c r="D4" i="73"/>
  <c r="E6" i="76"/>
  <c r="B6" i="76"/>
  <c r="F43" i="67"/>
  <c r="F41" i="67"/>
  <c r="B12" i="76"/>
  <c r="M26" i="67"/>
  <c r="M27" i="15"/>
  <c r="D3" i="73"/>
  <c r="F31" i="67"/>
  <c r="F31" i="15"/>
  <c r="E9" i="49"/>
  <c r="E13" i="49"/>
  <c r="E21" i="49"/>
  <c r="E8" i="49"/>
  <c r="B10" i="49"/>
  <c r="E11" i="49"/>
  <c r="E22" i="49"/>
  <c r="B4" i="49"/>
  <c r="B6" i="49"/>
  <c r="R16" i="1"/>
  <c r="C8" i="69"/>
  <c r="C5" i="69"/>
  <c r="F69" i="67"/>
  <c r="F71" i="67"/>
  <c r="B2" i="76"/>
  <c r="E2" i="76"/>
  <c r="E20" i="43"/>
  <c r="B2" i="35"/>
  <c r="B3" i="35"/>
  <c r="F66" i="67"/>
  <c r="B10" i="70"/>
  <c r="F51" i="67"/>
  <c r="F65" i="15"/>
  <c r="F65" i="67"/>
  <c r="N59" i="15"/>
  <c r="B2" i="37"/>
  <c r="B3" i="37"/>
  <c r="L58" i="67"/>
  <c r="N59" i="67"/>
  <c r="L59" i="67"/>
  <c r="B8" i="70"/>
  <c r="F66" i="15"/>
  <c r="F50" i="15"/>
  <c r="Q71" i="67"/>
  <c r="B13" i="70"/>
  <c r="B2" i="36"/>
  <c r="B3" i="36"/>
  <c r="M7" i="67"/>
  <c r="J6" i="67"/>
  <c r="F50" i="67"/>
  <c r="Q71" i="15"/>
  <c r="F64" i="15"/>
  <c r="C34" i="67"/>
  <c r="F63" i="67"/>
  <c r="C62" i="67"/>
  <c r="J20" i="67"/>
  <c r="F70" i="67"/>
  <c r="F68" i="67"/>
  <c r="F51" i="15"/>
  <c r="C49" i="15"/>
  <c r="C6" i="67"/>
  <c r="B12" i="70"/>
  <c r="F64" i="67"/>
  <c r="F63" i="15"/>
  <c r="C62" i="15"/>
  <c r="F71" i="15"/>
  <c r="B6" i="70"/>
  <c r="J20" i="15"/>
  <c r="B20" i="31"/>
  <c r="B7" i="70"/>
  <c r="F68" i="15"/>
  <c r="B2" i="33"/>
  <c r="B3" i="33"/>
  <c r="C27" i="67"/>
  <c r="B2" i="34"/>
  <c r="B3" i="34"/>
  <c r="L56" i="15"/>
  <c r="Q50" i="15"/>
  <c r="I54" i="15"/>
  <c r="J57" i="67"/>
  <c r="J55" i="67"/>
  <c r="J58" i="67"/>
  <c r="Q50" i="67"/>
  <c r="L56" i="67"/>
  <c r="I54" i="67"/>
  <c r="C38" i="69"/>
  <c r="C35" i="69"/>
  <c r="D19" i="69"/>
  <c r="C17" i="67"/>
  <c r="C16" i="67"/>
  <c r="F59" i="15"/>
  <c r="F59" i="67"/>
  <c r="C14" i="67"/>
  <c r="M17" i="15"/>
  <c r="M17" i="67"/>
  <c r="C15" i="67"/>
  <c r="C18" i="67"/>
  <c r="C19" i="67"/>
  <c r="C19" i="69"/>
  <c r="D37" i="69"/>
  <c r="C37" i="69"/>
  <c r="C33" i="69"/>
  <c r="Q61" i="67"/>
  <c r="Q74" i="67"/>
  <c r="Q60" i="67"/>
  <c r="Q73" i="67"/>
  <c r="C49" i="67"/>
  <c r="F11" i="67"/>
  <c r="M11" i="67"/>
  <c r="J10" i="67"/>
  <c r="M28" i="43"/>
  <c r="O28" i="43"/>
  <c r="P28" i="43"/>
  <c r="N28" i="43"/>
  <c r="B3" i="76"/>
  <c r="J18" i="67"/>
  <c r="J5" i="67"/>
  <c r="C32" i="67"/>
  <c r="Q60" i="15"/>
  <c r="Q73" i="15"/>
  <c r="C39" i="69"/>
  <c r="J18" i="15"/>
  <c r="J26" i="67"/>
  <c r="J29" i="67"/>
  <c r="J24" i="67"/>
  <c r="C53" i="15"/>
  <c r="C48" i="15"/>
  <c r="C10" i="67"/>
  <c r="C5" i="67"/>
  <c r="C53" i="67"/>
  <c r="C48" i="67"/>
  <c r="C20" i="69"/>
  <c r="F24" i="67"/>
  <c r="C24" i="67"/>
  <c r="F22" i="69"/>
  <c r="F22" i="11"/>
  <c r="C20" i="67"/>
  <c r="C26" i="67"/>
  <c r="C23" i="67"/>
  <c r="C25" i="69"/>
  <c r="C29" i="67"/>
  <c r="C66" i="67"/>
  <c r="C60" i="67"/>
  <c r="C44" i="69"/>
  <c r="D41" i="69"/>
  <c r="C26" i="69"/>
  <c r="D22" i="69"/>
  <c r="C23" i="69"/>
  <c r="C24" i="69"/>
  <c r="C60" i="15"/>
  <c r="C66" i="15"/>
  <c r="C43" i="69"/>
  <c r="C42" i="69"/>
  <c r="C38" i="67"/>
  <c r="J24" i="15"/>
  <c r="Q49" i="15"/>
  <c r="J14" i="15"/>
  <c r="C57" i="15"/>
  <c r="J19" i="15"/>
  <c r="J17" i="15"/>
  <c r="C41" i="69"/>
  <c r="C22" i="69"/>
  <c r="J19" i="67"/>
  <c r="J17" i="67"/>
  <c r="C33" i="67"/>
  <c r="C31" i="67"/>
  <c r="C13" i="67"/>
  <c r="C57" i="67"/>
  <c r="Q49" i="67"/>
  <c r="C36" i="67"/>
  <c r="J14" i="67"/>
  <c r="J59" i="67"/>
  <c r="Q48" i="15"/>
  <c r="J22" i="15"/>
  <c r="J13" i="15"/>
  <c r="J23" i="15"/>
  <c r="C64" i="67"/>
  <c r="C61" i="67"/>
  <c r="C59" i="67"/>
  <c r="J13" i="67"/>
  <c r="J23" i="67"/>
  <c r="J22" i="67"/>
  <c r="C75" i="67"/>
  <c r="C56" i="67"/>
  <c r="C65" i="67"/>
  <c r="C37" i="67"/>
  <c r="C30" i="67"/>
  <c r="C39" i="67"/>
  <c r="Q70" i="67"/>
  <c r="Q70" i="15"/>
  <c r="C75" i="15"/>
  <c r="C56" i="15"/>
  <c r="C65" i="15"/>
  <c r="C64" i="15"/>
  <c r="C61" i="15"/>
  <c r="C59" i="15"/>
  <c r="C58" i="15"/>
  <c r="C67" i="15"/>
  <c r="J16" i="67"/>
  <c r="J25" i="67"/>
  <c r="J16" i="15"/>
  <c r="J25" i="15"/>
  <c r="Q69" i="15"/>
  <c r="Q68" i="15"/>
  <c r="Q69" i="67"/>
  <c r="Q68" i="67"/>
  <c r="C40" i="67"/>
  <c r="C80" i="67"/>
  <c r="C79" i="67"/>
  <c r="C80" i="15"/>
  <c r="C79" i="15"/>
  <c r="C58" i="67"/>
  <c r="C67" i="67"/>
  <c r="C68" i="67"/>
  <c r="L51" i="67"/>
  <c r="Q67" i="67"/>
  <c r="L57" i="67"/>
  <c r="L60" i="67"/>
  <c r="Q67" i="15"/>
  <c r="C45" i="67"/>
  <c r="C46" i="67"/>
  <c r="C71" i="67"/>
  <c r="Q56" i="67"/>
  <c r="C43" i="67"/>
  <c r="Q47" i="67"/>
  <c r="Q65" i="67"/>
  <c r="C83" i="67"/>
  <c r="C82" i="67"/>
  <c r="Q66" i="15"/>
  <c r="Q57" i="15"/>
  <c r="Q66" i="67"/>
  <c r="Q57" i="67"/>
  <c r="Q62" i="67"/>
  <c r="Q75" i="67"/>
  <c r="D113" i="43"/>
  <c r="Y6" i="71"/>
  <c r="Z6" i="71"/>
  <c r="Y5" i="71"/>
  <c r="Z5" i="71"/>
  <c r="X6" i="71"/>
  <c r="X5" i="71"/>
  <c r="AA5" i="71"/>
  <c r="AA6" i="71"/>
  <c r="AB5" i="71"/>
  <c r="AB6" i="71"/>
  <c r="AB7" i="71"/>
  <c r="F27" i="69"/>
  <c r="C46" i="69"/>
  <c r="C45" i="69"/>
  <c r="C47" i="69"/>
  <c r="D45" i="69"/>
  <c r="C49" i="69"/>
  <c r="C28" i="69"/>
  <c r="C27" i="69"/>
  <c r="C29" i="69"/>
  <c r="D27" i="69"/>
  <c r="C31" i="69"/>
  <c r="F27" i="11"/>
  <c r="C47" i="11"/>
  <c r="D45" i="11"/>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N16" i="1"/>
  <c r="B3" i="82"/>
  <c r="H6" i="12"/>
  <c r="L7" i="12"/>
  <c r="C83" i="82"/>
  <c r="C82" i="82"/>
  <c r="Q65" i="82"/>
  <c r="Q75" i="82"/>
  <c r="M59" i="82"/>
  <c r="L59" i="82"/>
  <c r="Q74" i="82"/>
  <c r="F69" i="82"/>
  <c r="C68" i="82"/>
  <c r="C71" i="82"/>
  <c r="Q56" i="82"/>
  <c r="Q62" i="82"/>
  <c r="Q61" i="82"/>
  <c r="Q47" i="82"/>
  <c r="Q53" i="82"/>
  <c r="Q52" i="82"/>
  <c r="C46" i="82"/>
  <c r="C43" i="82"/>
  <c r="B3" i="15"/>
  <c r="F6" i="12"/>
  <c r="L63" i="9"/>
  <c r="M63" i="9"/>
  <c r="L64" i="9"/>
  <c r="M64" i="9"/>
  <c r="L65" i="9"/>
  <c r="M65" i="9"/>
  <c r="L66" i="9"/>
  <c r="M66" i="9"/>
  <c r="L67" i="9"/>
  <c r="M67" i="9"/>
  <c r="L68" i="9"/>
  <c r="M68" i="9"/>
  <c r="M69" i="9"/>
  <c r="N69" i="9"/>
  <c r="C72" i="9"/>
  <c r="C78" i="9"/>
  <c r="C73" i="9"/>
  <c r="C79" i="9"/>
  <c r="C80" i="9"/>
  <c r="C81" i="9"/>
  <c r="C20" i="9"/>
  <c r="C103" i="9"/>
  <c r="B3" i="12"/>
  <c r="D20" i="9"/>
  <c r="G20" i="9"/>
  <c r="M59" i="67"/>
  <c r="D22" i="9"/>
  <c r="C21" i="9"/>
  <c r="C102" i="9"/>
  <c r="D21" i="9"/>
  <c r="D102" i="9"/>
  <c r="D103" i="9"/>
  <c r="G21" i="9"/>
  <c r="M59" i="15"/>
  <c r="L59" i="15"/>
  <c r="Q74" i="15"/>
  <c r="Q61" i="15"/>
  <c r="J53" i="67"/>
  <c r="Q52" i="67"/>
  <c r="F1" i="67"/>
  <c r="Q52" i="15"/>
  <c r="AO9" i="1"/>
  <c r="B9" i="70"/>
  <c r="AO11" i="1"/>
  <c r="B11" i="70"/>
  <c r="B2" i="70"/>
  <c r="B3" i="70"/>
  <c r="C35" i="9"/>
  <c r="C34" i="9"/>
  <c r="D118" i="9"/>
  <c r="D4" i="52"/>
  <c r="B47" i="72"/>
  <c r="H119" i="9"/>
  <c r="H5" i="52"/>
  <c r="H4" i="52"/>
  <c r="C104" i="9"/>
  <c r="D119" i="9"/>
  <c r="D5" i="52"/>
  <c r="B49" i="72"/>
  <c r="F118" i="9"/>
  <c r="G118" i="9"/>
  <c r="G4" i="52"/>
  <c r="B52" i="72"/>
  <c r="F4" i="52"/>
  <c r="B51" i="72"/>
  <c r="F119" i="9"/>
  <c r="F5" i="52"/>
  <c r="B53" i="72"/>
  <c r="M48" i="9"/>
  <c r="D14" i="74"/>
  <c r="E14" i="74"/>
  <c r="F14" i="74"/>
  <c r="F50" i="69"/>
  <c r="C51" i="69"/>
  <c r="C52" i="69"/>
  <c r="B2" i="69"/>
  <c r="B3" i="69"/>
  <c r="C23" i="11"/>
  <c r="C24" i="11"/>
  <c r="C25" i="11"/>
  <c r="C22" i="11"/>
  <c r="C28" i="11"/>
  <c r="C27" i="11"/>
  <c r="C26" i="11"/>
  <c r="D22" i="11"/>
  <c r="C29" i="11"/>
  <c r="D27" i="11"/>
  <c r="C31" i="11"/>
  <c r="F34" i="11"/>
  <c r="C34" i="11"/>
  <c r="C35" i="11"/>
  <c r="C36" i="11"/>
  <c r="C37" i="11"/>
  <c r="C38" i="11"/>
  <c r="C33" i="11"/>
  <c r="C39" i="11"/>
  <c r="C42" i="11"/>
  <c r="C43" i="11"/>
  <c r="C41" i="11"/>
  <c r="C46" i="11"/>
  <c r="C45" i="11"/>
  <c r="C44" i="11"/>
  <c r="D41" i="11"/>
  <c r="C49" i="11"/>
  <c r="F50" i="11"/>
  <c r="C51" i="11"/>
  <c r="C52" i="11"/>
  <c r="B2" i="11"/>
  <c r="B3" i="11"/>
  <c r="I118" i="9"/>
  <c r="C105" i="9"/>
  <c r="H102" i="9"/>
  <c r="D7" i="53"/>
  <c r="B21" i="72"/>
  <c r="E118" i="9"/>
  <c r="E4" i="52"/>
  <c r="B48" i="72"/>
  <c r="I4" i="52"/>
  <c r="C64" i="9"/>
  <c r="C63" i="9"/>
  <c r="C67" i="9"/>
  <c r="C68" i="9"/>
  <c r="D54" i="9"/>
  <c r="D52" i="9"/>
  <c r="D5" i="53"/>
  <c r="B20" i="72"/>
  <c r="D6" i="53"/>
  <c r="B22" i="72"/>
  <c r="C56" i="11"/>
  <c r="C57" i="11"/>
  <c r="B5" i="74"/>
  <c r="D5" i="74"/>
  <c r="C5" i="74"/>
  <c r="H108" i="9"/>
  <c r="D15" i="53"/>
  <c r="B31" i="72"/>
  <c r="C57" i="69"/>
  <c r="C56" i="69"/>
  <c r="F69" i="15"/>
  <c r="C68" i="15"/>
  <c r="C71" i="15"/>
  <c r="D122" i="9"/>
  <c r="D123" i="9"/>
  <c r="D9" i="52"/>
  <c r="D8" i="52"/>
  <c r="D13" i="53"/>
  <c r="D14" i="53"/>
  <c r="B32" i="72"/>
  <c r="B30" i="72"/>
  <c r="E80" i="9"/>
  <c r="E81" i="9"/>
  <c r="E96" i="9"/>
  <c r="E97" i="9"/>
  <c r="Q47" i="15"/>
  <c r="Q53" i="15"/>
  <c r="C43" i="15"/>
  <c r="C83" i="15"/>
  <c r="C82" i="15"/>
  <c r="G14" i="74"/>
  <c r="B6" i="74"/>
  <c r="D6" i="74"/>
  <c r="C6" i="74"/>
  <c r="C46" i="15"/>
  <c r="J60" i="67"/>
  <c r="Q48" i="67"/>
  <c r="Q53" i="67"/>
  <c r="L46" i="67"/>
  <c r="D2" i="67"/>
  <c r="B3" i="67"/>
  <c r="B2" i="67"/>
  <c r="N58" i="9"/>
  <c r="P57" i="9"/>
  <c r="Q65" i="15"/>
  <c r="Q75" i="15"/>
  <c r="Q56" i="15"/>
  <c r="Q62" i="15"/>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 xml:space="preserve">在建项目均选择“是”
</t>
        </r>
      </text>
    </comment>
    <comment ref="F59"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3000000}">
      <text>
        <r>
          <rPr>
            <b/>
            <sz val="12"/>
            <color indexed="81"/>
            <rFont val="宋体"/>
            <family val="3"/>
            <charset val="134"/>
          </rPr>
          <t>所属项目品质或
物业管理</t>
        </r>
      </text>
    </comment>
    <comment ref="B90" authorId="0" shapeId="0" xr:uid="{00000000-0006-0000-23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3000000}">
      <text>
        <r>
          <rPr>
            <b/>
            <sz val="12"/>
            <color indexed="81"/>
            <rFont val="宋体"/>
            <family val="3"/>
            <charset val="134"/>
          </rPr>
          <t>所属项目品质或
物业管理</t>
        </r>
      </text>
    </comment>
    <comment ref="B86" authorId="0" shapeId="0" xr:uid="{00000000-0006-0000-2400-000004000000}">
      <text>
        <r>
          <rPr>
            <b/>
            <sz val="12"/>
            <color indexed="81"/>
            <rFont val="宋体"/>
            <family val="3"/>
            <charset val="134"/>
          </rPr>
          <t>所属项目品质</t>
        </r>
      </text>
    </comment>
    <comment ref="B89"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5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5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6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4CAB08D8-DCB7-4FD1-8CBB-61418C6042D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F29A1D8E-110C-4620-A206-1D34F9581234}">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A28393C7-AB13-4E65-814D-EDF1A984D22E}">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5681F998-8C77-4168-9E13-83912A7823E4}">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E3F7EC89-A67F-41E3-94DC-EC5CCC197D19}">
      <text>
        <r>
          <rPr>
            <sz val="11"/>
            <color indexed="81"/>
            <rFont val="宋体"/>
            <family val="3"/>
            <charset val="134"/>
          </rPr>
          <t>在建项目均选择“是”</t>
        </r>
      </text>
    </comment>
    <comment ref="F59" authorId="0" shapeId="0" xr:uid="{116FE62E-A521-421F-B18F-1EFBD7BBEFF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BE6D6DDC-D9AD-4828-A43F-CAB4A341CCF9}">
      <text>
        <r>
          <rPr>
            <sz val="10"/>
            <color indexed="81"/>
            <rFont val="宋体"/>
            <family val="3"/>
            <charset val="134"/>
          </rPr>
          <t xml:space="preserve">在建
</t>
        </r>
      </text>
    </comment>
    <comment ref="N59" authorId="1" shapeId="0" xr:uid="{9EB49FB2-B6DC-4E2A-9412-AC6A574DCDC4}">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6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<sst xmlns="http://schemas.openxmlformats.org/spreadsheetml/2006/main" count="9248" uniqueCount="3425">
  <si>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</si>
  <si>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</si>
  <si>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</si>
  <si>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</si>
  <si>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</si>
  <si>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</si>
  <si>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</si>
  <si>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</si>
  <si>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</si>
  <si>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</si>
  <si>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</si>
  <si>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</si>
  <si>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</si>
  <si>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</si>
  <si>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</si>
  <si>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</si>
  <si>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</si>
  <si>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</si>
  <si>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</si>
  <si>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</si>
  <si>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</si>
  <si>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</si>
  <si>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</si>
  <si>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</si>
  <si>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</si>
  <si>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</si>
  <si>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</si>
  <si>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</si>
  <si>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</si>
  <si>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</si>
  <si>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</si>
  <si>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</si>
  <si>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</si>
  <si>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</si>
  <si>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</si>
  <si>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</si>
  <si>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</si>
  <si>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</si>
  <si>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</si>
  <si>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</si>
  <si>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</si>
  <si>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</si>
  <si>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</si>
  <si>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</si>
  <si>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</si>
  <si>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</si>
  <si>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</si>
  <si>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</si>
  <si>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</si>
  <si>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</si>
  <si>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</si>
  <si>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</si>
  <si>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</si>
  <si>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</si>
  <si>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</si>
  <si>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</si>
  <si>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</si>
  <si>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</si>
  <si>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</si>
  <si>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</si>
  <si>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</si>
  <si>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</si>
  <si>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</si>
  <si>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</si>
  <si>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</si>
  <si>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</si>
  <si>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</si>
  <si>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</si>
  <si>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</si>
  <si>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</si>
  <si>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</si>
  <si>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</si>
  <si>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</si>
  <si>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</si>
  <si>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</si>
  <si>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</si>
  <si>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</si>
  <si>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</si>
  <si>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</si>
  <si>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</si>
  <si>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</si>
  <si>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</si>
  <si>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</si>
  <si>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</si>
  <si>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</si>
  <si>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</si>
  <si>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</si>
  <si>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</si>
  <si>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</si>
  <si>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</si>
  <si>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</si>
  <si>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</si>
  <si>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</si>
  <si>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</si>
  <si>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</si>
  <si>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</si>
  <si>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</si>
  <si>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</si>
  <si>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</si>
  <si>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</si>
  <si>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</si>
  <si>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</si>
  <si>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</si>
  <si>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</si>
  <si>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</si>
  <si>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</si>
  <si>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</si>
  <si>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</si>
  <si>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</si>
  <si>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</si>
  <si>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</si>
  <si>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</si>
  <si>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</si>
  <si>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</si>
  <si>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</si>
  <si>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</si>
  <si>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</si>
  <si>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</si>
  <si>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</si>
  <si>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</si>
  <si>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</si>
  <si>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</si>
  <si>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</si>
  <si>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</si>
  <si>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</si>
  <si>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</si>
  <si>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</si>
  <si>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</si>
  <si>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</si>
  <si>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</si>
  <si>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</si>
  <si>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</si>
  <si>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</si>
  <si>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</si>
  <si>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</si>
  <si>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</si>
  <si>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</si>
  <si>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</si>
  <si>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</si>
  <si>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</si>
  <si>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</si>
  <si>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</si>
  <si>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</si>
  <si>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</si>
  <si>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</si>
  <si>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</si>
  <si>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</si>
  <si>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</si>
  <si>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</si>
  <si>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</si>
  <si>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</si>
  <si>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</si>
  <si>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</si>
  <si>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</si>
  <si>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</si>
  <si>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</si>
  <si>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</si>
  <si>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</si>
  <si>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</si>
  <si>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</si>
  <si>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</si>
  <si>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</si>
  <si>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</si>
  <si>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</si>
  <si>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</si>
  <si>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</si>
  <si>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</si>
  <si>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</si>
  <si>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</si>
  <si>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</si>
  <si>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</si>
  <si>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</si>
  <si>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</si>
  <si>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</si>
  <si>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</si>
  <si>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</si>
  <si>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</si>
  <si>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</si>
  <si>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</si>
  <si>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</si>
  <si>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</si>
  <si>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</si>
  <si>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</si>
  <si>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</si>
  <si>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</si>
  <si>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</si>
  <si>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</si>
  <si>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</si>
  <si>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</si>
  <si>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</si>
  <si>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</si>
  <si>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</si>
  <si>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</si>
  <si>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</si>
  <si>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</si>
  <si>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</si>
  <si>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</si>
  <si>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</si>
  <si>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</si>
  <si>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</si>
  <si>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</si>
  <si>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</si>
  <si>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</si>
  <si>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</si>
  <si>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</si>
  <si>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</si>
  <si>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</si>
  <si>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</si>
  <si>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</si>
  <si>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</si>
  <si>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</si>
  <si>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</si>
  <si>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</si>
  <si>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</si>
  <si>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</si>
  <si>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</si>
  <si>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</si>
  <si>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</si>
  <si>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</si>
  <si>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</si>
  <si>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</si>
  <si>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</si>
  <si>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</si>
  <si>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</si>
  <si>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</si>
  <si>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</si>
  <si>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</si>
  <si>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</si>
  <si>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</si>
  <si>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</si>
  <si>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</si>
  <si>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</si>
  <si>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</si>
  <si>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</si>
  <si>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</si>
  <si>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</si>
  <si>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</si>
  <si>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</si>
  <si>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</si>
  <si>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</si>
  <si>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</si>
  <si>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</si>
  <si>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</si>
  <si>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</si>
  <si>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</si>
  <si>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</si>
  <si>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</si>
  <si>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</si>
  <si>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</si>
  <si>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</si>
  <si>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</si>
  <si>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</si>
  <si>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</si>
  <si>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</si>
  <si>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</si>
  <si>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</si>
  <si>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</si>
  <si>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</si>
  <si>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</si>
  <si>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</si>
  <si>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</si>
  <si>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</si>
  <si>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</si>
  <si>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</si>
  <si>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</si>
  <si>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</si>
  <si>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</si>
  <si>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</si>
  <si>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</si>
  <si>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</si>
  <si>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</si>
  <si>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</si>
  <si>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</si>
  <si>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</si>
  <si>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</si>
  <si>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</si>
  <si>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</si>
  <si>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</si>
  <si>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</si>
  <si>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</si>
  <si>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</si>
  <si>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</si>
  <si>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</si>
  <si>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</si>
  <si>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</si>
  <si>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</si>
  <si>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</si>
  <si>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</si>
  <si>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</si>
  <si>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</si>
  <si>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</si>
  <si>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</si>
  <si>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</si>
  <si>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</si>
  <si>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</si>
  <si>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</si>
  <si>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</si>
  <si>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</si>
  <si>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</si>
  <si>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</si>
  <si>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</si>
  <si>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</si>
  <si>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</si>
  <si>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</si>
  <si>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</si>
  <si>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</si>
  <si>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</si>
  <si>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</si>
  <si>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</si>
  <si>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</si>
  <si>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</si>
  <si>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</si>
  <si>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</si>
  <si>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</si>
  <si>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</si>
  <si>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</si>
  <si>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</si>
  <si>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</si>
  <si>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</si>
  <si>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</si>
  <si>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</si>
  <si>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</si>
  <si>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</si>
  <si>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</si>
  <si>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</si>
  <si>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</si>
  <si>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</si>
  <si>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</si>
  <si>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</si>
  <si>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</si>
  <si>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</si>
  <si>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</si>
  <si>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</si>
  <si>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</si>
  <si>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</si>
  <si>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</si>
  <si>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</si>
  <si>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</si>
  <si>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</si>
  <si>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</si>
  <si>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</si>
  <si>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</si>
  <si>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</si>
  <si>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</si>
  <si>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</si>
  <si>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</si>
  <si>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</si>
  <si>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</si>
  <si>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</si>
  <si>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</si>
  <si>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</si>
  <si>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</si>
  <si>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</si>
  <si>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</si>
  <si>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</si>
  <si>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</si>
  <si>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</si>
  <si>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</si>
  <si>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</si>
  <si>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</si>
  <si>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</si>
  <si>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</si>
  <si>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</si>
  <si>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</si>
  <si>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</si>
  <si>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</si>
  <si>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</si>
  <si>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</si>
  <si>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</si>
  <si>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</si>
  <si>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</si>
  <si>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</si>
  <si>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</si>
  <si>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</si>
  <si>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</si>
  <si>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</si>
  <si>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</si>
  <si>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</si>
  <si>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</si>
  <si>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</si>
  <si>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</si>
  <si>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</si>
  <si>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</si>
  <si>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</si>
  <si>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</si>
  <si>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</si>
  <si>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</si>
  <si>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</si>
  <si>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</si>
  <si>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</si>
  <si>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</si>
  <si>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</si>
  <si>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</si>
  <si>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</si>
  <si>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</si>
  <si>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</si>
  <si>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</si>
  <si>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</si>
  <si>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</si>
  <si>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</si>
  <si>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</si>
  <si>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</si>
  <si>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</si>
  <si>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</si>
  <si>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</si>
  <si>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</si>
  <si>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</si>
  <si>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</si>
  <si>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</si>
  <si>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</si>
  <si>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</si>
  <si>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</si>
  <si>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</si>
  <si>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</si>
  <si>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</si>
  <si>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</si>
  <si>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</si>
  <si>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</si>
  <si>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</si>
  <si>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</si>
  <si>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</si>
  <si>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</si>
  <si>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</si>
  <si>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</si>
  <si>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</si>
  <si>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</si>
  <si>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</si>
  <si>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</si>
  <si>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</si>
  <si>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</si>
  <si>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</si>
  <si>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</si>
  <si>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</si>
  <si>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</si>
  <si>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</si>
  <si>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</si>
  <si>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</si>
  <si>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</si>
  <si>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</si>
  <si>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</si>
  <si>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</si>
  <si>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</si>
  <si>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</si>
  <si>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</si>
  <si>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</si>
  <si>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</si>
  <si>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</si>
  <si>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</si>
  <si>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</si>
  <si>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</si>
  <si>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</si>
  <si>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</si>
  <si>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</si>
  <si>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</si>
  <si>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</si>
  <si>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</si>
  <si>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</si>
  <si>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</si>
  <si>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</si>
  <si>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</si>
  <si>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</si>
  <si>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</si>
  <si>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</si>
  <si>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</si>
  <si>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</si>
  <si>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</si>
  <si>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</si>
  <si>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</si>
  <si>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</si>
  <si>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</si>
  <si>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</si>
  <si>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</si>
  <si>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</si>
  <si>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</si>
  <si>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</si>
  <si>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</si>
  <si>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</si>
  <si>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</si>
  <si>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</si>
  <si>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</si>
  <si>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</si>
  <si>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</si>
  <si>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</si>
  <si>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</si>
  <si>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</si>
  <si>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</si>
  <si>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</si>
  <si>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</si>
  <si>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</si>
  <si>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</si>
  <si>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</si>
  <si>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</si>
  <si>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</si>
  <si>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</si>
  <si>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</si>
  <si>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</si>
  <si>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</si>
  <si>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</si>
  <si>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</si>
  <si>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</si>
  <si>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</si>
  <si>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</si>
  <si>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</si>
  <si>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</si>
  <si>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</si>
  <si>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</si>
  <si>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</si>
  <si>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</si>
  <si>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</si>
  <si>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</si>
  <si>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</si>
  <si>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</si>
  <si>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</si>
  <si>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</si>
  <si>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</si>
  <si>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</si>
  <si>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</si>
  <si>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</si>
  <si>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</si>
  <si>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</si>
  <si>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</si>
  <si>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</si>
  <si>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</si>
  <si>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</si>
  <si>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</si>
  <si>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</si>
  <si>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</si>
  <si>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</si>
  <si>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</si>
  <si>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</si>
  <si>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</si>
  <si>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</si>
  <si>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</si>
  <si>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</si>
  <si>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</si>
  <si>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</si>
  <si>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</si>
  <si>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</si>
  <si>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</si>
  <si>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</si>
  <si>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</si>
  <si>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</si>
  <si>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</si>
  <si>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</si>
  <si>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</si>
  <si>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</si>
  <si>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</si>
  <si>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</si>
  <si>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</si>
  <si>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</si>
  <si>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</si>
  <si>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</si>
  <si>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</si>
  <si>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</si>
  <si>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</si>
  <si>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</si>
  <si>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</si>
  <si>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</si>
  <si>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</si>
  <si>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</si>
  <si>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</si>
  <si>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</si>
  <si>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</si>
  <si>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</si>
  <si>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</si>
  <si>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</si>
  <si>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</si>
  <si>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</si>
  <si>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</si>
  <si>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</si>
  <si>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</si>
  <si>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</si>
  <si>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</si>
  <si>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</si>
  <si>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</si>
  <si>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</si>
  <si>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</si>
  <si>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</si>
  <si>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</si>
  <si>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</si>
  <si>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</si>
  <si>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</si>
  <si>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</si>
  <si>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</si>
  <si>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</si>
  <si>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</si>
  <si>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</si>
  <si>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</si>
  <si>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</si>
  <si>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</si>
  <si>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</si>
  <si>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</si>
  <si>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</si>
  <si>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</si>
  <si>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</si>
  <si>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</si>
  <si>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</si>
  <si>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</si>
  <si>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</si>
  <si>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</si>
  <si>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</si>
  <si>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</si>
  <si>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</si>
  <si>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</si>
  <si>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</si>
  <si>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</si>
  <si>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</si>
  <si>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</si>
  <si>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</si>
  <si>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</si>
  <si>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</si>
  <si>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</si>
  <si>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</si>
  <si>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</si>
  <si>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</si>
  <si>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</si>
  <si>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</si>
  <si>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</si>
  <si>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</si>
  <si>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</si>
  <si>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</si>
  <si>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</si>
  <si>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</si>
  <si>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</si>
  <si>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</si>
  <si>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</si>
  <si>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</si>
  <si>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</si>
  <si>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</si>
  <si>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</si>
  <si>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</si>
  <si>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</si>
  <si>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</si>
  <si>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</si>
  <si>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</si>
  <si>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</si>
  <si>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</si>
  <si>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</si>
  <si>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</si>
  <si>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</si>
  <si>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</si>
  <si>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</si>
  <si>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</si>
  <si>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</si>
  <si>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</si>
  <si>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</si>
  <si>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</si>
  <si>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</si>
  <si>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</si>
  <si>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</si>
  <si>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</si>
  <si>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</si>
  <si>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</si>
  <si>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</si>
  <si>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</si>
  <si>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</si>
  <si>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</si>
  <si>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</si>
  <si>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</si>
  <si>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</si>
  <si>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</si>
  <si>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</si>
  <si>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</si>
  <si>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</si>
  <si>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</si>
  <si>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</si>
  <si>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</si>
  <si>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</si>
  <si>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</si>
  <si>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</si>
  <si>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</si>
  <si>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</si>
  <si>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</si>
  <si>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</si>
  <si>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</si>
  <si>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</si>
  <si>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</si>
  <si>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</si>
  <si>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</si>
  <si>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</si>
  <si>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</si>
  <si>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</si>
  <si>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</si>
  <si>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</si>
  <si>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</si>
  <si>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</si>
  <si>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</si>
  <si>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</si>
  <si>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</si>
  <si>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</si>
  <si>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</si>
  <si>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</si>
  <si>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</si>
  <si>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</si>
  <si>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</si>
  <si>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</si>
  <si>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</si>
  <si>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</si>
  <si>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</si>
  <si>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</si>
  <si>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</si>
  <si>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</si>
  <si>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</si>
  <si>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</si>
  <si>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</si>
  <si>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</si>
  <si>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</si>
  <si>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</si>
  <si>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</si>
  <si>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</si>
  <si>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</si>
  <si>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</si>
  <si>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</si>
  <si>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</si>
  <si>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</si>
  <si>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</si>
  <si>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</si>
  <si>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</si>
  <si>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</si>
  <si>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</si>
  <si>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</si>
  <si>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</si>
  <si>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</si>
  <si>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</si>
  <si>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</si>
  <si>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</si>
  <si>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</si>
  <si>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</si>
  <si>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</si>
  <si>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</si>
  <si>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</si>
  <si>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</si>
  <si>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</si>
  <si>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</si>
  <si>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</si>
  <si>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</si>
  <si>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</si>
  <si>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</si>
  <si>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</si>
  <si>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</si>
  <si>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</si>
  <si>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</si>
  <si>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</si>
  <si>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</si>
  <si>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</si>
  <si>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</si>
  <si>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</si>
  <si>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</si>
  <si>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</si>
  <si>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</si>
  <si>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</si>
  <si>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</si>
  <si>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</si>
  <si>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</si>
  <si>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</si>
  <si>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</si>
  <si>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</si>
  <si>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</si>
  <si>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</si>
  <si>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</si>
  <si>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</si>
  <si>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</si>
  <si>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</si>
  <si>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</si>
  <si>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</si>
  <si>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</si>
  <si>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</si>
  <si>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</si>
  <si>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</si>
  <si>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</si>
  <si>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</si>
  <si>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</si>
  <si>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</si>
  <si>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</si>
  <si>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</si>
  <si>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</si>
  <si>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</si>
  <si>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</si>
  <si>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</si>
  <si>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</si>
  <si>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</si>
  <si>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</si>
  <si>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</si>
  <si>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</si>
  <si>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</si>
  <si>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</si>
  <si>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</si>
  <si>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</si>
  <si>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</si>
  <si>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</si>
  <si>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</si>
  <si>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</si>
  <si>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</si>
  <si>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</si>
  <si>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</si>
  <si>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</si>
  <si>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</si>
  <si>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</si>
  <si>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</si>
  <si>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</si>
  <si>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</si>
  <si>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</si>
  <si>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</si>
  <si>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</si>
  <si>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</si>
  <si>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</si>
  <si>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</si>
  <si>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</si>
  <si>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</si>
  <si>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</si>
  <si>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</si>
  <si>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</si>
  <si>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</si>
  <si>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</si>
  <si>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</si>
  <si>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</si>
  <si>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</si>
  <si>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</si>
  <si>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</si>
  <si>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</si>
  <si>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</si>
  <si>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</si>
  <si>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</si>
  <si>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</si>
  <si>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</si>
  <si>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</si>
  <si>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</si>
  <si>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</si>
  <si>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</si>
  <si>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</si>
  <si>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</si>
  <si>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</si>
  <si>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</si>
  <si>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</si>
  <si>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</si>
  <si>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</si>
  <si>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</si>
  <si>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</si>
  <si>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</si>
  <si>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</si>
  <si>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</si>
  <si>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</si>
  <si>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</si>
  <si>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</si>
  <si>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</si>
  <si>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</si>
  <si>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</si>
  <si>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</si>
  <si>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</si>
  <si>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</si>
  <si>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</si>
  <si>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</si>
  <si>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</si>
  <si>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</si>
  <si>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</si>
  <si>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</si>
  <si>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</si>
  <si>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</si>
  <si>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</si>
  <si>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</si>
  <si>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</si>
  <si>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</si>
  <si>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</si>
  <si>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</si>
  <si>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</si>
  <si>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</si>
  <si>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</si>
  <si>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</si>
  <si>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</si>
  <si>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</si>
  <si>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</si>
  <si>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</si>
  <si>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</si>
  <si>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</si>
  <si>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</si>
  <si>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</si>
  <si>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</si>
  <si>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</si>
  <si>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</si>
  <si>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</si>
  <si>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</si>
  <si>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</si>
  <si>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</si>
  <si>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</si>
  <si>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</si>
  <si>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</si>
  <si>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</si>
  <si>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</si>
  <si>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</si>
  <si>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</si>
  <si>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</si>
  <si>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</si>
  <si>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</si>
  <si>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</si>
  <si>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</si>
  <si>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</si>
  <si>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</si>
  <si>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</si>
  <si>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</si>
  <si>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</si>
  <si>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</si>
  <si>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</si>
  <si>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</si>
  <si>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</si>
  <si>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</si>
  <si>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</si>
  <si>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</si>
  <si>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</si>
  <si>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</si>
  <si>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</si>
  <si>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</si>
  <si>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</si>
  <si>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</si>
  <si>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</si>
  <si>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</si>
  <si>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</si>
  <si>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</si>
  <si>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</si>
  <si>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</si>
  <si>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</si>
  <si>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</si>
  <si>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</si>
  <si>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</si>
  <si>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</si>
  <si>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</si>
  <si>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</si>
  <si>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</si>
  <si>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</si>
  <si>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</si>
  <si>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</si>
  <si>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</si>
  <si>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</si>
  <si>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</si>
  <si>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</si>
  <si>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</si>
  <si>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</si>
  <si>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</si>
  <si>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</si>
  <si>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</si>
  <si>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</si>
  <si>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</si>
  <si>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</si>
  <si>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</si>
  <si>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</si>
  <si>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</si>
  <si>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</si>
  <si>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</si>
  <si>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</si>
  <si>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</si>
  <si>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</si>
  <si>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</si>
  <si>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</si>
  <si>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</si>
  <si>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</si>
  <si>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</si>
  <si>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</si>
  <si>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</si>
  <si>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</si>
  <si>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</si>
  <si>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</si>
  <si>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</si>
  <si>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</si>
  <si>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</si>
  <si>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</si>
  <si>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</si>
  <si>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</si>
  <si>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</si>
  <si>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</si>
  <si>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</si>
  <si>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</si>
  <si>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</si>
  <si>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</si>
  <si>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</si>
  <si>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</si>
  <si>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</si>
  <si>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</si>
  <si>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</si>
  <si>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</si>
  <si>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</si>
  <si>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</si>
  <si>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</si>
  <si>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</si>
  <si>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</si>
  <si>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</si>
  <si>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</si>
  <si>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</si>
  <si>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</si>
  <si>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</si>
  <si>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</si>
  <si>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</si>
  <si>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</si>
  <si>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</si>
  <si>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</si>
  <si>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</si>
  <si>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</si>
  <si>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</si>
  <si>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</si>
  <si>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</si>
  <si>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</si>
  <si>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</si>
  <si>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</si>
  <si>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</si>
  <si>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</si>
  <si>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</si>
  <si>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</si>
  <si>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</si>
  <si>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</si>
  <si>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</si>
  <si>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</si>
  <si>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</si>
  <si>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</si>
  <si>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</si>
  <si>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</si>
  <si>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</si>
  <si>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</si>
  <si>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</si>
  <si>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</si>
  <si>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</si>
  <si>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</si>
  <si>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</si>
  <si>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</si>
  <si>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</si>
  <si>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</si>
  <si>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</si>
  <si>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</si>
  <si>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</si>
  <si>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</si>
  <si>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</si>
  <si>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</si>
  <si>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</si>
  <si>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</si>
  <si>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</si>
  <si>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</si>
  <si>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</si>
  <si>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</si>
  <si>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</si>
  <si>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</si>
  <si>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</si>
  <si>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</si>
  <si>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</si>
  <si>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</si>
  <si>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</si>
  <si>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</si>
  <si>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</si>
  <si>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</si>
  <si>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</si>
  <si>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</si>
  <si>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</si>
  <si>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</si>
  <si>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</si>
  <si>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</si>
  <si>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</si>
  <si>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</si>
  <si>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</si>
  <si>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</si>
  <si>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</si>
  <si>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</si>
  <si>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</si>
  <si>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</si>
  <si>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</si>
  <si>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</si>
  <si>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</si>
  <si>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</si>
  <si>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</si>
  <si>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</si>
  <si>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</si>
  <si>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</si>
  <si>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</si>
  <si>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</si>
  <si>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</si>
  <si>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</si>
  <si>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</si>
  <si>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</si>
  <si>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</si>
  <si>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</si>
  <si>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</si>
  <si>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</si>
  <si>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</si>
  <si>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</si>
  <si>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</si>
  <si>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</si>
  <si>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</si>
  <si>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</si>
  <si>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</si>
  <si>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</si>
  <si>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</si>
  <si>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</si>
  <si>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</si>
  <si>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</si>
  <si>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</si>
  <si>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</si>
  <si>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</si>
  <si>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</si>
  <si>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</si>
  <si>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</si>
  <si>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</si>
  <si>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</si>
  <si>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</si>
  <si>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</si>
  <si>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</si>
  <si>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</si>
  <si>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</si>
  <si>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</si>
  <si>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</si>
  <si>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</si>
  <si>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</si>
  <si>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</si>
  <si>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</si>
  <si>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</si>
  <si>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</si>
  <si>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</si>
  <si>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</si>
  <si>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</si>
  <si>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</si>
  <si>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</si>
  <si>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</si>
  <si>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</si>
  <si>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</si>
  <si>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</si>
  <si>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</si>
  <si>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</si>
  <si>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</si>
  <si>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</si>
  <si>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</si>
  <si>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</si>
  <si>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</si>
  <si>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</si>
  <si>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</si>
  <si>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</si>
  <si>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</si>
  <si>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</si>
  <si>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</si>
  <si>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</si>
  <si>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</si>
  <si>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</si>
  <si>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</si>
  <si>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</si>
  <si>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</si>
  <si>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</si>
  <si>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</si>
  <si>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</si>
  <si>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</si>
  <si>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</si>
  <si>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</si>
  <si>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</si>
  <si>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</si>
  <si>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</si>
  <si>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</si>
  <si>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</si>
  <si>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</si>
  <si>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</si>
  <si>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</si>
  <si>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</si>
  <si>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</si>
  <si>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</si>
  <si>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</si>
  <si>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</si>
  <si>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</si>
  <si>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</si>
  <si>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</si>
  <si>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</si>
  <si>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</si>
  <si>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</si>
  <si>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</si>
  <si>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</si>
  <si>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</si>
  <si>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</si>
  <si>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</si>
  <si>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</si>
  <si>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</si>
  <si>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</si>
  <si>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</si>
  <si>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</si>
  <si>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</si>
  <si>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</si>
  <si>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</si>
  <si>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</si>
  <si>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</si>
  <si>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</si>
  <si>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</si>
  <si>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</si>
  <si>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</si>
  <si>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</si>
  <si>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</si>
  <si>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</si>
  <si>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</si>
  <si>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</si>
  <si>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</si>
  <si>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</si>
  <si>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</si>
  <si>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</si>
  <si>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</si>
  <si>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</si>
  <si>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</si>
  <si>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</si>
  <si>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</si>
  <si>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</si>
  <si>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</si>
  <si>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</si>
  <si>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</si>
  <si>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</si>
  <si>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</si>
  <si>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</si>
  <si>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</si>
  <si>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</si>
  <si>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</si>
  <si>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</si>
  <si>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</si>
  <si>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</si>
  <si>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</si>
  <si>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</si>
  <si>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</si>
  <si>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</si>
  <si>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</si>
  <si>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</si>
  <si>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</si>
  <si>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</si>
  <si>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</si>
  <si>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</si>
  <si>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</si>
  <si>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</si>
  <si>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</si>
  <si>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</si>
  <si>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</si>
  <si>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</si>
  <si>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</si>
  <si>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</si>
  <si>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</si>
  <si>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</si>
  <si>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</si>
  <si>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</si>
  <si>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</si>
  <si>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</si>
  <si>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</si>
  <si>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</si>
  <si>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</si>
  <si>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</si>
  <si>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</si>
  <si>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</si>
  <si>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</si>
  <si>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</si>
  <si>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</si>
  <si>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</si>
  <si>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</si>
  <si>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</si>
  <si>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</si>
  <si>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</si>
  <si>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</si>
  <si>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</si>
  <si>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</si>
  <si>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</si>
  <si>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</si>
  <si>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</si>
  <si>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</si>
  <si>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</si>
  <si>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</si>
  <si>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</si>
  <si>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</si>
  <si>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</si>
  <si>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</si>
  <si>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</si>
  <si>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</si>
  <si>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</si>
  <si>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</si>
  <si>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</si>
  <si>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</si>
  <si>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</si>
  <si>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</si>
  <si>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</si>
  <si>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</si>
  <si>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</si>
  <si>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</si>
  <si>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</si>
  <si>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</si>
  <si>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</si>
  <si>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</si>
  <si>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</si>
  <si>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</si>
  <si>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</si>
  <si>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</si>
  <si>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</si>
  <si>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</si>
  <si>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</si>
  <si>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</si>
  <si>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</si>
  <si>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</si>
  <si>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</si>
  <si>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</si>
  <si>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</si>
  <si>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</si>
  <si>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</si>
  <si>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</si>
  <si>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</si>
  <si>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</si>
  <si>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</si>
  <si>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</si>
  <si>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</si>
  <si>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</si>
  <si>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</si>
  <si>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</si>
  <si>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</si>
  <si>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</si>
  <si>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</si>
  <si>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</si>
  <si>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</si>
  <si>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</si>
  <si>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</si>
  <si>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</si>
  <si>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</si>
  <si>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</si>
  <si>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</si>
  <si>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</si>
  <si>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</si>
  <si>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</si>
  <si>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</si>
  <si>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</si>
  <si>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</si>
  <si>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</si>
  <si>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</si>
  <si>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</si>
  <si>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</si>
  <si>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</si>
  <si>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</si>
  <si>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</si>
  <si>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</si>
  <si>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</si>
  <si>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</si>
  <si>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</si>
  <si>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</si>
  <si>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</si>
  <si>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</si>
  <si>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</si>
  <si>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</si>
  <si>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</si>
  <si>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</si>
  <si>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</si>
  <si>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</si>
  <si>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</si>
  <si>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</si>
  <si>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</si>
  <si>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</si>
  <si>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</si>
  <si>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</si>
  <si>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</si>
  <si>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</si>
  <si>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</si>
  <si>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</si>
  <si>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</si>
  <si>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</si>
  <si>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</si>
  <si>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</si>
  <si>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</si>
  <si>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</si>
  <si>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</si>
  <si>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</si>
  <si>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</si>
  <si>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</si>
  <si>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</si>
  <si>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</si>
  <si>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</si>
  <si>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</si>
  <si>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</si>
  <si>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</si>
  <si>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</si>
  <si>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</si>
  <si>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</si>
  <si>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</si>
  <si>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</si>
  <si>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</si>
  <si>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</si>
  <si>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</si>
  <si>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</si>
  <si>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</si>
  <si>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</si>
  <si>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</si>
  <si>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</si>
  <si>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</si>
  <si>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</si>
  <si>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</si>
  <si>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</si>
  <si>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</si>
  <si>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</si>
  <si>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</si>
  <si>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</si>
  <si>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</si>
  <si>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</si>
  <si>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</si>
  <si>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</si>
  <si>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</si>
  <si>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</si>
  <si>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</si>
  <si>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</si>
  <si>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</si>
  <si>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</si>
  <si>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</si>
  <si>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</si>
  <si>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</si>
  <si>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</si>
  <si>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</si>
  <si>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</si>
  <si>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</si>
  <si>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</si>
  <si>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</si>
  <si>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</si>
  <si>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</si>
  <si>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</si>
  <si>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</si>
  <si>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</si>
  <si>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</si>
  <si>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</si>
  <si>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</si>
  <si>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</si>
  <si>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</si>
  <si>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</si>
  <si>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</si>
  <si>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</si>
  <si>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</si>
  <si>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</si>
  <si>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</si>
  <si>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</si>
  <si>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</si>
  <si>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</si>
  <si>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</si>
  <si>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</si>
  <si>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</si>
  <si>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</si>
  <si>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</si>
  <si>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</si>
  <si>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</si>
  <si>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</si>
  <si>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</si>
  <si>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</si>
  <si>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</si>
  <si>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</si>
  <si>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</si>
  <si>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</si>
  <si>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</si>
  <si>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</si>
  <si>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</si>
  <si>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</si>
  <si>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</si>
  <si>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</si>
  <si>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</si>
  <si>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</si>
  <si>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</si>
  <si>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</si>
  <si>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</si>
  <si>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</si>
  <si>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</si>
  <si>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</si>
  <si>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</si>
  <si>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</si>
  <si>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</si>
  <si>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</si>
  <si>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</si>
  <si>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</si>
  <si>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</si>
  <si>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</si>
  <si>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</si>
  <si>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</si>
  <si>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</si>
  <si>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</si>
  <si>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</si>
  <si>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</si>
  <si>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</si>
  <si>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</si>
  <si>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</si>
  <si>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</si>
  <si>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</si>
  <si>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</si>
  <si>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</si>
  <si>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</si>
  <si>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</si>
  <si>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</si>
  <si>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</si>
  <si>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</si>
  <si>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</si>
  <si>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</si>
  <si>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</si>
  <si>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</si>
  <si>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</si>
  <si>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</si>
  <si>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</si>
  <si>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</si>
  <si>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</si>
  <si>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</si>
  <si>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</si>
  <si>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</si>
  <si>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</si>
  <si>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</si>
  <si>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</si>
  <si>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</si>
  <si>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</si>
  <si>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</si>
  <si>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</si>
  <si>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</si>
  <si>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</si>
  <si>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</si>
  <si>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</si>
  <si>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</si>
  <si>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</si>
  <si>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</si>
  <si>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</si>
  <si>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</si>
  <si>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</si>
  <si>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</si>
  <si>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</si>
  <si>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</si>
  <si>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</si>
  <si>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</si>
  <si>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</si>
  <si>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</si>
  <si>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</si>
  <si>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</si>
  <si>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</si>
  <si>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</si>
  <si>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</si>
  <si>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</si>
  <si>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</si>
  <si>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</si>
  <si>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</si>
  <si>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</si>
  <si>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</si>
  <si>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</si>
  <si>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</si>
  <si>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</si>
  <si>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</si>
  <si>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</si>
  <si>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</si>
  <si>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</si>
  <si>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</si>
  <si>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</si>
  <si>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</si>
  <si>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</si>
  <si>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</si>
  <si>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</si>
  <si>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</si>
  <si>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</si>
  <si>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</si>
  <si>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</si>
  <si>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</si>
  <si>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</si>
  <si>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</si>
  <si>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</si>
  <si>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</si>
  <si>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</si>
  <si>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</si>
  <si>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</si>
  <si>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</si>
  <si>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</si>
  <si>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</si>
  <si>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</si>
  <si>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</si>
  <si>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</si>
  <si>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</si>
  <si>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</si>
  <si>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</si>
  <si>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</si>
  <si>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</si>
  <si>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</si>
  <si>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</si>
  <si>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</si>
  <si>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</si>
  <si>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</si>
  <si>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</si>
  <si>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</si>
  <si>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</si>
  <si>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</si>
  <si>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</si>
  <si>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</si>
  <si>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</si>
  <si>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</si>
  <si>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</si>
  <si>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</si>
  <si>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</si>
  <si>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</si>
  <si>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</si>
  <si>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</si>
  <si>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</si>
  <si>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</si>
  <si>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</si>
  <si>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</si>
  <si>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</si>
  <si>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</si>
  <si>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</si>
  <si>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</si>
  <si>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</si>
  <si>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</si>
  <si>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</si>
  <si>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</si>
  <si>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</si>
  <si>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</si>
  <si>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</si>
  <si>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</si>
  <si>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</si>
  <si>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</si>
  <si>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</si>
  <si>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</si>
  <si>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</si>
  <si>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</si>
  <si>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</si>
  <si>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</si>
  <si>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</si>
  <si>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</si>
  <si>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</si>
  <si>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</si>
  <si>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</si>
  <si>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</si>
  <si>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</si>
  <si>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</si>
  <si>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</si>
  <si>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</si>
  <si>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</si>
  <si>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</si>
  <si>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</si>
  <si>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</si>
  <si>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</si>
  <si>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</si>
  <si>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</si>
  <si>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</si>
  <si>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</si>
  <si>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</si>
  <si>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</si>
  <si>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</si>
  <si>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</si>
  <si>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</si>
  <si>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</si>
  <si>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</si>
  <si>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</si>
  <si>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</si>
  <si>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</si>
  <si>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</si>
  <si>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</si>
  <si>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</si>
  <si>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</si>
  <si>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</si>
  <si>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</si>
  <si>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</si>
  <si>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</si>
  <si>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</si>
  <si>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</si>
  <si>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</si>
  <si>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</si>
  <si>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</si>
  <si>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</si>
  <si>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</si>
  <si>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</si>
  <si>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</si>
  <si>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</si>
  <si>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</si>
  <si>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</si>
  <si>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</si>
  <si>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</si>
  <si>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</si>
  <si>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</si>
  <si>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</si>
  <si>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</si>
  <si>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</si>
  <si>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</si>
  <si>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</si>
  <si>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</si>
  <si>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</si>
  <si>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</si>
  <si>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</si>
  <si>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</si>
  <si>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</si>
  <si>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</si>
  <si>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</si>
  <si>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</si>
  <si>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</si>
  <si>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</si>
  <si>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</si>
  <si>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</si>
  <si>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</si>
  <si>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</si>
  <si>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</si>
  <si>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</si>
  <si>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</si>
  <si>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</si>
  <si>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</si>
  <si>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</si>
  <si>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</si>
  <si>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</si>
  <si>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</si>
  <si>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</si>
  <si>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</si>
  <si>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</si>
  <si>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</si>
  <si>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</si>
  <si>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</si>
  <si>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</si>
  <si>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</si>
  <si>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</si>
  <si>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</si>
  <si>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</si>
  <si>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</si>
  <si>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</si>
  <si>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</si>
  <si>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</si>
  <si>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</si>
  <si>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</si>
  <si>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</si>
  <si>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</si>
  <si>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</si>
  <si>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</si>
  <si>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</si>
  <si>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</si>
  <si>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</si>
  <si>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</si>
  <si>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</si>
  <si>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</si>
  <si>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</si>
  <si>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</si>
  <si>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</si>
  <si>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</si>
  <si>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</si>
  <si>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</si>
  <si>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</si>
  <si>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</si>
  <si>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</si>
  <si>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</si>
  <si>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</si>
  <si>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</si>
  <si>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</si>
  <si>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</si>
  <si>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</si>
  <si>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</si>
  <si>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</si>
  <si>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</si>
  <si>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</si>
  <si>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</si>
  <si>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</si>
  <si>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</si>
  <si>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</si>
  <si>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</si>
  <si>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</si>
  <si>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</si>
  <si>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</si>
  <si>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</si>
  <si>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</si>
  <si>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</si>
  <si>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</si>
  <si>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</si>
  <si>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</si>
  <si>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</si>
  <si>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</si>
  <si>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</si>
  <si>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</si>
  <si>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</si>
  <si>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</si>
  <si>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</si>
  <si>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</si>
  <si>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</si>
  <si>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</si>
  <si>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</si>
  <si>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</si>
  <si>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</si>
  <si>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</si>
  <si>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</si>
  <si>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</si>
  <si>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</si>
  <si>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</si>
  <si>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</si>
  <si>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</si>
  <si>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</si>
  <si>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</si>
  <si>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</si>
  <si>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</si>
  <si>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</si>
  <si>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</si>
  <si>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</si>
  <si>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</si>
  <si>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</si>
  <si>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</si>
  <si>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</si>
  <si>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</si>
  <si>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</si>
  <si>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</si>
  <si>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</si>
  <si>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</si>
  <si>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</si>
  <si>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</si>
  <si>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</si>
  <si>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</si>
  <si>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</si>
  <si>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</si>
  <si>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</si>
  <si>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</si>
  <si>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</si>
  <si>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</si>
  <si>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</si>
  <si>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</si>
  <si>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</si>
  <si>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</si>
  <si>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</si>
  <si>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</si>
  <si>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</si>
  <si>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</si>
  <si>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</si>
  <si>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</si>
  <si>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</si>
  <si>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</si>
  <si>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</si>
  <si>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</si>
  <si>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</si>
  <si>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</si>
  <si>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</si>
  <si>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</si>
  <si>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</si>
  <si>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</si>
  <si>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</si>
  <si>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</si>
  <si>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</si>
  <si>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</si>
  <si>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</si>
  <si>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</si>
  <si>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</si>
  <si>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</si>
  <si>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</si>
  <si>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</si>
  <si>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</si>
  <si>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</si>
  <si>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</si>
  <si>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</si>
  <si>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</si>
  <si>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</si>
  <si>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</si>
  <si>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</si>
  <si>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</si>
  <si>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</si>
  <si>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</si>
  <si>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</si>
  <si>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</si>
  <si>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</si>
  <si>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</si>
  <si>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</si>
  <si>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</si>
  <si>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</si>
  <si>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</si>
  <si>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</si>
  <si>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</si>
  <si>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</si>
  <si>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</si>
  <si>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</si>
  <si>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</si>
  <si>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</si>
  <si>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</si>
  <si>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</si>
  <si>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</si>
  <si>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</si>
  <si>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</si>
  <si>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</si>
  <si>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</si>
  <si>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</si>
  <si>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</si>
  <si>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</si>
  <si>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</si>
  <si>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</si>
  <si>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</si>
  <si>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</si>
  <si>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</si>
  <si>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</si>
  <si>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</si>
  <si>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</si>
  <si>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</si>
  <si>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</si>
  <si>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</si>
  <si>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</si>
  <si>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</si>
  <si>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</si>
  <si>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</si>
  <si>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</si>
  <si>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</si>
  <si>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</si>
  <si>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</si>
  <si>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</si>
  <si>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</si>
  <si>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</si>
  <si>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</si>
  <si>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</si>
  <si>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</si>
  <si>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</si>
  <si>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</si>
  <si>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</si>
  <si>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</si>
  <si>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</si>
  <si>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</si>
  <si>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</si>
  <si>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</si>
  <si>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</si>
  <si>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</si>
  <si>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</si>
  <si>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</si>
  <si>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</si>
  <si>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</si>
  <si>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</si>
  <si>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</si>
  <si>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</si>
  <si>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</si>
  <si>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</si>
  <si>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</si>
  <si>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</si>
  <si>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</si>
  <si>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</si>
  <si>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</si>
  <si>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</si>
  <si>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</si>
  <si>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</si>
  <si>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</si>
  <si>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</si>
  <si>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</si>
  <si>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</si>
  <si>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</si>
  <si>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</si>
  <si>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</si>
  <si>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</si>
  <si>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</si>
  <si>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</si>
  <si>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</si>
  <si>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</si>
  <si>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</si>
  <si>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</si>
  <si>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</si>
  <si>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</si>
  <si>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</si>
  <si>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</si>
  <si>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</si>
  <si>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</si>
  <si>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</si>
  <si>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</si>
  <si>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</si>
  <si>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</si>
  <si>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</si>
  <si>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</si>
  <si>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</si>
  <si>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</si>
  <si>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</si>
  <si>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</si>
  <si>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</si>
  <si>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</si>
  <si>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</si>
  <si>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</si>
  <si>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</si>
  <si>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</si>
  <si>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</si>
  <si>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</si>
  <si>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</si>
  <si>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</si>
  <si>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</si>
  <si>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</si>
  <si>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</si>
  <si>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</si>
  <si>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</si>
  <si>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</si>
  <si>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</si>
  <si>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</si>
  <si>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</si>
  <si>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</si>
  <si>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</si>
  <si>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</si>
  <si>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</si>
  <si>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</si>
  <si>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</si>
  <si>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</si>
  <si>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</si>
  <si>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</si>
  <si>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</si>
  <si>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</si>
  <si>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</si>
  <si>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</si>
  <si>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</si>
  <si>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</si>
  <si>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</si>
  <si>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</si>
  <si>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</si>
  <si>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</si>
  <si>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</si>
  <si>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</si>
  <si>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</si>
  <si>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</si>
  <si>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</si>
  <si>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</si>
  <si>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</si>
  <si>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</si>
  <si>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</si>
  <si>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</si>
  <si>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</si>
  <si>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</si>
  <si>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</si>
  <si>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</si>
  <si>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</si>
  <si>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</si>
  <si>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</si>
  <si>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</si>
  <si>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</si>
  <si>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</si>
  <si>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</si>
  <si>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</si>
  <si>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</si>
  <si>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</si>
  <si>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</si>
  <si>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</si>
  <si>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</si>
  <si>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</si>
  <si>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</si>
  <si>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</si>
  <si>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</si>
  <si>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</si>
  <si>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</si>
  <si>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</si>
  <si>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</si>
  <si>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</si>
  <si>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</si>
  <si>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</si>
  <si>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</si>
  <si>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</si>
  <si>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</si>
  <si>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</si>
  <si>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</si>
  <si>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</si>
  <si>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</si>
  <si>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</si>
  <si>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</si>
  <si>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</si>
  <si>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</si>
  <si>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</si>
  <si>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</si>
  <si>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</si>
  <si>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</si>
  <si>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</si>
  <si>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</si>
  <si>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</si>
  <si>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</si>
  <si>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</si>
  <si>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</si>
  <si>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</si>
  <si>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</si>
  <si>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</si>
  <si>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</si>
  <si>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</si>
  <si>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</si>
  <si>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</si>
  <si>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</si>
  <si>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</si>
  <si>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</si>
  <si>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</si>
  <si>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</si>
  <si>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</si>
  <si>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</si>
  <si>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</si>
  <si>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</si>
  <si>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</si>
  <si>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</si>
  <si>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</si>
  <si>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</si>
  <si>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</si>
  <si>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</si>
  <si>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</si>
  <si>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</si>
  <si>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</si>
  <si>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</si>
  <si>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</si>
  <si>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</si>
  <si>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</si>
  <si>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</si>
  <si>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</si>
  <si>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</si>
  <si>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</si>
  <si>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</si>
  <si>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</si>
  <si>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</si>
  <si>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</si>
  <si>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</si>
  <si>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</si>
  <si>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</si>
  <si>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</si>
  <si>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</si>
  <si>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</si>
  <si>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</si>
  <si>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</si>
  <si>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</si>
  <si>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</si>
  <si>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</si>
  <si>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</si>
  <si>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</si>
  <si>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</si>
  <si>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</si>
  <si>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</si>
  <si>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</si>
  <si>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</si>
  <si>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</si>
  <si>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</si>
  <si>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</si>
  <si>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</si>
  <si>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</si>
  <si>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</si>
  <si>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</si>
  <si>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</si>
  <si>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</si>
  <si>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</si>
  <si>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</si>
  <si>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</si>
  <si>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</si>
  <si>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</si>
  <si>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</si>
  <si>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</si>
  <si>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</si>
  <si>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</si>
  <si>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</si>
  <si>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</si>
  <si>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</si>
  <si>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</si>
  <si>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</si>
  <si>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</si>
  <si>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</si>
  <si>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</si>
  <si>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</si>
  <si>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</si>
  <si>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</si>
  <si>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</si>
  <si>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</si>
  <si>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</si>
  <si>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</si>
  <si>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</si>
  <si>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</si>
  <si>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</si>
  <si>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</si>
  <si>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</si>
  <si>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</si>
  <si>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</si>
  <si>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</si>
  <si>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</si>
  <si>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</si>
  <si>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</si>
  <si>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</si>
  <si>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</si>
  <si>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</si>
  <si>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</si>
  <si>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</si>
  <si>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</si>
  <si>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</si>
  <si>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</si>
  <si>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</si>
  <si>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</si>
  <si>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</si>
  <si>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</si>
  <si>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</si>
  <si>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</si>
  <si>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</si>
  <si>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</si>
  <si>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</si>
  <si>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</si>
  <si>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</si>
  <si>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</si>
  <si>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</si>
  <si>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</si>
  <si>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</si>
  <si>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</si>
  <si>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</si>
  <si>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</si>
  <si>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</si>
  <si>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</si>
  <si>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</si>
  <si>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</si>
  <si>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</si>
  <si>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</si>
  <si>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</si>
  <si>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</si>
  <si>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</si>
  <si>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</si>
  <si>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</si>
  <si>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</si>
  <si>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</si>
  <si>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</si>
  <si>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</si>
  <si>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</si>
  <si>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</si>
  <si>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</si>
  <si>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</si>
  <si>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</si>
  <si>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</si>
  <si>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</si>
  <si>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</si>
  <si>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</si>
  <si>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</si>
  <si>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</si>
  <si>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</si>
  <si>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</si>
  <si>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</si>
  <si>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</si>
  <si>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</si>
  <si>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</si>
  <si>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</si>
  <si>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</si>
  <si>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</si>
  <si>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</si>
  <si>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</si>
  <si>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</si>
  <si>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</si>
  <si>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</si>
  <si>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</si>
  <si>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</si>
  <si>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</si>
  <si>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</si>
  <si>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</si>
  <si>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</si>
  <si>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</si>
  <si>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</si>
  <si>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</si>
  <si>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</si>
  <si>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</si>
  <si>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</si>
  <si>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</si>
  <si>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</si>
  <si>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</si>
  <si>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</si>
  <si>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</si>
  <si>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</si>
  <si>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</si>
  <si>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</si>
  <si>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</si>
  <si>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</si>
  <si>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</si>
  <si>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</si>
  <si>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</si>
  <si>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</si>
  <si>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</si>
  <si>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</si>
  <si>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</si>
  <si>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</si>
  <si>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</si>
  <si>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</si>
  <si>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</si>
  <si>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</si>
  <si>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</si>
  <si>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</si>
  <si>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</si>
  <si>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</si>
  <si>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</si>
  <si>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</si>
  <si>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</si>
  <si>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</si>
  <si>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</si>
  <si>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</si>
  <si>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</si>
  <si>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</si>
  <si>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</si>
  <si>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</si>
  <si>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</si>
  <si>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</si>
  <si>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</si>
  <si>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</si>
  <si>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</si>
  <si>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</si>
  <si>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</si>
  <si>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</si>
  <si>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</si>
  <si>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</si>
  <si>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</si>
  <si>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</si>
  <si>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</si>
  <si>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</si>
  <si>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</si>
  <si>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</si>
  <si>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</si>
  <si>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</si>
  <si>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</si>
  <si>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</si>
  <si>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</si>
  <si>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</si>
  <si>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</si>
  <si>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</si>
  <si>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</si>
  <si>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</si>
  <si>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</si>
  <si>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</si>
  <si>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</si>
  <si>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</si>
  <si>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</si>
  <si>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</si>
  <si>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</si>
  <si>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</si>
  <si>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</si>
  <si>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</si>
  <si>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</si>
  <si>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</si>
  <si>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</si>
  <si>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</si>
  <si>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</si>
  <si>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</si>
  <si>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</si>
  <si>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</si>
  <si>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</si>
  <si>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</si>
  <si>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</si>
  <si>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</si>
  <si>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</si>
  <si>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</si>
  <si>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</si>
  <si>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</si>
  <si>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</si>
  <si>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</si>
  <si>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</si>
  <si>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</si>
  <si>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</si>
  <si>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</si>
  <si>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</si>
  <si>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</si>
  <si>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</si>
  <si>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</si>
  <si>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</si>
  <si>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</si>
  <si>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</si>
  <si>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</si>
  <si>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</si>
  <si>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</si>
  <si>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</si>
  <si>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</si>
  <si>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</si>
  <si>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</si>
  <si>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</si>
  <si>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</si>
  <si>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</si>
  <si>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</si>
  <si>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</si>
  <si>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</si>
  <si>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</si>
  <si>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</si>
  <si>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</si>
  <si>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</si>
  <si>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</si>
  <si>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</si>
  <si>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</si>
  <si>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</si>
  <si>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</si>
  <si>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</si>
  <si>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</si>
  <si>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</si>
  <si>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</si>
  <si>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</si>
  <si>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</si>
  <si>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</si>
  <si>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</si>
  <si>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</si>
  <si>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</si>
  <si>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</si>
  <si>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</si>
  <si>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</si>
  <si>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</si>
  <si>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</si>
  <si>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</si>
  <si>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</si>
  <si>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</si>
  <si>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</si>
  <si>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</si>
  <si>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</si>
  <si>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</si>
  <si>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</si>
  <si>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</si>
  <si>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</si>
  <si>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</si>
  <si>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</si>
  <si>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</si>
  <si>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</si>
  <si>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</si>
  <si>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</si>
  <si>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</si>
  <si>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</si>
  <si>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</si>
  <si>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</si>
  <si>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</si>
  <si>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</si>
  <si>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</si>
  <si>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</si>
  <si>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</si>
  <si>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</si>
  <si>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</si>
  <si>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</si>
  <si>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</si>
  <si>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</si>
  <si>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</si>
  <si>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</si>
  <si>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</si>
  <si>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</si>
  <si>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</si>
  <si>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</si>
  <si>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</si>
  <si>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</si>
  <si>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</si>
  <si>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</si>
  <si>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</si>
  <si>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</si>
  <si>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</si>
  <si>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</si>
  <si>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</si>
  <si>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</si>
  <si>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</si>
  <si>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</si>
  <si>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</si>
  <si>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</si>
  <si>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</si>
  <si>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</si>
  <si>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</si>
  <si>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</si>
  <si>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</si>
  <si>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</si>
  <si>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</si>
  <si>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</si>
  <si>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</si>
  <si>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</si>
  <si>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</si>
  <si>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</si>
  <si>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</si>
  <si>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</si>
  <si>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</si>
  <si>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</si>
  <si>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</si>
  <si>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</si>
  <si>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</si>
  <si>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</si>
  <si>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</si>
  <si>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</si>
  <si>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</si>
  <si>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</si>
  <si>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</si>
  <si>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</si>
  <si>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</si>
  <si>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</si>
  <si>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</si>
  <si>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</si>
  <si>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</si>
  <si>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</si>
  <si>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</si>
  <si>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</si>
  <si>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</si>
  <si>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</si>
  <si>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</si>
  <si>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</si>
  <si>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</si>
  <si>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</si>
  <si>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</si>
  <si>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</si>
  <si>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</si>
  <si>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</si>
  <si>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</si>
  <si>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</si>
  <si>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</si>
  <si>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</si>
  <si>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</si>
  <si>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</si>
  <si>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</si>
  <si>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</si>
  <si>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</si>
  <si>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</si>
  <si>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</si>
  <si>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</si>
  <si>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</si>
  <si>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</si>
  <si>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</si>
  <si>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</si>
  <si>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</si>
  <si>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</si>
  <si>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</si>
  <si>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</si>
  <si>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</si>
  <si>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</si>
  <si>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</si>
  <si>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</si>
  <si>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</si>
  <si>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</si>
  <si>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</si>
  <si>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</si>
  <si>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</si>
  <si>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</si>
  <si>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</si>
  <si>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</si>
  <si>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</si>
  <si>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</si>
  <si>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</si>
  <si>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</si>
  <si>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</si>
  <si>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</si>
  <si>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</si>
  <si>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</si>
  <si>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</si>
  <si>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</si>
  <si>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</si>
  <si>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</si>
  <si>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</si>
  <si>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</si>
  <si>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</si>
  <si>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</si>
  <si>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</si>
  <si>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</si>
  <si>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</si>
  <si>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</si>
  <si>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</si>
  <si>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</si>
  <si>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</si>
  <si>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</si>
  <si>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</si>
  <si>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</si>
  <si>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</si>
  <si>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</si>
  <si>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</si>
  <si>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</si>
  <si>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</si>
  <si>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</si>
  <si>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</si>
  <si>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</si>
  <si>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</si>
  <si>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</si>
  <si>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</si>
  <si>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</si>
  <si>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</si>
  <si>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</si>
  <si>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</si>
  <si>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</si>
  <si>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</si>
  <si>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</si>
  <si>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</si>
  <si>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</si>
  <si>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</si>
  <si>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</si>
  <si>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</si>
  <si>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</si>
  <si>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</si>
  <si>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</si>
  <si>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</si>
  <si>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</si>
  <si>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</si>
  <si>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</si>
  <si>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</si>
  <si>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</si>
  <si>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</si>
  <si>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</si>
  <si>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</si>
  <si>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</si>
  <si>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</si>
  <si>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</si>
  <si>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</si>
  <si>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</si>
  <si>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</si>
  <si>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</si>
  <si>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</si>
  <si>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</si>
  <si>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</si>
  <si>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</si>
  <si>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</si>
  <si>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</si>
  <si>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</si>
  <si>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</si>
  <si>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</si>
  <si>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</si>
  <si>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</si>
  <si>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</si>
  <si>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</si>
  <si>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</si>
  <si>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</si>
  <si>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</si>
  <si>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</si>
  <si>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</si>
  <si>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</si>
  <si>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</si>
  <si>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</si>
  <si>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</si>
  <si>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</si>
  <si>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</si>
  <si>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</si>
  <si>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</si>
  <si>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</si>
  <si>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</si>
  <si>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</si>
  <si>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</si>
  <si>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</si>
  <si>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</si>
  <si>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</si>
  <si>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</si>
  <si>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</si>
  <si>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</si>
  <si>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</si>
  <si>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</si>
  <si>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</si>
  <si>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</si>
  <si>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</si>
  <si>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</si>
  <si>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</si>
  <si>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</si>
  <si>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</si>
  <si>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</si>
  <si>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</si>
  <si>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</si>
  <si>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</si>
  <si>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</si>
  <si>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</si>
  <si>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</si>
  <si>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</si>
  <si>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</si>
  <si>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</si>
  <si>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</si>
  <si>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</si>
  <si>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</si>
  <si>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</si>
  <si>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</si>
  <si>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</si>
  <si>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</si>
  <si>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</si>
  <si>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</si>
  <si>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</si>
  <si>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</si>
  <si>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</si>
  <si>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</si>
  <si>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</si>
  <si>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</si>
  <si>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</si>
  <si>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</si>
  <si>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</si>
  <si>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</si>
  <si>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</si>
  <si>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</si>
  <si>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</si>
  <si>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</si>
  <si>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</si>
  <si>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</si>
  <si>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</si>
  <si>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</si>
  <si>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</si>
  <si>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</si>
  <si>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</si>
  <si>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</si>
  <si>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</si>
  <si>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</si>
  <si>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</si>
  <si>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</si>
  <si>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</si>
  <si>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</si>
  <si>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</si>
  <si>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</si>
  <si>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</si>
  <si>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</si>
  <si>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</si>
  <si>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</si>
  <si>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</si>
  <si>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</si>
  <si>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</si>
  <si>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</si>
  <si>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</si>
  <si>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</si>
  <si>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</si>
  <si>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</si>
  <si>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</si>
  <si>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</si>
  <si>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</si>
  <si>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</si>
  <si>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</si>
  <si>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</si>
  <si>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</si>
  <si>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</si>
  <si>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</si>
  <si>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</si>
  <si>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</si>
  <si>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</si>
  <si>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</si>
  <si>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</si>
  <si>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</si>
  <si>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</si>
  <si>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</si>
  <si>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</si>
  <si>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</si>
  <si>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</si>
  <si>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</si>
  <si>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</si>
  <si>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</si>
  <si>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</si>
  <si>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</si>
  <si>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</si>
  <si>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</si>
  <si>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</si>
  <si>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</si>
  <si>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</si>
  <si>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</si>
  <si>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</si>
  <si>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</si>
  <si>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</si>
  <si>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</si>
  <si>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</si>
  <si>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</si>
  <si>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</si>
  <si>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</si>
  <si>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</si>
  <si>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</si>
  <si>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</si>
  <si>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</si>
  <si>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</si>
  <si>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</si>
  <si>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</si>
  <si>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</si>
  <si>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</si>
  <si>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</si>
  <si>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</si>
  <si>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</si>
  <si>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</si>
  <si>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</si>
  <si>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</si>
  <si>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</si>
  <si>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</si>
  <si>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</si>
  <si>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</si>
  <si>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</si>
  <si>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</si>
  <si>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</si>
  <si>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</si>
  <si>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</si>
  <si>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</si>
  <si>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</si>
  <si>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</si>
  <si>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</si>
  <si>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</si>
  <si>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</si>
  <si>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</si>
  <si>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</si>
  <si>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</si>
  <si>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</si>
  <si>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</si>
  <si>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</si>
  <si>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</si>
  <si>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</si>
  <si>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</si>
  <si>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</si>
  <si>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</si>
  <si>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</si>
  <si>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</si>
  <si>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</si>
  <si>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</si>
  <si>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</si>
  <si>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</si>
  <si>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</si>
  <si>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</si>
  <si>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</si>
  <si>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</si>
  <si>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</si>
  <si>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</si>
  <si>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</si>
  <si>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</si>
  <si>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</si>
  <si>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</si>
  <si>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</si>
  <si>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</si>
  <si>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</si>
  <si>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</si>
  <si>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</si>
  <si>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</si>
  <si>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</si>
  <si>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</si>
  <si>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</si>
  <si>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</si>
  <si>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</si>
  <si>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</si>
  <si>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</si>
  <si>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</si>
  <si>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</si>
  <si>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</si>
  <si>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</si>
  <si>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</si>
  <si>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</si>
  <si>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</si>
  <si>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</si>
  <si>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</si>
  <si>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</si>
  <si>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</si>
  <si>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</si>
  <si>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</si>
  <si>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</si>
  <si>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</si>
  <si>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</si>
  <si>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</si>
  <si>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</si>
  <si>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</si>
  <si>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</si>
  <si>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</si>
  <si>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</si>
  <si>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</si>
  <si>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</si>
  <si>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</si>
  <si>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</si>
  <si>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</si>
  <si>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</si>
  <si>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</si>
  <si>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</si>
  <si>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</si>
  <si>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</si>
  <si>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</si>
  <si>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</si>
  <si>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</si>
  <si>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</si>
  <si>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</si>
  <si>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</si>
  <si>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</si>
  <si>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</si>
  <si>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</si>
  <si>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</si>
  <si>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</si>
  <si>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</si>
  <si>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</si>
  <si>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</si>
  <si>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</si>
  <si>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</si>
  <si>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</si>
  <si>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</si>
  <si>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</si>
  <si>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</si>
  <si>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</si>
  <si>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</si>
  <si>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</si>
  <si>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</si>
  <si>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</si>
  <si>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</si>
  <si>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</si>
  <si>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</si>
  <si>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</si>
  <si>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</si>
  <si>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</si>
  <si>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</si>
  <si>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</si>
  <si>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</si>
  <si>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</si>
  <si>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</si>
  <si>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</si>
  <si>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</si>
  <si>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</si>
  <si>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</si>
  <si>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</si>
  <si>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</si>
  <si>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</si>
  <si>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</si>
  <si>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</si>
  <si>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</si>
  <si>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</si>
  <si>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</si>
  <si>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</si>
  <si>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</si>
  <si>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</si>
  <si>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</si>
  <si>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</si>
  <si>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</si>
  <si>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</si>
  <si>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</si>
  <si>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</si>
  <si>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</si>
  <si>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</si>
  <si>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</si>
  <si>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</si>
  <si>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</si>
  <si>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</si>
  <si>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</si>
  <si>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</si>
  <si>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</si>
  <si>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</si>
  <si>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</si>
  <si>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</si>
  <si>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</si>
  <si>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</si>
  <si>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</si>
  <si>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</si>
  <si>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</si>
  <si>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</si>
  <si>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</si>
  <si>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</si>
  <si>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</si>
  <si>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</si>
  <si>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</si>
  <si>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</si>
  <si>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</si>
  <si>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</si>
  <si>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</si>
  <si>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</si>
  <si>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</si>
  <si>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</si>
  <si>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</si>
  <si>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</si>
  <si>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</si>
  <si>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</si>
  <si>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</si>
  <si>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</si>
  <si>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</si>
  <si>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</si>
  <si>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</si>
  <si>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</si>
  <si>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</si>
  <si>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</si>
  <si>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</si>
  <si>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</si>
  <si>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</si>
  <si>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</si>
  <si>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</si>
  <si>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</si>
  <si>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</si>
  <si>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</si>
  <si>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</si>
  <si>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</si>
  <si>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</si>
  <si>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</si>
  <si>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</si>
  <si>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</si>
  <si>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</si>
  <si>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</si>
  <si>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</si>
  <si>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</si>
  <si>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</si>
  <si>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</si>
  <si>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</si>
  <si>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</si>
  <si>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</si>
  <si>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</si>
  <si>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</si>
  <si>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</si>
  <si>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</si>
  <si>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</si>
  <si>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</si>
  <si>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</si>
  <si>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</si>
  <si>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</si>
  <si>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</si>
  <si>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</si>
  <si>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</si>
  <si>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</si>
  <si>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</si>
  <si>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</si>
  <si>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</si>
  <si>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</si>
  <si>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</si>
  <si>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</si>
  <si>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</si>
  <si>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</si>
  <si>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</si>
  <si>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</si>
  <si>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</si>
  <si>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</si>
  <si>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</si>
  <si>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</si>
  <si>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</si>
  <si>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</si>
  <si>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</si>
  <si>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</si>
  <si>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</si>
  <si>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</si>
  <si>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</si>
  <si>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</si>
  <si>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</si>
  <si>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</si>
  <si>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</si>
  <si>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</si>
  <si>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</si>
  <si>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</si>
  <si>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</si>
  <si>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</si>
  <si>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</si>
  <si>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</si>
  <si>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</si>
  <si>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</si>
  <si>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</si>
  <si>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</si>
  <si>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</si>
  <si>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</si>
  <si>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</si>
  <si>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</si>
  <si>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</si>
  <si>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</si>
  <si>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</si>
  <si>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</si>
  <si>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</si>
  <si>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</si>
  <si>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</si>
  <si>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</si>
  <si>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</si>
  <si>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</si>
  <si>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</si>
  <si>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</si>
  <si>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</si>
  <si>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</si>
  <si>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</si>
  <si>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</si>
  <si>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</si>
  <si>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</si>
  <si>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</si>
  <si>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</si>
  <si>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</si>
  <si>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</si>
  <si>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</si>
  <si>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</si>
  <si>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</si>
  <si>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</si>
  <si>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</si>
  <si>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</si>
  <si>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</si>
  <si>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</si>
  <si>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</si>
  <si>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</si>
  <si>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</si>
  <si>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</si>
  <si>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</si>
  <si>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</si>
  <si>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</si>
  <si>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</si>
  <si>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</si>
  <si>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</si>
  <si>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</si>
  <si>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</si>
  <si>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</si>
  <si>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</si>
  <si>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</si>
  <si>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</si>
  <si>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</si>
  <si>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</si>
  <si>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</si>
  <si>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</si>
  <si>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</si>
  <si>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</si>
  <si>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</si>
  <si>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</si>
  <si>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</si>
  <si>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</si>
  <si>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</si>
  <si>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</si>
  <si>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</si>
  <si>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</si>
  <si>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</si>
  <si>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</si>
  <si>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</si>
  <si>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</si>
  <si>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</si>
  <si>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</si>
  <si>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</si>
  <si>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</si>
  <si>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</si>
  <si>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</si>
  <si>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</si>
  <si>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</si>
  <si>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</si>
  <si>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</si>
  <si>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</si>
  <si>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</si>
  <si>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</si>
  <si>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</si>
  <si>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</si>
  <si>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</si>
  <si>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</si>
  <si>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</si>
  <si>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出让</t>
  </si>
  <si>
    <t>北京市</t>
  </si>
  <si>
    <t>企业</t>
  </si>
  <si>
    <t>北京京雁置业有限责任公司</t>
    <phoneticPr fontId="7" type="noConversion"/>
  </si>
  <si>
    <t>兴业银行西城支行</t>
    <phoneticPr fontId="7" type="noConversion"/>
  </si>
  <si>
    <t>抵押</t>
  </si>
  <si>
    <t>房地产抵押价值</t>
  </si>
  <si>
    <r>
      <rPr>
        <sz val="12"/>
        <color theme="9" tint="-0.249977111117893"/>
        <rFont val="宋体"/>
        <family val="3"/>
        <charset val="134"/>
      </rPr>
      <t>怀柔区雁栖湖柏崖厂村</t>
    </r>
    <r>
      <rPr>
        <sz val="12"/>
        <color theme="9" tint="-0.249977111117893"/>
        <rFont val="Arial"/>
        <family val="2"/>
      </rPr>
      <t>HR-0009-0113</t>
    </r>
    <r>
      <rPr>
        <sz val="12"/>
        <color theme="9" tint="-0.249977111117893"/>
        <rFont val="宋体"/>
        <family val="3"/>
        <charset val="134"/>
      </rPr>
      <t>地块</t>
    </r>
    <phoneticPr fontId="7" type="noConversion"/>
  </si>
  <si>
    <t>是</t>
  </si>
  <si>
    <t>复印件</t>
  </si>
  <si>
    <t>居住项目</t>
  </si>
  <si>
    <t>低密度住宅</t>
  </si>
  <si>
    <t>否</t>
  </si>
  <si>
    <t>在建</t>
  </si>
  <si>
    <t>通路</t>
  </si>
  <si>
    <t>通电</t>
  </si>
  <si>
    <t>通讯</t>
  </si>
  <si>
    <t>通上水</t>
  </si>
  <si>
    <t>通下水</t>
  </si>
  <si>
    <t>通热</t>
  </si>
  <si>
    <t>燃气</t>
  </si>
  <si>
    <t>Ⅹ-怀1</t>
  </si>
  <si>
    <t>地上</t>
  </si>
  <si>
    <t>住宅</t>
  </si>
  <si>
    <t>中水处理站</t>
    <phoneticPr fontId="4" type="noConversion"/>
  </si>
  <si>
    <t>一期</t>
    <phoneticPr fontId="4" type="noConversion"/>
  </si>
  <si>
    <t>二期</t>
    <phoneticPr fontId="4" type="noConversion"/>
  </si>
  <si>
    <t>地下</t>
  </si>
  <si>
    <t>仓储</t>
  </si>
  <si>
    <t>地下车库及人防出入口</t>
    <phoneticPr fontId="4" type="noConversion"/>
  </si>
  <si>
    <t>车库</t>
  </si>
  <si>
    <t>低基配电室</t>
    <phoneticPr fontId="4" type="noConversion"/>
  </si>
  <si>
    <t>洋房</t>
  </si>
  <si>
    <t>洋房</t>
    <phoneticPr fontId="8" type="noConversion"/>
  </si>
  <si>
    <t>叠拼</t>
  </si>
  <si>
    <t>叠拼</t>
    <phoneticPr fontId="8" type="noConversion"/>
  </si>
  <si>
    <t>联排</t>
  </si>
  <si>
    <t>联排</t>
    <phoneticPr fontId="8" type="noConversion"/>
  </si>
  <si>
    <t>商业</t>
    <phoneticPr fontId="8" type="noConversion"/>
  </si>
  <si>
    <t>仓储</t>
    <phoneticPr fontId="8" type="noConversion"/>
  </si>
  <si>
    <t>地下车库</t>
    <phoneticPr fontId="8" type="noConversion"/>
  </si>
  <si>
    <t>分期</t>
    <phoneticPr fontId="144" type="noConversion"/>
  </si>
  <si>
    <t>一期</t>
    <phoneticPr fontId="144" type="noConversion"/>
  </si>
  <si>
    <t>楼号</t>
  </si>
  <si>
    <t>楼号</t>
    <phoneticPr fontId="144" type="noConversion"/>
  </si>
  <si>
    <t>二期</t>
    <phoneticPr fontId="144" type="noConversion"/>
  </si>
  <si>
    <t>楼层</t>
    <phoneticPr fontId="144" type="noConversion"/>
  </si>
  <si>
    <t>类型</t>
    <phoneticPr fontId="144" type="noConversion"/>
  </si>
  <si>
    <t>地上</t>
    <phoneticPr fontId="144" type="noConversion"/>
  </si>
  <si>
    <t>地下</t>
    <phoneticPr fontId="144" type="noConversion"/>
  </si>
  <si>
    <t>洋房</t>
    <phoneticPr fontId="144" type="noConversion"/>
  </si>
  <si>
    <t>叠拼</t>
    <phoneticPr fontId="144" type="noConversion"/>
  </si>
  <si>
    <t>联排</t>
    <phoneticPr fontId="144" type="noConversion"/>
  </si>
  <si>
    <t>项目全部</t>
  </si>
  <si>
    <t>成本法</t>
  </si>
  <si>
    <t>假设开发法</t>
  </si>
  <si>
    <t>序号</t>
  </si>
  <si>
    <t>建筑面积</t>
  </si>
  <si>
    <t>单价记录</t>
  </si>
  <si>
    <t>总价记录</t>
  </si>
  <si>
    <t>规划用途</t>
  </si>
  <si>
    <t>房号</t>
  </si>
  <si>
    <t>正常</t>
  </si>
  <si>
    <t>39#住宅</t>
  </si>
  <si>
    <t>3单元-402</t>
  </si>
  <si>
    <t>32#住宅</t>
  </si>
  <si>
    <t>1单元-402</t>
  </si>
  <si>
    <t>2单元-602</t>
  </si>
  <si>
    <t>38#住宅</t>
  </si>
  <si>
    <t>3单元-302</t>
  </si>
  <si>
    <t>3单元-602</t>
  </si>
  <si>
    <t>41#住宅</t>
  </si>
  <si>
    <t>4单元-501</t>
  </si>
  <si>
    <t>3单元-501</t>
  </si>
  <si>
    <t>4单元-401</t>
  </si>
  <si>
    <t>2单元-502</t>
  </si>
  <si>
    <t>2单元-302</t>
  </si>
  <si>
    <t>37#住宅</t>
  </si>
  <si>
    <t>1单元-401</t>
  </si>
  <si>
    <t>4单元-402</t>
  </si>
  <si>
    <t>2单元-501</t>
  </si>
  <si>
    <r>
      <t>5单元-</t>
    </r>
    <r>
      <rPr>
        <sz val="11"/>
        <color theme="1"/>
        <rFont val="宋体"/>
        <family val="3"/>
        <charset val="134"/>
        <scheme val="minor"/>
      </rPr>
      <t>301</t>
    </r>
  </si>
  <si>
    <r>
      <t>3单元-</t>
    </r>
    <r>
      <rPr>
        <sz val="11"/>
        <color theme="1"/>
        <rFont val="宋体"/>
        <family val="3"/>
        <charset val="134"/>
        <scheme val="minor"/>
      </rPr>
      <t>402</t>
    </r>
  </si>
  <si>
    <r>
      <t>1单元-</t>
    </r>
    <r>
      <rPr>
        <sz val="11"/>
        <color theme="1"/>
        <rFont val="宋体"/>
        <family val="3"/>
        <charset val="134"/>
        <scheme val="minor"/>
      </rPr>
      <t>201</t>
    </r>
  </si>
  <si>
    <r>
      <t>1单元-</t>
    </r>
    <r>
      <rPr>
        <sz val="11"/>
        <color theme="1"/>
        <rFont val="宋体"/>
        <family val="3"/>
        <charset val="134"/>
        <scheme val="minor"/>
      </rPr>
      <t>402</t>
    </r>
  </si>
  <si>
    <r>
      <t>5单元-</t>
    </r>
    <r>
      <rPr>
        <sz val="11"/>
        <color theme="1"/>
        <rFont val="宋体"/>
        <family val="3"/>
        <charset val="134"/>
        <scheme val="minor"/>
      </rPr>
      <t>302</t>
    </r>
  </si>
  <si>
    <r>
      <t>3单元-</t>
    </r>
    <r>
      <rPr>
        <sz val="11"/>
        <color theme="1"/>
        <rFont val="宋体"/>
        <family val="3"/>
        <charset val="134"/>
        <scheme val="minor"/>
      </rPr>
      <t>501</t>
    </r>
  </si>
  <si>
    <r>
      <t>2单元-</t>
    </r>
    <r>
      <rPr>
        <sz val="11"/>
        <color theme="1"/>
        <rFont val="宋体"/>
        <family val="3"/>
        <charset val="134"/>
        <scheme val="minor"/>
      </rPr>
      <t>401</t>
    </r>
  </si>
  <si>
    <r>
      <t>3单元-</t>
    </r>
    <r>
      <rPr>
        <sz val="11"/>
        <color theme="1"/>
        <rFont val="宋体"/>
        <family val="3"/>
        <charset val="134"/>
        <scheme val="minor"/>
      </rPr>
      <t>502</t>
    </r>
  </si>
  <si>
    <r>
      <t>2单元-</t>
    </r>
    <r>
      <rPr>
        <sz val="11"/>
        <color theme="1"/>
        <rFont val="宋体"/>
        <family val="3"/>
        <charset val="134"/>
        <scheme val="minor"/>
      </rPr>
      <t>402</t>
    </r>
  </si>
  <si>
    <r>
      <t>10单元-</t>
    </r>
    <r>
      <rPr>
        <sz val="11"/>
        <color theme="1"/>
        <rFont val="宋体"/>
        <family val="3"/>
        <charset val="134"/>
        <scheme val="minor"/>
      </rPr>
      <t>402</t>
    </r>
  </si>
  <si>
    <r>
      <t>4单元-</t>
    </r>
    <r>
      <rPr>
        <sz val="11"/>
        <color theme="1"/>
        <rFont val="宋体"/>
        <family val="3"/>
        <charset val="134"/>
        <scheme val="minor"/>
      </rPr>
      <t>401</t>
    </r>
  </si>
  <si>
    <r>
      <t>5单元-</t>
    </r>
    <r>
      <rPr>
        <sz val="11"/>
        <color theme="1"/>
        <rFont val="宋体"/>
        <family val="3"/>
        <charset val="134"/>
        <scheme val="minor"/>
      </rPr>
      <t>403</t>
    </r>
  </si>
  <si>
    <t>5单元-303</t>
  </si>
  <si>
    <t>9单元-401</t>
  </si>
  <si>
    <t>1单元-301</t>
  </si>
  <si>
    <t>9单元-302</t>
  </si>
  <si>
    <t>1单元-201</t>
  </si>
  <si>
    <t>9单元-201</t>
  </si>
  <si>
    <t>5单元-301</t>
  </si>
  <si>
    <t>3单元-401</t>
  </si>
  <si>
    <t>5单元-602</t>
  </si>
  <si>
    <t>5单元-403</t>
  </si>
  <si>
    <t>34#住宅</t>
  </si>
  <si>
    <t>6单元-203</t>
  </si>
  <si>
    <t>33#住宅</t>
  </si>
  <si>
    <t>3单元-601</t>
  </si>
  <si>
    <t>10单元-202</t>
  </si>
  <si>
    <t>11单元-301</t>
  </si>
  <si>
    <t>2单元-401</t>
  </si>
  <si>
    <t>35#住宅</t>
  </si>
  <si>
    <t>2单元-301</t>
  </si>
  <si>
    <t>3单元-502</t>
  </si>
  <si>
    <t>2单元-303</t>
  </si>
  <si>
    <t>11单元-403</t>
  </si>
  <si>
    <t>31#住宅</t>
  </si>
  <si>
    <t>4单元-302</t>
  </si>
  <si>
    <t>10单元-302</t>
  </si>
  <si>
    <t>5单元-401</t>
  </si>
  <si>
    <t>6单元-603</t>
  </si>
  <si>
    <t>2单元-201</t>
  </si>
  <si>
    <t>4单元-601</t>
  </si>
  <si>
    <t>11单元-401</t>
  </si>
  <si>
    <t>40#住宅</t>
  </si>
  <si>
    <t>3单元-301</t>
  </si>
  <si>
    <t>5单元-601</t>
  </si>
  <si>
    <t>7单元-601</t>
  </si>
  <si>
    <t>4单元-602</t>
  </si>
  <si>
    <t>1单元-602</t>
  </si>
  <si>
    <t>5单元-603</t>
  </si>
  <si>
    <t>1单元-202</t>
  </si>
  <si>
    <t>42#住宅</t>
  </si>
  <si>
    <t>4单元-502</t>
  </si>
  <si>
    <t>6单元-303</t>
  </si>
  <si>
    <t>8单元-402</t>
  </si>
  <si>
    <t>1单元-502</t>
  </si>
  <si>
    <t>9单元-101</t>
  </si>
  <si>
    <t>5单元-402</t>
  </si>
  <si>
    <t>9单元-102</t>
  </si>
  <si>
    <t>7单元-202</t>
  </si>
  <si>
    <t>6单元-601</t>
  </si>
  <si>
    <t>6单元-103</t>
  </si>
  <si>
    <t>6单元-602</t>
  </si>
  <si>
    <t>2单元-601</t>
  </si>
  <si>
    <t>1单元-302</t>
  </si>
  <si>
    <t>11单元-201</t>
  </si>
  <si>
    <t>3单元-403</t>
  </si>
  <si>
    <t>5单元-501</t>
  </si>
  <si>
    <t>7单元-402</t>
  </si>
  <si>
    <t>1单元-501</t>
  </si>
  <si>
    <t>5单元-503</t>
  </si>
  <si>
    <t>5单元-502</t>
  </si>
  <si>
    <t>4单元-403</t>
  </si>
  <si>
    <t>2单元-402</t>
  </si>
  <si>
    <t>2单元-603</t>
  </si>
  <si>
    <t>6单元-501</t>
  </si>
  <si>
    <t>23#住宅</t>
  </si>
  <si>
    <t>2单元-202</t>
  </si>
  <si>
    <t>5单元-202</t>
  </si>
  <si>
    <t>3单元-201</t>
  </si>
  <si>
    <t>5单元-203</t>
  </si>
  <si>
    <t>4单元-301</t>
  </si>
  <si>
    <t>5单元-302</t>
  </si>
  <si>
    <t>5单元-201</t>
  </si>
  <si>
    <t>3单元-202</t>
  </si>
  <si>
    <t>1单元-303</t>
  </si>
  <si>
    <t>1单元-403</t>
  </si>
  <si>
    <t>1单元-203</t>
  </si>
  <si>
    <t>4单元-202</t>
  </si>
  <si>
    <t>4单元-201</t>
  </si>
  <si>
    <t>2单元-101</t>
  </si>
  <si>
    <t>7单元-602</t>
  </si>
  <si>
    <t>汇总</t>
    <phoneticPr fontId="144" type="noConversion"/>
  </si>
  <si>
    <r>
      <t>2</t>
    </r>
    <r>
      <rPr>
        <sz val="11"/>
        <color theme="1"/>
        <rFont val="宋体"/>
        <family val="3"/>
        <charset val="134"/>
        <scheme val="minor"/>
      </rPr>
      <t>3#住宅</t>
    </r>
    <phoneticPr fontId="144" type="noConversion"/>
  </si>
  <si>
    <t>面积</t>
    <phoneticPr fontId="144" type="noConversion"/>
  </si>
  <si>
    <t>套数</t>
    <phoneticPr fontId="144" type="noConversion"/>
  </si>
  <si>
    <r>
      <t>3</t>
    </r>
    <r>
      <rPr>
        <sz val="11"/>
        <color theme="1"/>
        <rFont val="宋体"/>
        <family val="3"/>
        <charset val="134"/>
        <scheme val="minor"/>
      </rPr>
      <t>1#住宅</t>
    </r>
    <phoneticPr fontId="144" type="noConversion"/>
  </si>
  <si>
    <r>
      <t>32#住宅</t>
    </r>
    <r>
      <rPr>
        <sz val="11"/>
        <color theme="1"/>
        <rFont val="宋体"/>
        <family val="3"/>
        <charset val="134"/>
        <scheme val="minor"/>
      </rPr>
      <t/>
    </r>
  </si>
  <si>
    <r>
      <t>33#住宅</t>
    </r>
    <r>
      <rPr>
        <sz val="11"/>
        <color theme="1"/>
        <rFont val="宋体"/>
        <family val="3"/>
        <charset val="134"/>
        <scheme val="minor"/>
      </rPr>
      <t/>
    </r>
  </si>
  <si>
    <r>
      <t>34#住宅</t>
    </r>
    <r>
      <rPr>
        <sz val="11"/>
        <color theme="1"/>
        <rFont val="宋体"/>
        <family val="3"/>
        <charset val="134"/>
        <scheme val="minor"/>
      </rPr>
      <t/>
    </r>
  </si>
  <si>
    <r>
      <t>35#住宅</t>
    </r>
    <r>
      <rPr>
        <sz val="11"/>
        <color theme="1"/>
        <rFont val="宋体"/>
        <family val="3"/>
        <charset val="134"/>
        <scheme val="minor"/>
      </rPr>
      <t/>
    </r>
  </si>
  <si>
    <t>37#住宅</t>
    <phoneticPr fontId="144" type="noConversion"/>
  </si>
  <si>
    <t>地块名称</t>
  </si>
  <si>
    <t>城市</t>
  </si>
  <si>
    <t>用地性质</t>
  </si>
  <si>
    <t>出让方式</t>
  </si>
  <si>
    <t>建设用地面积(㎡)</t>
  </si>
  <si>
    <t>规划建筑面积(㎡)</t>
  </si>
  <si>
    <t>容积率</t>
  </si>
  <si>
    <t>截止日期</t>
  </si>
  <si>
    <t>受让单位</t>
  </si>
  <si>
    <t>起始价(万元)</t>
  </si>
  <si>
    <t>成交价(万元)</t>
  </si>
  <si>
    <t>成交楼面价(元/㎡)</t>
  </si>
  <si>
    <t>溢价率</t>
  </si>
  <si>
    <t>综合用地(含住宅)</t>
  </si>
  <si>
    <t>挂牌</t>
  </si>
  <si>
    <t>r2≤1.55,s4≤0.1</t>
  </si>
  <si>
    <t>2019-12-19</t>
  </si>
  <si>
    <t>北京科技园建设(集团)股份有限公司、北京京雁置业有限责任公司、北京北控城市开发有限公司和北京市长城伟业投资开发总公司联合体</t>
  </si>
  <si>
    <t>住宅用地</t>
  </si>
  <si>
    <t>2018-12-11</t>
  </si>
  <si>
    <t>北京拓景商务服务有限公司</t>
  </si>
  <si>
    <t>2018-12-04</t>
  </si>
  <si>
    <t>北京新城金郡房地产开发有限公司</t>
  </si>
  <si>
    <t>住宅</t>
    <phoneticPr fontId="32" type="noConversion"/>
  </si>
  <si>
    <t>70</t>
    <phoneticPr fontId="32" type="noConversion"/>
  </si>
  <si>
    <t>一般</t>
  </si>
  <si>
    <t>较好</t>
  </si>
  <si>
    <t>七通</t>
  </si>
  <si>
    <t>六通</t>
  </si>
  <si>
    <t>规则</t>
  </si>
  <si>
    <t>规则</t>
    <phoneticPr fontId="32" type="noConversion"/>
  </si>
  <si>
    <t>较规则</t>
  </si>
  <si>
    <t>较规则</t>
    <phoneticPr fontId="32" type="noConversion"/>
  </si>
  <si>
    <t>不规则</t>
    <phoneticPr fontId="32" type="noConversion"/>
  </si>
  <si>
    <t>较不规则</t>
  </si>
  <si>
    <t>较不规则</t>
    <phoneticPr fontId="32" type="noConversion"/>
  </si>
  <si>
    <t>较适宜</t>
  </si>
  <si>
    <t>较适宜</t>
    <phoneticPr fontId="32" type="noConversion"/>
  </si>
  <si>
    <t>七通</t>
    <phoneticPr fontId="32" type="noConversion"/>
  </si>
  <si>
    <t>较好</t>
    <phoneticPr fontId="32" type="noConversion"/>
  </si>
  <si>
    <t>未包含在土地购买价格中</t>
  </si>
  <si>
    <t>全部缴纳</t>
  </si>
  <si>
    <t>已包含在土地取得成本中</t>
  </si>
  <si>
    <t>收益法</t>
  </si>
  <si>
    <t>在建（套用方法）</t>
  </si>
  <si>
    <t>押一</t>
  </si>
  <si>
    <t>按租金收入计税</t>
  </si>
  <si>
    <t>钢混</t>
  </si>
  <si>
    <t>非生产用房</t>
  </si>
  <si>
    <t>租金</t>
  </si>
  <si>
    <t>顶秀美泉小镇</t>
    <phoneticPr fontId="4" type="noConversion"/>
  </si>
  <si>
    <t>龙山御景</t>
    <phoneticPr fontId="4" type="noConversion"/>
  </si>
  <si>
    <t>中建府前官邸</t>
    <phoneticPr fontId="4" type="noConversion"/>
  </si>
  <si>
    <t>住宅</t>
    <phoneticPr fontId="26" type="noConversion"/>
  </si>
  <si>
    <t>60-70（含）</t>
  </si>
  <si>
    <t>洋房</t>
    <phoneticPr fontId="26" type="noConversion"/>
  </si>
  <si>
    <t>小高层</t>
  </si>
  <si>
    <t>小高层</t>
    <phoneticPr fontId="26" type="noConversion"/>
  </si>
  <si>
    <t>高层</t>
  </si>
  <si>
    <t>高层</t>
    <phoneticPr fontId="26" type="noConversion"/>
  </si>
  <si>
    <t>钢混</t>
    <phoneticPr fontId="26" type="noConversion"/>
  </si>
  <si>
    <t>中档</t>
  </si>
  <si>
    <t>中档</t>
    <phoneticPr fontId="26" type="noConversion"/>
  </si>
  <si>
    <t>专业</t>
  </si>
  <si>
    <t>专业</t>
    <phoneticPr fontId="26" type="noConversion"/>
  </si>
  <si>
    <t>七通</t>
    <phoneticPr fontId="26" type="noConversion"/>
  </si>
  <si>
    <t>毛坯</t>
  </si>
  <si>
    <t>毛坯</t>
    <phoneticPr fontId="26" type="noConversion"/>
  </si>
  <si>
    <t>精装</t>
  </si>
  <si>
    <t>精装</t>
    <phoneticPr fontId="26" type="noConversion"/>
  </si>
  <si>
    <t>普装</t>
    <phoneticPr fontId="26" type="noConversion"/>
  </si>
  <si>
    <t>简装</t>
    <phoneticPr fontId="26" type="noConversion"/>
  </si>
  <si>
    <t>北京市顺义区北小营镇顺义新城第30街区30-01-02地块R2二类居住用地、30-01-04地块A33基础教育用地</t>
  </si>
  <si>
    <t>r2≤2,a33≤0.8</t>
  </si>
  <si>
    <t>2019-08-29</t>
  </si>
  <si>
    <t>天津北方彤茂企业管理有限公司和北京城建投资发展股份有限公司联合体</t>
  </si>
  <si>
    <t>北京市顺义区高丽营镇SY02-0102-6001、SY02-0102-6002地块R2二类居住用地</t>
  </si>
  <si>
    <t>≤1.5</t>
  </si>
  <si>
    <t>2019-06-27</t>
  </si>
  <si>
    <t>北京首都开发股份有限公司和富力瑞康有限公司联合体</t>
  </si>
  <si>
    <t>北京市顺义区顺义新城牛栏山组团一级开发项目17-11-07地块(南侧)R2二类居住用地</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</si>
  <si>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</si>
  <si>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</si>
  <si>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</si>
  <si>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北京润置商业运营管理有限公司</t>
  </si>
  <si>
    <t>北京市顺义区顺义新城第13街区SY00-0013-6022等地块R2二类居住用地、A61机构养老用地、A33基础教育用地</t>
  </si>
  <si>
    <t>北京市怀柔区雁栖镇陈各庄村HR00-0010-6047地块R2二类居住用地、HR00-0010-6045和HR00-0010-6054地块S4社会停车场用地</t>
  </si>
  <si>
    <t>北京市怀柔区怀柔新城07街区(杨宋镇凤翔一园10号)HR00-0007-6006地块R2二类居住用地</t>
  </si>
  <si>
    <t>≤2.2</t>
  </si>
  <si>
    <t>招标</t>
  </si>
  <si>
    <t>2019-09-23</t>
  </si>
  <si>
    <t>北京怀胜城市建设开发有限公司和北京怀胜青春广场置业有限公司联合体</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</si>
  <si>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</si>
  <si>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</si>
  <si>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</si>
  <si>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</si>
  <si>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</si>
  <si>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</si>
  <si>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</si>
  <si>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</si>
  <si>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</si>
  <si>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</si>
  <si>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</si>
  <si>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2018-01-18</t>
  </si>
  <si>
    <t>北京京粮置业有限公司</t>
  </si>
  <si>
    <t>限价</t>
    <phoneticPr fontId="32" type="noConversion"/>
  </si>
  <si>
    <t>无</t>
    <phoneticPr fontId="32" type="noConversion"/>
  </si>
  <si>
    <t>限价40935</t>
    <phoneticPr fontId="32" type="noConversion"/>
  </si>
  <si>
    <t>六通</t>
    <phoneticPr fontId="32" type="noConversion"/>
  </si>
  <si>
    <t>五通</t>
    <phoneticPr fontId="32" type="noConversion"/>
  </si>
  <si>
    <t>四通</t>
    <phoneticPr fontId="32" type="noConversion"/>
  </si>
  <si>
    <t>三通</t>
  </si>
  <si>
    <t>三通</t>
    <phoneticPr fontId="32" type="noConversion"/>
  </si>
  <si>
    <t>高速公路</t>
    <phoneticPr fontId="32" type="noConversion"/>
  </si>
  <si>
    <t>城市主干道</t>
  </si>
  <si>
    <t>城市主干道</t>
    <phoneticPr fontId="32" type="noConversion"/>
  </si>
  <si>
    <t>城市次干道</t>
  </si>
  <si>
    <t>城市次干道</t>
    <phoneticPr fontId="32" type="noConversion"/>
  </si>
  <si>
    <t>城市支路</t>
  </si>
  <si>
    <t>城市支路</t>
    <phoneticPr fontId="32" type="noConversion"/>
  </si>
  <si>
    <t>60-140</t>
    <phoneticPr fontId="26" type="noConversion"/>
  </si>
  <si>
    <t>自定义</t>
  </si>
  <si>
    <t>收益法 (车库)</t>
  </si>
  <si>
    <t>收益法 (车库)</t>
    <phoneticPr fontId="17" type="noConversion"/>
  </si>
  <si>
    <t>建筑面积</t>
    <phoneticPr fontId="144" type="noConversion"/>
  </si>
  <si>
    <t>住宅</t>
    <phoneticPr fontId="144" type="noConversion"/>
  </si>
  <si>
    <t>商业</t>
    <phoneticPr fontId="144" type="noConversion"/>
  </si>
  <si>
    <t>地下仓储</t>
    <phoneticPr fontId="144" type="noConversion"/>
  </si>
  <si>
    <t>地下车库</t>
    <phoneticPr fontId="144" type="noConversion"/>
  </si>
  <si>
    <t>工程进度</t>
    <phoneticPr fontId="144" type="noConversion"/>
  </si>
  <si>
    <t>封顶，外装进行中</t>
    <phoneticPr fontId="144" type="noConversion"/>
  </si>
  <si>
    <t>未动工</t>
    <phoneticPr fontId="144" type="noConversion"/>
  </si>
  <si>
    <t>设备</t>
    <phoneticPr fontId="144" type="noConversion"/>
  </si>
  <si>
    <t>洋房</t>
    <phoneticPr fontId="26" type="noConversion"/>
  </si>
  <si>
    <t>叠拼</t>
    <phoneticPr fontId="26" type="noConversion"/>
  </si>
  <si>
    <t>联排</t>
    <phoneticPr fontId="26" type="noConversion"/>
  </si>
  <si>
    <t>建筑类型</t>
    <phoneticPr fontId="4" type="noConversion"/>
  </si>
  <si>
    <t>洋房</t>
    <phoneticPr fontId="26" type="noConversion"/>
  </si>
  <si>
    <t>已部分缴纳</t>
  </si>
  <si>
    <t>成本比率</t>
  </si>
  <si>
    <t>崔锴</t>
  </si>
  <si>
    <t>郑燚</t>
  </si>
  <si>
    <t>合计</t>
    <phoneticPr fontId="144" type="noConversion"/>
  </si>
  <si>
    <t>规证</t>
    <phoneticPr fontId="4" type="noConversion"/>
  </si>
  <si>
    <t>测绘报告</t>
    <phoneticPr fontId="4" type="noConversion"/>
  </si>
  <si>
    <r>
      <t>31#</t>
    </r>
    <r>
      <rPr>
        <sz val="10"/>
        <rFont val="宋体"/>
        <family val="3"/>
        <charset val="134"/>
      </rPr>
      <t>住宅</t>
    </r>
    <phoneticPr fontId="4" type="noConversion"/>
  </si>
  <si>
    <r>
      <t>32#</t>
    </r>
    <r>
      <rPr>
        <sz val="10"/>
        <rFont val="宋体"/>
        <family val="3"/>
        <charset val="134"/>
      </rPr>
      <t>住宅</t>
    </r>
    <phoneticPr fontId="4" type="noConversion"/>
  </si>
  <si>
    <r>
      <t>35#</t>
    </r>
    <r>
      <rPr>
        <sz val="10"/>
        <rFont val="宋体"/>
        <family val="3"/>
        <charset val="134"/>
      </rPr>
      <t>住宅</t>
    </r>
    <phoneticPr fontId="4" type="noConversion"/>
  </si>
  <si>
    <r>
      <t>36#</t>
    </r>
    <r>
      <rPr>
        <sz val="10"/>
        <rFont val="宋体"/>
        <family val="3"/>
        <charset val="134"/>
      </rPr>
      <t>住宅</t>
    </r>
    <phoneticPr fontId="4" type="noConversion"/>
  </si>
  <si>
    <r>
      <t>37#</t>
    </r>
    <r>
      <rPr>
        <sz val="10"/>
        <rFont val="宋体"/>
        <family val="3"/>
        <charset val="134"/>
      </rPr>
      <t>住宅</t>
    </r>
    <phoneticPr fontId="4" type="noConversion"/>
  </si>
  <si>
    <r>
      <t>38#</t>
    </r>
    <r>
      <rPr>
        <sz val="11"/>
        <rFont val="宋体"/>
        <family val="3"/>
        <charset val="134"/>
      </rPr>
      <t>住宅</t>
    </r>
    <phoneticPr fontId="4" type="noConversion"/>
  </si>
  <si>
    <r>
      <t>39#</t>
    </r>
    <r>
      <rPr>
        <sz val="11"/>
        <rFont val="宋体"/>
        <family val="3"/>
        <charset val="134"/>
      </rPr>
      <t>住宅</t>
    </r>
    <phoneticPr fontId="4" type="noConversion"/>
  </si>
  <si>
    <r>
      <t>40#</t>
    </r>
    <r>
      <rPr>
        <sz val="11"/>
        <rFont val="宋体"/>
        <family val="3"/>
        <charset val="134"/>
      </rPr>
      <t>住宅</t>
    </r>
    <phoneticPr fontId="4" type="noConversion"/>
  </si>
  <si>
    <r>
      <t>41#</t>
    </r>
    <r>
      <rPr>
        <sz val="11"/>
        <rFont val="宋体"/>
        <family val="3"/>
        <charset val="134"/>
      </rPr>
      <t>住宅</t>
    </r>
    <phoneticPr fontId="4" type="noConversion"/>
  </si>
  <si>
    <r>
      <t>42#</t>
    </r>
    <r>
      <rPr>
        <sz val="11"/>
        <rFont val="宋体"/>
        <family val="3"/>
        <charset val="134"/>
      </rPr>
      <t>住宅</t>
    </r>
    <phoneticPr fontId="4" type="noConversion"/>
  </si>
  <si>
    <r>
      <t>30#</t>
    </r>
    <r>
      <rPr>
        <sz val="11"/>
        <rFont val="宋体"/>
        <family val="3"/>
        <charset val="134"/>
      </rPr>
      <t>商业</t>
    </r>
    <phoneticPr fontId="4" type="noConversion"/>
  </si>
  <si>
    <r>
      <rPr>
        <sz val="11"/>
        <rFont val="宋体"/>
        <family val="3"/>
        <charset val="134"/>
      </rPr>
      <t>低基配电室</t>
    </r>
    <r>
      <rPr>
        <sz val="11"/>
        <rFont val="Arial"/>
        <family val="2"/>
      </rPr>
      <t>1</t>
    </r>
    <phoneticPr fontId="4" type="noConversion"/>
  </si>
  <si>
    <r>
      <rPr>
        <sz val="11"/>
        <rFont val="宋体"/>
        <family val="3"/>
        <charset val="134"/>
      </rPr>
      <t>低基配电室</t>
    </r>
    <r>
      <rPr>
        <sz val="11"/>
        <rFont val="Arial"/>
        <family val="2"/>
      </rPr>
      <t>2</t>
    </r>
    <r>
      <rPr>
        <sz val="11"/>
        <color theme="1"/>
        <rFont val="宋体"/>
        <family val="2"/>
        <scheme val="minor"/>
      </rPr>
      <t/>
    </r>
  </si>
  <si>
    <r>
      <t>23#</t>
    </r>
    <r>
      <rPr>
        <sz val="11"/>
        <rFont val="宋体"/>
        <family val="3"/>
        <charset val="134"/>
      </rPr>
      <t>住宅</t>
    </r>
    <phoneticPr fontId="4" type="noConversion"/>
  </si>
  <si>
    <r>
      <t>25#</t>
    </r>
    <r>
      <rPr>
        <sz val="11"/>
        <rFont val="宋体"/>
        <family val="3"/>
        <charset val="134"/>
      </rPr>
      <t>住宅</t>
    </r>
    <phoneticPr fontId="4" type="noConversion"/>
  </si>
  <si>
    <r>
      <t>26#</t>
    </r>
    <r>
      <rPr>
        <sz val="11"/>
        <rFont val="宋体"/>
        <family val="3"/>
        <charset val="134"/>
      </rPr>
      <t>住宅</t>
    </r>
    <phoneticPr fontId="4" type="noConversion"/>
  </si>
  <si>
    <r>
      <t>29#</t>
    </r>
    <r>
      <rPr>
        <sz val="11"/>
        <rFont val="宋体"/>
        <family val="3"/>
        <charset val="134"/>
      </rPr>
      <t>住宅</t>
    </r>
    <phoneticPr fontId="4" type="noConversion"/>
  </si>
  <si>
    <r>
      <t>33#</t>
    </r>
    <r>
      <rPr>
        <sz val="11"/>
        <rFont val="宋体"/>
        <family val="3"/>
        <charset val="134"/>
      </rPr>
      <t>住宅</t>
    </r>
    <phoneticPr fontId="4" type="noConversion"/>
  </si>
  <si>
    <r>
      <t>34#</t>
    </r>
    <r>
      <rPr>
        <sz val="11"/>
        <rFont val="宋体"/>
        <family val="3"/>
        <charset val="134"/>
      </rPr>
      <t>住宅</t>
    </r>
    <phoneticPr fontId="4" type="noConversion"/>
  </si>
  <si>
    <r>
      <t>1#</t>
    </r>
    <r>
      <rPr>
        <sz val="11"/>
        <rFont val="宋体"/>
        <family val="3"/>
        <charset val="134"/>
      </rPr>
      <t>住宅</t>
    </r>
    <phoneticPr fontId="4" type="noConversion"/>
  </si>
  <si>
    <r>
      <t>2#</t>
    </r>
    <r>
      <rPr>
        <sz val="11"/>
        <rFont val="宋体"/>
        <family val="3"/>
        <charset val="134"/>
      </rPr>
      <t>住宅</t>
    </r>
    <phoneticPr fontId="4" type="noConversion"/>
  </si>
  <si>
    <r>
      <t>3#</t>
    </r>
    <r>
      <rPr>
        <sz val="11"/>
        <rFont val="宋体"/>
        <family val="3"/>
        <charset val="134"/>
      </rPr>
      <t>住宅</t>
    </r>
    <phoneticPr fontId="4" type="noConversion"/>
  </si>
  <si>
    <r>
      <t>4#</t>
    </r>
    <r>
      <rPr>
        <sz val="11"/>
        <rFont val="宋体"/>
        <family val="3"/>
        <charset val="134"/>
      </rPr>
      <t>住宅</t>
    </r>
    <phoneticPr fontId="4" type="noConversion"/>
  </si>
  <si>
    <r>
      <t>5#</t>
    </r>
    <r>
      <rPr>
        <sz val="11"/>
        <rFont val="宋体"/>
        <family val="3"/>
        <charset val="134"/>
      </rPr>
      <t>住宅</t>
    </r>
    <phoneticPr fontId="4" type="noConversion"/>
  </si>
  <si>
    <r>
      <t>6#</t>
    </r>
    <r>
      <rPr>
        <sz val="11"/>
        <rFont val="宋体"/>
        <family val="3"/>
        <charset val="134"/>
      </rPr>
      <t>住宅</t>
    </r>
    <phoneticPr fontId="4" type="noConversion"/>
  </si>
  <si>
    <r>
      <t>7#</t>
    </r>
    <r>
      <rPr>
        <sz val="11"/>
        <rFont val="宋体"/>
        <family val="3"/>
        <charset val="134"/>
      </rPr>
      <t>住宅</t>
    </r>
    <phoneticPr fontId="4" type="noConversion"/>
  </si>
  <si>
    <r>
      <t>8#</t>
    </r>
    <r>
      <rPr>
        <sz val="11"/>
        <rFont val="宋体"/>
        <family val="3"/>
        <charset val="134"/>
      </rPr>
      <t>住宅</t>
    </r>
    <phoneticPr fontId="4" type="noConversion"/>
  </si>
  <si>
    <r>
      <t>9#</t>
    </r>
    <r>
      <rPr>
        <sz val="11"/>
        <rFont val="宋体"/>
        <family val="3"/>
        <charset val="134"/>
      </rPr>
      <t>住宅</t>
    </r>
    <phoneticPr fontId="4" type="noConversion"/>
  </si>
  <si>
    <r>
      <t>10#</t>
    </r>
    <r>
      <rPr>
        <sz val="11"/>
        <rFont val="宋体"/>
        <family val="3"/>
        <charset val="134"/>
      </rPr>
      <t>住宅</t>
    </r>
    <phoneticPr fontId="4" type="noConversion"/>
  </si>
  <si>
    <r>
      <t>11#</t>
    </r>
    <r>
      <rPr>
        <sz val="11"/>
        <rFont val="宋体"/>
        <family val="3"/>
        <charset val="134"/>
      </rPr>
      <t>住宅</t>
    </r>
    <phoneticPr fontId="4" type="noConversion"/>
  </si>
  <si>
    <r>
      <t>12#</t>
    </r>
    <r>
      <rPr>
        <sz val="11"/>
        <rFont val="宋体"/>
        <family val="3"/>
        <charset val="134"/>
      </rPr>
      <t>住宅</t>
    </r>
    <phoneticPr fontId="4" type="noConversion"/>
  </si>
  <si>
    <r>
      <t>13#</t>
    </r>
    <r>
      <rPr>
        <sz val="11"/>
        <rFont val="宋体"/>
        <family val="3"/>
        <charset val="134"/>
      </rPr>
      <t>住宅</t>
    </r>
    <phoneticPr fontId="4" type="noConversion"/>
  </si>
  <si>
    <r>
      <t>14#</t>
    </r>
    <r>
      <rPr>
        <sz val="11"/>
        <rFont val="宋体"/>
        <family val="3"/>
        <charset val="134"/>
      </rPr>
      <t>住宅</t>
    </r>
    <phoneticPr fontId="4" type="noConversion"/>
  </si>
  <si>
    <r>
      <t>15#</t>
    </r>
    <r>
      <rPr>
        <sz val="11"/>
        <rFont val="宋体"/>
        <family val="3"/>
        <charset val="134"/>
      </rPr>
      <t>住宅</t>
    </r>
    <phoneticPr fontId="4" type="noConversion"/>
  </si>
  <si>
    <r>
      <t>16#</t>
    </r>
    <r>
      <rPr>
        <sz val="11"/>
        <rFont val="宋体"/>
        <family val="3"/>
        <charset val="134"/>
      </rPr>
      <t>住宅</t>
    </r>
    <phoneticPr fontId="4" type="noConversion"/>
  </si>
  <si>
    <r>
      <t>17#</t>
    </r>
    <r>
      <rPr>
        <sz val="11"/>
        <rFont val="宋体"/>
        <family val="3"/>
        <charset val="134"/>
      </rPr>
      <t>住宅</t>
    </r>
    <phoneticPr fontId="4" type="noConversion"/>
  </si>
  <si>
    <r>
      <t>18#</t>
    </r>
    <r>
      <rPr>
        <sz val="11"/>
        <rFont val="宋体"/>
        <family val="3"/>
        <charset val="134"/>
      </rPr>
      <t>住宅</t>
    </r>
    <phoneticPr fontId="4" type="noConversion"/>
  </si>
  <si>
    <r>
      <t>19#</t>
    </r>
    <r>
      <rPr>
        <sz val="11"/>
        <rFont val="宋体"/>
        <family val="3"/>
        <charset val="134"/>
      </rPr>
      <t>住宅</t>
    </r>
    <phoneticPr fontId="4" type="noConversion"/>
  </si>
  <si>
    <r>
      <t>20#</t>
    </r>
    <r>
      <rPr>
        <sz val="11"/>
        <rFont val="宋体"/>
        <family val="3"/>
        <charset val="134"/>
      </rPr>
      <t>住宅</t>
    </r>
    <phoneticPr fontId="4" type="noConversion"/>
  </si>
  <si>
    <r>
      <t>21#</t>
    </r>
    <r>
      <rPr>
        <sz val="11"/>
        <rFont val="宋体"/>
        <family val="3"/>
        <charset val="134"/>
      </rPr>
      <t>住宅</t>
    </r>
    <phoneticPr fontId="4" type="noConversion"/>
  </si>
  <si>
    <r>
      <t>22#</t>
    </r>
    <r>
      <rPr>
        <sz val="11"/>
        <rFont val="宋体"/>
        <family val="3"/>
        <charset val="134"/>
      </rPr>
      <t>住宅</t>
    </r>
    <phoneticPr fontId="4" type="noConversion"/>
  </si>
  <si>
    <r>
      <t>24#</t>
    </r>
    <r>
      <rPr>
        <sz val="11"/>
        <rFont val="宋体"/>
        <family val="3"/>
        <charset val="134"/>
      </rPr>
      <t>住宅</t>
    </r>
    <phoneticPr fontId="4" type="noConversion"/>
  </si>
  <si>
    <r>
      <t>27#</t>
    </r>
    <r>
      <rPr>
        <sz val="11"/>
        <rFont val="宋体"/>
        <family val="3"/>
        <charset val="134"/>
      </rPr>
      <t>住宅</t>
    </r>
    <phoneticPr fontId="4" type="noConversion"/>
  </si>
  <si>
    <r>
      <t>28#</t>
    </r>
    <r>
      <rPr>
        <sz val="11"/>
        <rFont val="宋体"/>
        <family val="3"/>
        <charset val="134"/>
      </rPr>
      <t>住宅</t>
    </r>
    <phoneticPr fontId="4" type="noConversion"/>
  </si>
  <si>
    <t>情况3</t>
  </si>
  <si>
    <t>自行开发建设</t>
  </si>
  <si>
    <t>出让金+开发费</t>
  </si>
  <si>
    <t xml:space="preserve">收益法 (仓储) </t>
  </si>
  <si>
    <t xml:space="preserve">收益法 (仓储) </t>
    <phoneticPr fontId="17"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</si>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</sst>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1"/>
      <color indexed="8"/>
      <name val="Arial"/>
      <family val="3"/>
      <charset val="134"/>
    </font>
    <font>
      <sz val="11"/>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top/>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0" fontId="65" fillId="7" borderId="54"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00" fillId="0" borderId="0" xfId="0" applyFont="1">
      <alignment vertical="center"/>
    </xf>
    <xf numFmtId="0" fontId="0" fillId="0" borderId="0" xfId="0" applyFill="1">
      <alignment vertical="center"/>
    </xf>
    <xf numFmtId="0" fontId="0" fillId="0" borderId="1" xfId="0" applyBorder="1" applyAlignment="1">
      <alignment horizontal="center"/>
    </xf>
    <xf numFmtId="0" fontId="99" fillId="0" borderId="156" xfId="0" applyFont="1" applyBorder="1" applyAlignment="1">
      <alignment horizontal="center"/>
    </xf>
    <xf numFmtId="179" fontId="99" fillId="0" borderId="156" xfId="0" applyNumberFormat="1" applyFont="1" applyBorder="1" applyAlignment="1">
      <alignment horizontal="center"/>
    </xf>
    <xf numFmtId="177" fontId="99" fillId="0" borderId="156" xfId="0" applyNumberFormat="1" applyFont="1" applyBorder="1" applyAlignment="1">
      <alignment horizontal="center"/>
    </xf>
    <xf numFmtId="0" fontId="0" fillId="0" borderId="0" xfId="0" applyAlignment="1">
      <alignment horizontal="center"/>
    </xf>
    <xf numFmtId="0" fontId="38" fillId="0" borderId="156" xfId="0" applyFont="1" applyFill="1" applyBorder="1" applyAlignment="1">
      <alignment horizontal="center"/>
    </xf>
    <xf numFmtId="0" fontId="99" fillId="0" borderId="156" xfId="0" applyNumberFormat="1" applyFont="1" applyBorder="1" applyAlignment="1">
      <alignment horizontal="center"/>
    </xf>
    <xf numFmtId="177" fontId="0" fillId="0" borderId="0" xfId="0" applyNumberFormat="1" applyAlignment="1"/>
    <xf numFmtId="0" fontId="0" fillId="5" borderId="0" xfId="0" applyFill="1" applyAlignment="1"/>
    <xf numFmtId="0" fontId="99" fillId="0" borderId="156" xfId="0" applyFont="1" applyFill="1" applyBorder="1" applyAlignment="1">
      <alignment horizontal="center"/>
    </xf>
    <xf numFmtId="0" fontId="99" fillId="0" borderId="156" xfId="0" applyNumberFormat="1" applyFont="1" applyFill="1" applyBorder="1" applyAlignment="1">
      <alignment horizontal="center"/>
    </xf>
    <xf numFmtId="179" fontId="99" fillId="0" borderId="156" xfId="0" applyNumberFormat="1" applyFont="1" applyFill="1" applyBorder="1" applyAlignment="1">
      <alignment horizontal="center"/>
    </xf>
    <xf numFmtId="177" fontId="99" fillId="0" borderId="156" xfId="0" applyNumberFormat="1" applyFont="1" applyFill="1" applyBorder="1" applyAlignment="1">
      <alignment horizontal="center"/>
    </xf>
    <xf numFmtId="0" fontId="0" fillId="0" borderId="0" xfId="0" applyFill="1" applyAlignment="1"/>
    <xf numFmtId="0" fontId="100" fillId="0" borderId="0" xfId="0" applyFont="1" applyAlignment="1"/>
    <xf numFmtId="0" fontId="38" fillId="0" borderId="157" xfId="0" applyFont="1" applyFill="1" applyBorder="1" applyAlignment="1">
      <alignment horizontal="center"/>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6" xfId="0"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183" fontId="256" fillId="0" borderId="1" xfId="0" applyNumberFormat="1" applyFont="1" applyFill="1" applyBorder="1" applyAlignment="1" applyProtection="1">
      <alignment horizontal="center" vertical="center"/>
      <protection locked="0"/>
    </xf>
    <xf numFmtId="9" fontId="0" fillId="0" borderId="0" xfId="0" applyNumberFormat="1">
      <alignment vertical="center"/>
    </xf>
    <xf numFmtId="0" fontId="193" fillId="0" borderId="1" xfId="0" applyFont="1" applyFill="1" applyBorder="1" applyAlignment="1" applyProtection="1">
      <alignment horizontal="center"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7" fillId="9" borderId="49" xfId="1" applyNumberFormat="1" applyFont="1" applyFill="1" applyBorder="1" applyAlignment="1" applyProtection="1">
      <alignment horizontal="center" vertical="center"/>
      <protection locked="0"/>
    </xf>
    <xf numFmtId="0" fontId="55" fillId="6" borderId="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176" fontId="107" fillId="6" borderId="1" xfId="0" applyNumberFormat="1" applyFont="1" applyFill="1" applyBorder="1" applyAlignment="1" applyProtection="1">
      <alignment horizontal="center" vertical="center" wrapText="1"/>
    </xf>
    <xf numFmtId="0" fontId="107" fillId="0" borderId="4" xfId="0" applyFont="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7" fillId="6" borderId="3" xfId="0" applyFont="1" applyFill="1" applyBorder="1" applyAlignment="1" applyProtection="1">
      <alignment horizontal="center" vertical="center" wrapText="1"/>
    </xf>
    <xf numFmtId="176" fontId="107" fillId="6" borderId="24" xfId="0" applyNumberFormat="1" applyFont="1" applyFill="1" applyBorder="1" applyAlignment="1" applyProtection="1">
      <alignment horizontal="center" vertical="center" wrapText="1"/>
    </xf>
    <xf numFmtId="0" fontId="107" fillId="0" borderId="0" xfId="0" applyFont="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55" fillId="5" borderId="2" xfId="0" applyFont="1" applyFill="1" applyBorder="1" applyAlignment="1" applyProtection="1">
      <alignment horizontal="center" vertical="center" wrapText="1"/>
      <protection locked="0"/>
    </xf>
    <xf numFmtId="176" fontId="55" fillId="6" borderId="1" xfId="0" applyNumberFormat="1" applyFont="1" applyFill="1" applyBorder="1" applyAlignment="1" applyProtection="1">
      <alignment horizontal="center" vertical="center" wrapText="1"/>
    </xf>
    <xf numFmtId="176" fontId="55" fillId="0" borderId="2" xfId="0" applyNumberFormat="1" applyFont="1" applyFill="1" applyBorder="1" applyAlignment="1" applyProtection="1">
      <alignment horizontal="center" vertical="center" wrapText="1"/>
      <protection locked="0"/>
    </xf>
    <xf numFmtId="176" fontId="55" fillId="6" borderId="2" xfId="0" applyNumberFormat="1" applyFont="1" applyFill="1" applyBorder="1" applyAlignment="1" applyProtection="1">
      <alignment horizontal="center" vertical="center" wrapText="1"/>
    </xf>
    <xf numFmtId="176" fontId="55" fillId="6" borderId="13" xfId="0" applyNumberFormat="1" applyFont="1" applyFill="1" applyBorder="1" applyAlignment="1" applyProtection="1">
      <alignment horizontal="center" vertical="center" wrapText="1"/>
    </xf>
    <xf numFmtId="176" fontId="55" fillId="0" borderId="1" xfId="0" applyNumberFormat="1" applyFont="1" applyBorder="1" applyAlignment="1" applyProtection="1">
      <alignment vertical="center" wrapText="1"/>
      <protection locked="0"/>
    </xf>
    <xf numFmtId="176" fontId="55" fillId="0" borderId="1" xfId="0" applyNumberFormat="1" applyFont="1" applyBorder="1" applyAlignment="1" applyProtection="1">
      <alignment horizontal="center" vertical="center" wrapText="1"/>
      <protection locked="0"/>
    </xf>
    <xf numFmtId="176" fontId="55" fillId="0" borderId="2" xfId="0" applyNumberFormat="1" applyFont="1" applyBorder="1" applyAlignment="1" applyProtection="1">
      <alignment horizontal="center" vertical="center" wrapText="1"/>
      <protection locked="0"/>
    </xf>
    <xf numFmtId="0" fontId="55" fillId="0" borderId="4" xfId="0" applyFont="1" applyBorder="1" applyAlignment="1" applyProtection="1">
      <alignment horizontal="center" vertical="center" wrapText="1"/>
      <protection locked="0"/>
    </xf>
    <xf numFmtId="176" fontId="55" fillId="6" borderId="24" xfId="0" applyNumberFormat="1" applyFont="1" applyFill="1" applyBorder="1" applyAlignment="1" applyProtection="1">
      <alignment horizontal="center" vertical="center" wrapText="1"/>
    </xf>
    <xf numFmtId="176" fontId="121" fillId="6" borderId="1" xfId="0" applyNumberFormat="1" applyFont="1" applyFill="1" applyBorder="1" applyAlignment="1" applyProtection="1">
      <alignment horizontal="center" vertical="center" wrapText="1"/>
    </xf>
    <xf numFmtId="0" fontId="121" fillId="0" borderId="4" xfId="0" applyFont="1" applyBorder="1" applyAlignment="1" applyProtection="1">
      <alignment horizontal="center" vertical="center" wrapText="1"/>
      <protection locked="0"/>
    </xf>
    <xf numFmtId="0" fontId="121" fillId="6" borderId="3" xfId="0" applyFont="1" applyFill="1" applyBorder="1" applyAlignment="1" applyProtection="1">
      <alignment horizontal="center" vertical="center" wrapText="1"/>
    </xf>
    <xf numFmtId="176" fontId="121" fillId="6" borderId="24" xfId="0" applyNumberFormat="1" applyFont="1" applyFill="1" applyBorder="1" applyAlignment="1" applyProtection="1">
      <alignment horizontal="center" vertical="center" wrapText="1"/>
    </xf>
    <xf numFmtId="0" fontId="121" fillId="0" borderId="0" xfId="0" applyFont="1" applyAlignment="1" applyProtection="1">
      <alignment horizontal="center" vertical="center" wrapText="1"/>
    </xf>
    <xf numFmtId="0" fontId="55" fillId="5" borderId="24" xfId="0" applyFont="1" applyFill="1" applyBorder="1" applyAlignment="1" applyProtection="1">
      <alignment vertical="center"/>
      <protection locked="0"/>
    </xf>
    <xf numFmtId="10" fontId="107" fillId="2" borderId="61" xfId="0" applyNumberFormat="1"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99"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57" fillId="2" borderId="2" xfId="0" applyFont="1" applyFill="1" applyBorder="1" applyAlignment="1" applyProtection="1">
      <alignment horizontal="center" vertical="center" wrapText="1"/>
      <protection locked="0"/>
    </xf>
    <xf numFmtId="176" fontId="57" fillId="6" borderId="1" xfId="0" applyNumberFormat="1" applyFont="1" applyFill="1" applyBorder="1" applyAlignment="1" applyProtection="1">
      <alignment horizontal="center" vertical="center" wrapText="1"/>
    </xf>
    <xf numFmtId="176" fontId="57" fillId="0" borderId="2" xfId="0" applyNumberFormat="1" applyFont="1" applyFill="1" applyBorder="1" applyAlignment="1" applyProtection="1">
      <alignment horizontal="center" vertical="center" wrapText="1"/>
      <protection locked="0"/>
    </xf>
    <xf numFmtId="176" fontId="57" fillId="6" borderId="2" xfId="0" applyNumberFormat="1" applyFont="1" applyFill="1" applyBorder="1" applyAlignment="1" applyProtection="1">
      <alignment horizontal="center" vertical="center" wrapText="1"/>
    </xf>
    <xf numFmtId="176" fontId="57" fillId="6" borderId="13" xfId="0" applyNumberFormat="1" applyFont="1" applyFill="1" applyBorder="1" applyAlignment="1" applyProtection="1">
      <alignment horizontal="center" vertical="center" wrapText="1"/>
    </xf>
    <xf numFmtId="176" fontId="57" fillId="0" borderId="1" xfId="0" applyNumberFormat="1" applyFont="1" applyBorder="1" applyAlignment="1" applyProtection="1">
      <alignment vertical="center" wrapText="1"/>
      <protection locked="0"/>
    </xf>
    <xf numFmtId="176" fontId="57" fillId="0" borderId="1" xfId="0" applyNumberFormat="1" applyFont="1" applyBorder="1" applyAlignment="1" applyProtection="1">
      <alignment horizontal="center" vertical="center" wrapText="1"/>
      <protection locked="0"/>
    </xf>
    <xf numFmtId="176" fontId="57" fillId="0" borderId="2" xfId="0" applyNumberFormat="1" applyFont="1" applyBorder="1" applyAlignment="1" applyProtection="1">
      <alignment horizontal="center" vertical="center" wrapText="1"/>
      <protection locked="0"/>
    </xf>
    <xf numFmtId="176" fontId="57" fillId="0" borderId="1" xfId="0" applyNumberFormat="1" applyFont="1" applyFill="1" applyBorder="1" applyAlignment="1" applyProtection="1">
      <alignment vertical="center" wrapText="1"/>
      <protection locked="0"/>
    </xf>
    <xf numFmtId="0" fontId="257" fillId="0" borderId="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81" fillId="7" borderId="0" xfId="0" applyFont="1" applyFill="1" applyAlignment="1" applyProtection="1">
      <alignment vertical="center"/>
      <protection locked="0"/>
    </xf>
    <xf numFmtId="183" fontId="256" fillId="0" borderId="1" xfId="0" applyNumberFormat="1" applyFont="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6063</xdr:colOff>
      <xdr:row>15</xdr:row>
      <xdr:rowOff>158751</xdr:rowOff>
    </xdr:from>
    <xdr:to>
      <xdr:col>11</xdr:col>
      <xdr:colOff>13843</xdr:colOff>
      <xdr:row>33</xdr:row>
      <xdr:rowOff>88900</xdr:rowOff>
    </xdr:to>
    <xdr:pic>
      <xdr:nvPicPr>
        <xdr:cNvPr id="2" name="图片 1">
          <a:extLst>
            <a:ext uri="{FF2B5EF4-FFF2-40B4-BE49-F238E27FC236}">
              <a16:creationId xmlns:a16="http://schemas.microsoft.com/office/drawing/2014/main" id="{9F9356AA-C680-42A4-9850-036C1A345CD6}"/>
            </a:ext>
          </a:extLst>
        </xdr:cNvPr>
        <xdr:cNvPicPr>
          <a:picLocks noChangeAspect="1"/>
        </xdr:cNvPicPr>
      </xdr:nvPicPr>
      <xdr:blipFill>
        <a:blip xmlns:r="http://schemas.openxmlformats.org/officeDocument/2006/relationships" r:embed="rId1"/>
        <a:stretch>
          <a:fillRect/>
        </a:stretch>
      </xdr:blipFill>
      <xdr:spPr>
        <a:xfrm>
          <a:off x="6063" y="2825751"/>
          <a:ext cx="7881780" cy="3130549"/>
        </a:xfrm>
        <a:prstGeom prst="rect">
          <a:avLst/>
        </a:prstGeom>
      </xdr:spPr>
    </xdr:pic>
    <xdr:clientData/>
  </xdr:twoCellAnchor>
  <xdr:twoCellAnchor editAs="oneCell">
    <xdr:from>
      <xdr:col>0</xdr:col>
      <xdr:colOff>608907</xdr:colOff>
      <xdr:row>33</xdr:row>
      <xdr:rowOff>165100</xdr:rowOff>
    </xdr:from>
    <xdr:to>
      <xdr:col>11</xdr:col>
      <xdr:colOff>584200</xdr:colOff>
      <xdr:row>51</xdr:row>
      <xdr:rowOff>59221</xdr:rowOff>
    </xdr:to>
    <xdr:pic>
      <xdr:nvPicPr>
        <xdr:cNvPr id="3" name="图片 2">
          <a:extLst>
            <a:ext uri="{FF2B5EF4-FFF2-40B4-BE49-F238E27FC236}">
              <a16:creationId xmlns:a16="http://schemas.microsoft.com/office/drawing/2014/main" id="{A0237761-027C-495C-89C9-BD5AA45568A5}"/>
            </a:ext>
          </a:extLst>
        </xdr:cNvPr>
        <xdr:cNvPicPr>
          <a:picLocks noChangeAspect="1"/>
        </xdr:cNvPicPr>
      </xdr:nvPicPr>
      <xdr:blipFill>
        <a:blip xmlns:r="http://schemas.openxmlformats.org/officeDocument/2006/relationships" r:embed="rId2"/>
        <a:stretch>
          <a:fillRect/>
        </a:stretch>
      </xdr:blipFill>
      <xdr:spPr>
        <a:xfrm>
          <a:off x="608907" y="6032500"/>
          <a:ext cx="7849293" cy="3094521"/>
        </a:xfrm>
        <a:prstGeom prst="rect">
          <a:avLst/>
        </a:prstGeom>
      </xdr:spPr>
    </xdr:pic>
    <xdr:clientData/>
  </xdr:twoCellAnchor>
  <xdr:twoCellAnchor editAs="oneCell">
    <xdr:from>
      <xdr:col>0</xdr:col>
      <xdr:colOff>576857</xdr:colOff>
      <xdr:row>51</xdr:row>
      <xdr:rowOff>95251</xdr:rowOff>
    </xdr:from>
    <xdr:to>
      <xdr:col>11</xdr:col>
      <xdr:colOff>631233</xdr:colOff>
      <xdr:row>69</xdr:row>
      <xdr:rowOff>12700</xdr:rowOff>
    </xdr:to>
    <xdr:pic>
      <xdr:nvPicPr>
        <xdr:cNvPr id="4" name="图片 3">
          <a:extLst>
            <a:ext uri="{FF2B5EF4-FFF2-40B4-BE49-F238E27FC236}">
              <a16:creationId xmlns:a16="http://schemas.microsoft.com/office/drawing/2014/main" id="{35815D3B-C8CC-4FF0-8308-096A7ABD2785}"/>
            </a:ext>
          </a:extLst>
        </xdr:cNvPr>
        <xdr:cNvPicPr>
          <a:picLocks noChangeAspect="1"/>
        </xdr:cNvPicPr>
      </xdr:nvPicPr>
      <xdr:blipFill>
        <a:blip xmlns:r="http://schemas.openxmlformats.org/officeDocument/2006/relationships" r:embed="rId3"/>
        <a:stretch>
          <a:fillRect/>
        </a:stretch>
      </xdr:blipFill>
      <xdr:spPr>
        <a:xfrm>
          <a:off x="576857" y="9163051"/>
          <a:ext cx="7928376" cy="3117849"/>
        </a:xfrm>
        <a:prstGeom prst="rect">
          <a:avLst/>
        </a:prstGeom>
      </xdr:spPr>
    </xdr:pic>
    <xdr:clientData/>
  </xdr:twoCellAnchor>
  <xdr:twoCellAnchor editAs="oneCell">
    <xdr:from>
      <xdr:col>11</xdr:col>
      <xdr:colOff>95608</xdr:colOff>
      <xdr:row>16</xdr:row>
      <xdr:rowOff>114301</xdr:rowOff>
    </xdr:from>
    <xdr:to>
      <xdr:col>18</xdr:col>
      <xdr:colOff>389305</xdr:colOff>
      <xdr:row>34</xdr:row>
      <xdr:rowOff>165101</xdr:rowOff>
    </xdr:to>
    <xdr:pic>
      <xdr:nvPicPr>
        <xdr:cNvPr id="5" name="图片 4">
          <a:extLst>
            <a:ext uri="{FF2B5EF4-FFF2-40B4-BE49-F238E27FC236}">
              <a16:creationId xmlns:a16="http://schemas.microsoft.com/office/drawing/2014/main" id="{2E9D16E6-1AF0-4996-8EF3-995168729E8C}"/>
            </a:ext>
          </a:extLst>
        </xdr:cNvPr>
        <xdr:cNvPicPr>
          <a:picLocks noChangeAspect="1"/>
        </xdr:cNvPicPr>
      </xdr:nvPicPr>
      <xdr:blipFill>
        <a:blip xmlns:r="http://schemas.openxmlformats.org/officeDocument/2006/relationships" r:embed="rId4"/>
        <a:stretch>
          <a:fillRect/>
        </a:stretch>
      </xdr:blipFill>
      <xdr:spPr>
        <a:xfrm>
          <a:off x="7969608" y="2959101"/>
          <a:ext cx="4872047" cy="325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131546</xdr:colOff>
      <xdr:row>0</xdr:row>
      <xdr:rowOff>38101</xdr:rowOff>
    </xdr:from>
    <xdr:to>
      <xdr:col>10</xdr:col>
      <xdr:colOff>407739</xdr:colOff>
      <xdr:row>15</xdr:row>
      <xdr:rowOff>133350</xdr:rowOff>
    </xdr:to>
    <xdr:pic>
      <xdr:nvPicPr>
        <xdr:cNvPr id="2" name="图片 1">
          <a:extLst>
            <a:ext uri="{FF2B5EF4-FFF2-40B4-BE49-F238E27FC236}">
              <a16:creationId xmlns:a16="http://schemas.microsoft.com/office/drawing/2014/main" id="{8D3B34DE-E36D-4D97-8746-8E2853B3462C}"/>
            </a:ext>
          </a:extLst>
        </xdr:cNvPr>
        <xdr:cNvPicPr>
          <a:picLocks noChangeAspect="1"/>
        </xdr:cNvPicPr>
      </xdr:nvPicPr>
      <xdr:blipFill>
        <a:blip xmlns:r="http://schemas.openxmlformats.org/officeDocument/2006/relationships" r:embed="rId1"/>
        <a:stretch>
          <a:fillRect/>
        </a:stretch>
      </xdr:blipFill>
      <xdr:spPr>
        <a:xfrm>
          <a:off x="131546" y="38101"/>
          <a:ext cx="6372193" cy="2762249"/>
        </a:xfrm>
        <a:prstGeom prst="rect">
          <a:avLst/>
        </a:prstGeom>
      </xdr:spPr>
    </xdr:pic>
    <xdr:clientData/>
  </xdr:twoCellAnchor>
  <xdr:twoCellAnchor editAs="oneCell">
    <xdr:from>
      <xdr:col>0</xdr:col>
      <xdr:colOff>100510</xdr:colOff>
      <xdr:row>15</xdr:row>
      <xdr:rowOff>107951</xdr:rowOff>
    </xdr:from>
    <xdr:to>
      <xdr:col>11</xdr:col>
      <xdr:colOff>122112</xdr:colOff>
      <xdr:row>30</xdr:row>
      <xdr:rowOff>152401</xdr:rowOff>
    </xdr:to>
    <xdr:pic>
      <xdr:nvPicPr>
        <xdr:cNvPr id="3" name="图片 2">
          <a:extLst>
            <a:ext uri="{FF2B5EF4-FFF2-40B4-BE49-F238E27FC236}">
              <a16:creationId xmlns:a16="http://schemas.microsoft.com/office/drawing/2014/main" id="{83003E06-CB82-45BD-98BB-5FCDE9E1069B}"/>
            </a:ext>
          </a:extLst>
        </xdr:cNvPr>
        <xdr:cNvPicPr>
          <a:picLocks noChangeAspect="1"/>
        </xdr:cNvPicPr>
      </xdr:nvPicPr>
      <xdr:blipFill>
        <a:blip xmlns:r="http://schemas.openxmlformats.org/officeDocument/2006/relationships" r:embed="rId2"/>
        <a:stretch>
          <a:fillRect/>
        </a:stretch>
      </xdr:blipFill>
      <xdr:spPr>
        <a:xfrm>
          <a:off x="100510" y="2774951"/>
          <a:ext cx="6727202" cy="2711450"/>
        </a:xfrm>
        <a:prstGeom prst="rect">
          <a:avLst/>
        </a:prstGeom>
      </xdr:spPr>
    </xdr:pic>
    <xdr:clientData/>
  </xdr:twoCellAnchor>
  <xdr:twoCellAnchor editAs="oneCell">
    <xdr:from>
      <xdr:col>0</xdr:col>
      <xdr:colOff>118715</xdr:colOff>
      <xdr:row>30</xdr:row>
      <xdr:rowOff>139702</xdr:rowOff>
    </xdr:from>
    <xdr:to>
      <xdr:col>11</xdr:col>
      <xdr:colOff>44450</xdr:colOff>
      <xdr:row>53</xdr:row>
      <xdr:rowOff>42888</xdr:rowOff>
    </xdr:to>
    <xdr:pic>
      <xdr:nvPicPr>
        <xdr:cNvPr id="4" name="图片 3">
          <a:extLst>
            <a:ext uri="{FF2B5EF4-FFF2-40B4-BE49-F238E27FC236}">
              <a16:creationId xmlns:a16="http://schemas.microsoft.com/office/drawing/2014/main" id="{7E77E2F7-245E-4441-97E5-35819E0AAB65}"/>
            </a:ext>
          </a:extLst>
        </xdr:cNvPr>
        <xdr:cNvPicPr>
          <a:picLocks noChangeAspect="1"/>
        </xdr:cNvPicPr>
      </xdr:nvPicPr>
      <xdr:blipFill>
        <a:blip xmlns:r="http://schemas.openxmlformats.org/officeDocument/2006/relationships" r:embed="rId3"/>
        <a:stretch>
          <a:fillRect/>
        </a:stretch>
      </xdr:blipFill>
      <xdr:spPr>
        <a:xfrm>
          <a:off x="118715" y="5473702"/>
          <a:ext cx="6631335" cy="3992586"/>
        </a:xfrm>
        <a:prstGeom prst="rect">
          <a:avLst/>
        </a:prstGeom>
      </xdr:spPr>
    </xdr:pic>
    <xdr:clientData/>
  </xdr:twoCellAnchor>
  <xdr:twoCellAnchor editAs="oneCell">
    <xdr:from>
      <xdr:col>0</xdr:col>
      <xdr:colOff>146525</xdr:colOff>
      <xdr:row>53</xdr:row>
      <xdr:rowOff>19050</xdr:rowOff>
    </xdr:from>
    <xdr:to>
      <xdr:col>11</xdr:col>
      <xdr:colOff>273051</xdr:colOff>
      <xdr:row>76</xdr:row>
      <xdr:rowOff>38299</xdr:rowOff>
    </xdr:to>
    <xdr:pic>
      <xdr:nvPicPr>
        <xdr:cNvPr id="5" name="图片 4">
          <a:extLst>
            <a:ext uri="{FF2B5EF4-FFF2-40B4-BE49-F238E27FC236}">
              <a16:creationId xmlns:a16="http://schemas.microsoft.com/office/drawing/2014/main" id="{4199CD1F-B8DC-410C-9149-D802E512A78B}"/>
            </a:ext>
          </a:extLst>
        </xdr:cNvPr>
        <xdr:cNvPicPr>
          <a:picLocks noChangeAspect="1"/>
        </xdr:cNvPicPr>
      </xdr:nvPicPr>
      <xdr:blipFill>
        <a:blip xmlns:r="http://schemas.openxmlformats.org/officeDocument/2006/relationships" r:embed="rId4"/>
        <a:stretch>
          <a:fillRect/>
        </a:stretch>
      </xdr:blipFill>
      <xdr:spPr>
        <a:xfrm>
          <a:off x="146525" y="9442450"/>
          <a:ext cx="6832126" cy="4108649"/>
        </a:xfrm>
        <a:prstGeom prst="rect">
          <a:avLst/>
        </a:prstGeom>
      </xdr:spPr>
    </xdr:pic>
    <xdr:clientData/>
  </xdr:twoCellAnchor>
  <xdr:twoCellAnchor editAs="oneCell">
    <xdr:from>
      <xdr:col>11</xdr:col>
      <xdr:colOff>30416</xdr:colOff>
      <xdr:row>0</xdr:row>
      <xdr:rowOff>0</xdr:rowOff>
    </xdr:from>
    <xdr:to>
      <xdr:col>20</xdr:col>
      <xdr:colOff>233617</xdr:colOff>
      <xdr:row>21</xdr:row>
      <xdr:rowOff>76200</xdr:rowOff>
    </xdr:to>
    <xdr:pic>
      <xdr:nvPicPr>
        <xdr:cNvPr id="6" name="图片 5">
          <a:extLst>
            <a:ext uri="{FF2B5EF4-FFF2-40B4-BE49-F238E27FC236}">
              <a16:creationId xmlns:a16="http://schemas.microsoft.com/office/drawing/2014/main" id="{1E1F1841-F5B2-4F59-8704-263D74BE7E86}"/>
            </a:ext>
          </a:extLst>
        </xdr:cNvPr>
        <xdr:cNvPicPr>
          <a:picLocks noChangeAspect="1"/>
        </xdr:cNvPicPr>
      </xdr:nvPicPr>
      <xdr:blipFill>
        <a:blip xmlns:r="http://schemas.openxmlformats.org/officeDocument/2006/relationships" r:embed="rId5"/>
        <a:stretch>
          <a:fillRect/>
        </a:stretch>
      </xdr:blipFill>
      <xdr:spPr>
        <a:xfrm>
          <a:off x="6736016" y="0"/>
          <a:ext cx="5689601" cy="3810000"/>
        </a:xfrm>
        <a:prstGeom prst="rect">
          <a:avLst/>
        </a:prstGeom>
      </xdr:spPr>
    </xdr:pic>
    <xdr:clientData/>
  </xdr:twoCellAnchor>
  <xdr:twoCellAnchor editAs="oneCell">
    <xdr:from>
      <xdr:col>0</xdr:col>
      <xdr:colOff>429787</xdr:colOff>
      <xdr:row>76</xdr:row>
      <xdr:rowOff>165100</xdr:rowOff>
    </xdr:from>
    <xdr:to>
      <xdr:col>9</xdr:col>
      <xdr:colOff>586649</xdr:colOff>
      <xdr:row>90</xdr:row>
      <xdr:rowOff>31750</xdr:rowOff>
    </xdr:to>
    <xdr:pic>
      <xdr:nvPicPr>
        <xdr:cNvPr id="7" name="图片 6">
          <a:extLst>
            <a:ext uri="{FF2B5EF4-FFF2-40B4-BE49-F238E27FC236}">
              <a16:creationId xmlns:a16="http://schemas.microsoft.com/office/drawing/2014/main" id="{661BDA69-EC87-4236-8E8D-C80382E031CB}"/>
            </a:ext>
          </a:extLst>
        </xdr:cNvPr>
        <xdr:cNvPicPr>
          <a:picLocks noChangeAspect="1"/>
        </xdr:cNvPicPr>
      </xdr:nvPicPr>
      <xdr:blipFill>
        <a:blip xmlns:r="http://schemas.openxmlformats.org/officeDocument/2006/relationships" r:embed="rId6"/>
        <a:stretch>
          <a:fillRect/>
        </a:stretch>
      </xdr:blipFill>
      <xdr:spPr>
        <a:xfrm>
          <a:off x="429787" y="13677900"/>
          <a:ext cx="5643262" cy="2355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79" customWidth="1"/>
    <col min="2" max="2" width="81" style="1596" customWidth="1"/>
    <col min="3" max="16384" width="9" style="1594"/>
  </cols>
  <sheetData>
    <row r="1" spans="1:2" s="1582" customFormat="1" ht="16" thickBot="1">
      <c r="A1" s="1581" t="s">
        <v>1214</v>
      </c>
      <c r="B1" s="1580" t="s">
        <v>1293</v>
      </c>
    </row>
    <row r="2" spans="1:2" s="1585" customFormat="1" ht="15.5" thickTop="1">
      <c r="A2" s="1583" t="s">
        <v>1215</v>
      </c>
      <c r="B2" s="1584" t="str">
        <f>'预评函-封皮'!B37:I37</f>
        <v>北京市怀柔区雁栖湖柏崖厂村HR-0009-0113地块出让国有建设用地使用权及在建建筑物房地产抵押价值预评估</v>
      </c>
    </row>
    <row r="3" spans="1:2" s="1588" customFormat="1">
      <c r="A3" s="1586" t="s">
        <v>1216</v>
      </c>
      <c r="B3" s="1587" t="str">
        <f>'预评函-封皮'!B40</f>
        <v>北京京雁置业有限责任公司</v>
      </c>
    </row>
    <row r="4" spans="1:2" s="1588" customFormat="1">
      <c r="A4" s="1586" t="s">
        <v>1217</v>
      </c>
      <c r="B4" s="1587" t="str">
        <f ca="1">'预评函-封皮'!B46</f>
        <v>崔锴（注册号：1120100036)、郑燚（注册号：1120070131)</v>
      </c>
    </row>
    <row r="5" spans="1:2" s="1582" customFormat="1" ht="15.5" thickBot="1">
      <c r="A5" s="1589" t="s">
        <v>1218</v>
      </c>
      <c r="B5" s="1590" t="str">
        <f>'预评函-封皮'!B49</f>
        <v>康正预评字号</v>
      </c>
    </row>
    <row r="6" spans="1:2" s="1585" customFormat="1" ht="15.5" thickTop="1">
      <c r="A6" s="1583" t="s">
        <v>1219</v>
      </c>
      <c r="B6" s="1584" t="str">
        <f>'预评函-1'!A4</f>
        <v>受贵公司委托，我公司对北京市怀柔区雁栖湖柏崖厂村HR-0009-0113地块出让国有建设用地使用权及在建建筑物房地产抵押价值进行了预评估。</v>
      </c>
    </row>
    <row r="7" spans="1:2" s="1588" customFormat="1">
      <c r="A7" s="1586" t="s">
        <v>1259</v>
      </c>
      <c r="B7" s="1587" t="str">
        <f>'预评函-1'!A7</f>
        <v>估价对象为北京市怀柔区雁栖湖柏崖厂村HR-0009-0113地块出让国有建设用地使用权及在建建筑物房地产，为北京京雁置业有限责任公司所有。根据《国有土地使用证》[]，估价对象（分摊）出让国有建设用地使用权面积为104283.06平方米，建筑面积为212264.8平方米。</v>
      </c>
    </row>
    <row r="8" spans="1:2" s="1588" customFormat="1">
      <c r="A8" s="1586" t="s">
        <v>1260</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1261</v>
      </c>
      <c r="B9" s="1587" t="str">
        <f>'预评函-1'!A10</f>
        <v>估价对象为北京市怀柔区雁栖湖柏崖厂村HR-0009-0113地块出让国有建设用地使用权及在建建筑物房地产,为北京京雁置业有限责任公司开发建设的居住项目，该项目尚在开发建设中。根据《国有土地使用证》[]，估价对象（分摊）出让国有建设用地使用权面积为104283.06平方米，规划建筑面积为212264.8平方米。</v>
      </c>
    </row>
    <row r="10" spans="1:2" s="1588" customFormat="1">
      <c r="A10" s="1586" t="s">
        <v>1262</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1220</v>
      </c>
      <c r="B11" s="1587" t="str">
        <f>'预评函-1'!A13</f>
        <v>为估价委托人在向兴业银行西城支行办理贷款手续过程中，确定房地产抵押贷款额度提供参考依据而评估房地产抵押价值。</v>
      </c>
    </row>
    <row r="12" spans="1:2" s="1588" customFormat="1">
      <c r="A12" s="1586" t="s">
        <v>1221</v>
      </c>
      <c r="B12" s="1587" t="str">
        <f>'预评函-1'!A15</f>
        <v>2020年3月13日</v>
      </c>
    </row>
    <row r="13" spans="1:2" s="1588" customFormat="1">
      <c r="A13" s="1586" t="s">
        <v>1222</v>
      </c>
      <c r="B13" s="1587" t="str">
        <f>'预评函-1'!A18</f>
        <v>本次估价的“房地产价值”是指在正常市场情况下，在价值时点2020年3月13日，估价对象规划用途为，土地取得方式为出让，出让国有建设用地使用权剩余土地使用年限为，假定未设立法定优先受偿款下的房地产市场价值。</v>
      </c>
    </row>
    <row r="14" spans="1:2" s="1588" customFormat="1">
      <c r="A14" s="1586" t="s">
        <v>1223</v>
      </c>
      <c r="B14" s="158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1224</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1225</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1226</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5" thickBot="1">
      <c r="A18" s="1589" t="s">
        <v>1227</v>
      </c>
      <c r="B18" s="1590" t="str">
        <f>'预评函-1'!A24</f>
        <v>本次评估采用的主估价方法为成本法和假设开发法。</v>
      </c>
    </row>
    <row r="19" spans="1:2" s="1585" customFormat="1" ht="15.5" thickTop="1">
      <c r="A19" s="1583" t="s">
        <v>1228</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1229</v>
      </c>
      <c r="B20" s="1587">
        <f ca="1">'预评函-2'!D5</f>
        <v>330898</v>
      </c>
    </row>
    <row r="21" spans="1:2" s="1588" customFormat="1">
      <c r="A21" s="1586" t="s">
        <v>1230</v>
      </c>
      <c r="B21" s="1587">
        <f ca="1">'预评函-2'!D7</f>
        <v>15589</v>
      </c>
    </row>
    <row r="22" spans="1:2" s="1588" customFormat="1">
      <c r="A22" s="1586" t="s">
        <v>1231</v>
      </c>
      <c r="B22" s="1587" t="str">
        <f ca="1">'预评函-2'!D6</f>
        <v>叁拾叁亿零捌佰玖拾捌万元整</v>
      </c>
    </row>
    <row r="23" spans="1:2" s="1588" customFormat="1">
      <c r="A23" s="1586" t="s">
        <v>1282</v>
      </c>
      <c r="B23" s="1587" t="str">
        <f>'预评函-2'!B8</f>
        <v>2.估价师知悉的法定优先受偿款</v>
      </c>
    </row>
    <row r="24" spans="1:2" s="1588" customFormat="1">
      <c r="A24" s="1586" t="s">
        <v>1288</v>
      </c>
      <c r="B24" s="1587">
        <f>'预评函-2'!D8</f>
        <v>0</v>
      </c>
    </row>
    <row r="25" spans="1:2" s="1588" customFormat="1">
      <c r="A25" s="1586" t="s">
        <v>1232</v>
      </c>
      <c r="B25" s="1587" t="str">
        <f>'预评函-2'!D9</f>
        <v>零元整</v>
      </c>
    </row>
    <row r="26" spans="1:2" s="1588" customFormat="1">
      <c r="A26" s="1586" t="s">
        <v>1233</v>
      </c>
      <c r="B26" s="1587">
        <f>'预评函-2'!D10</f>
        <v>0</v>
      </c>
    </row>
    <row r="27" spans="1:2" s="1588" customFormat="1">
      <c r="A27" s="1586" t="s">
        <v>1234</v>
      </c>
      <c r="B27" s="1587">
        <f>'预评函-2'!D11</f>
        <v>0</v>
      </c>
    </row>
    <row r="28" spans="1:2" s="1588" customFormat="1">
      <c r="A28" s="1586" t="s">
        <v>1235</v>
      </c>
      <c r="B28" s="1587">
        <f>'预评函-2'!D12</f>
        <v>0</v>
      </c>
    </row>
    <row r="29" spans="1:2" s="1588" customFormat="1">
      <c r="A29" s="1586" t="s">
        <v>1286</v>
      </c>
      <c r="B29" s="1587" t="str">
        <f>'预评函-2'!B13</f>
        <v>——</v>
      </c>
    </row>
    <row r="30" spans="1:2" s="1588" customFormat="1">
      <c r="A30" s="1586" t="s">
        <v>1287</v>
      </c>
      <c r="B30" s="1587" t="str">
        <f>'预评函-2'!D13</f>
        <v>——</v>
      </c>
    </row>
    <row r="31" spans="1:2" s="1588" customFormat="1">
      <c r="A31" s="1586" t="s">
        <v>1269</v>
      </c>
      <c r="B31" s="1587" t="e">
        <f>'预评函-2'!D15</f>
        <v>#VALUE!</v>
      </c>
    </row>
    <row r="32" spans="1:2" s="1588" customFormat="1">
      <c r="A32" s="1586" t="s">
        <v>1236</v>
      </c>
      <c r="B32" s="1587" t="e">
        <f>'预评函-2'!D14</f>
        <v>#VALUE!</v>
      </c>
    </row>
    <row r="33" spans="1:2" s="1588" customFormat="1">
      <c r="A33" s="1586" t="s">
        <v>1271</v>
      </c>
      <c r="B33" s="1587" t="str">
        <f>'预评函-2'!B16</f>
        <v>3.抵押担保权已注销时的房地产抵押价值</v>
      </c>
    </row>
    <row r="34" spans="1:2" s="1588" customFormat="1">
      <c r="A34" s="1586" t="s">
        <v>1289</v>
      </c>
      <c r="B34" s="1587">
        <f ca="1">'预评函-2'!D16</f>
        <v>330898</v>
      </c>
    </row>
    <row r="35" spans="1:2" s="1588" customFormat="1">
      <c r="A35" s="1586" t="s">
        <v>1270</v>
      </c>
      <c r="B35" s="1587">
        <f ca="1">'预评函-2'!D18</f>
        <v>15589</v>
      </c>
    </row>
    <row r="36" spans="1:2" s="1588" customFormat="1">
      <c r="A36" s="1586" t="s">
        <v>1237</v>
      </c>
      <c r="B36" s="1587" t="str">
        <f ca="1">'预评函-2'!D17</f>
        <v>叁拾叁亿零捌佰玖拾捌万元整</v>
      </c>
    </row>
    <row r="37" spans="1:2" s="1588" customFormat="1">
      <c r="A37" s="1586" t="s">
        <v>1272</v>
      </c>
      <c r="B37" s="1587" t="str">
        <f>'预评函-2'!B19</f>
        <v>4.抵押净值</v>
      </c>
    </row>
    <row r="38" spans="1:2" s="1588" customFormat="1">
      <c r="A38" s="1586" t="s">
        <v>1290</v>
      </c>
      <c r="B38" s="1587">
        <f ca="1">'预评函-2'!D19</f>
        <v>260226</v>
      </c>
    </row>
    <row r="39" spans="1:2" s="1588" customFormat="1">
      <c r="A39" s="1586" t="s">
        <v>1238</v>
      </c>
      <c r="B39" s="1587">
        <f ca="1">'预评函-2'!D21</f>
        <v>12259</v>
      </c>
    </row>
    <row r="40" spans="1:2" s="1588" customFormat="1">
      <c r="A40" s="1586" t="s">
        <v>1239</v>
      </c>
      <c r="B40" s="1587" t="str">
        <f ca="1">'预评函-2'!D20</f>
        <v>贰拾陆亿零贰佰贰拾陆万元整</v>
      </c>
    </row>
    <row r="41" spans="1:2" s="1588" customFormat="1">
      <c r="A41" s="1586" t="s">
        <v>1285</v>
      </c>
      <c r="B41" s="1587" t="str">
        <f>'预评函-3'!A4</f>
        <v>北京市怀柔区雁栖湖柏崖厂村HR-0009-0113地块出让国有建设用地使用权及在建建筑物房地产</v>
      </c>
    </row>
    <row r="42" spans="1:2" s="1588" customFormat="1" ht="30">
      <c r="A42" s="1586" t="s">
        <v>1283</v>
      </c>
      <c r="B42" s="1587" t="str">
        <f>'预评函-3'!B2</f>
        <v>建筑面积</v>
      </c>
    </row>
    <row r="43" spans="1:2" s="1588" customFormat="1">
      <c r="A43" s="1586" t="s">
        <v>1284</v>
      </c>
      <c r="B43" s="1587">
        <f>'预评函-3'!B4</f>
        <v>212264.80000000002</v>
      </c>
    </row>
    <row r="44" spans="1:2" s="1588" customFormat="1" ht="30">
      <c r="A44" s="1586" t="s">
        <v>1268</v>
      </c>
      <c r="B44" s="1587" t="str">
        <f>'预评函-3'!C2</f>
        <v>(分摊)土地面积</v>
      </c>
    </row>
    <row r="45" spans="1:2" s="1588" customFormat="1">
      <c r="A45" s="1586" t="s">
        <v>1240</v>
      </c>
      <c r="B45" s="1587">
        <f>'预评函-3'!C4</f>
        <v>104283.06</v>
      </c>
    </row>
    <row r="46" spans="1:2" s="1588" customFormat="1">
      <c r="A46" s="1586" t="s">
        <v>1266</v>
      </c>
      <c r="B46" s="1587" t="str">
        <f>'预评函-3'!D2</f>
        <v>出让国有建设用地使用权价值</v>
      </c>
    </row>
    <row r="47" spans="1:2" s="1588" customFormat="1">
      <c r="A47" s="1586" t="s">
        <v>1241</v>
      </c>
      <c r="B47" s="1587">
        <f ca="1">'预评函-3'!D4</f>
        <v>316008</v>
      </c>
    </row>
    <row r="48" spans="1:2" s="1588" customFormat="1">
      <c r="A48" s="1586" t="s">
        <v>1242</v>
      </c>
      <c r="B48" s="1587">
        <f ca="1">'预评函-3'!E4</f>
        <v>14888</v>
      </c>
    </row>
    <row r="49" spans="1:2" s="1588" customFormat="1">
      <c r="A49" s="1586" t="s">
        <v>1243</v>
      </c>
      <c r="B49" s="1587" t="str">
        <f ca="1">'预评函-3'!D5</f>
        <v>叁拾壹亿陆仟零捌万元整</v>
      </c>
    </row>
    <row r="50" spans="1:2" s="1588" customFormat="1">
      <c r="A50" s="1586" t="s">
        <v>1267</v>
      </c>
      <c r="B50" s="1587" t="str">
        <f>'预评函-3'!F2</f>
        <v>在建建筑物价值</v>
      </c>
    </row>
    <row r="51" spans="1:2" s="1588" customFormat="1">
      <c r="A51" s="1586" t="s">
        <v>1244</v>
      </c>
      <c r="B51" s="1587">
        <f ca="1">'预评函-3'!F4</f>
        <v>14890</v>
      </c>
    </row>
    <row r="52" spans="1:2" s="1588" customFormat="1">
      <c r="A52" s="1586" t="s">
        <v>1245</v>
      </c>
      <c r="B52" s="1587">
        <f ca="1">'预评函-3'!G4</f>
        <v>701</v>
      </c>
    </row>
    <row r="53" spans="1:2" s="1588" customFormat="1">
      <c r="A53" s="1586" t="s">
        <v>1273</v>
      </c>
      <c r="B53" s="1587" t="str">
        <f ca="1">'预评函-3'!F5</f>
        <v>壹亿肆仟捌佰玖拾万元整</v>
      </c>
    </row>
    <row r="54" spans="1:2" s="1588" customFormat="1">
      <c r="A54" s="1586" t="s">
        <v>1291</v>
      </c>
      <c r="B54" s="1587" t="str">
        <f>'预评函-3'!A8</f>
        <v/>
      </c>
    </row>
    <row r="55" spans="1:2" s="1588" customFormat="1">
      <c r="A55" s="1586" t="s">
        <v>1274</v>
      </c>
      <c r="B55" s="1587" t="str">
        <f>'预评函-3'!A10</f>
        <v>抵押担保权已注销时的房地产抵押价值</v>
      </c>
    </row>
    <row r="56" spans="1:2" s="1588" customFormat="1">
      <c r="A56" s="1586" t="s">
        <v>1275</v>
      </c>
      <c r="B56" s="1587" t="str">
        <f>'预评函-3'!A12</f>
        <v>抵押净值</v>
      </c>
    </row>
    <row r="57" spans="1:2" s="1582" customFormat="1" ht="15.5" thickBot="1">
      <c r="A57" s="1589" t="s">
        <v>1292</v>
      </c>
      <c r="B57" s="1590" t="str">
        <f>'预评函-3'!A6</f>
        <v>估价师知悉的法定优先受偿款</v>
      </c>
    </row>
    <row r="58" spans="1:2" s="1585" customFormat="1" ht="15.5" thickTop="1">
      <c r="A58" s="1583" t="s">
        <v>1246</v>
      </c>
      <c r="B58" s="1584" t="str">
        <f>'预评函-4'!A12</f>
        <v>2.本《评估意见函》仅供金融机构进行内部审核使用，不做其他目的之用。</v>
      </c>
    </row>
    <row r="59" spans="1:2" s="1588" customFormat="1">
      <c r="A59" s="1586" t="s">
        <v>1247</v>
      </c>
      <c r="B59" s="1587" t="str">
        <f>'预评函-4'!A13</f>
        <v>3.抵押双方在办理抵押登记手续时，应使用本公司出具的正式《房地产评估报告》，特提醒报告使用者注意。</v>
      </c>
    </row>
    <row r="60" spans="1:2" s="1588" customFormat="1">
      <c r="A60" s="1586" t="s">
        <v>1248</v>
      </c>
      <c r="B60" s="1587" t="str">
        <f>'预评函-4'!A14</f>
        <v>4.本次评估估价师所知悉的法定优先受偿款情况说明如下：</v>
      </c>
    </row>
    <row r="61" spans="1:2" s="1588" customFormat="1">
      <c r="A61" s="1586" t="s">
        <v>1249</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1250</v>
      </c>
      <c r="B62" s="1587" t="str">
        <f>'预评函-4'!A16</f>
        <v>（2）根据《工程款支付情况说明》，截至价值时点，估价对象不存在应付未付工程款项。（只要没有施工方盖章的，均“设定”进行表述）</v>
      </c>
    </row>
    <row r="63" spans="1:2" s="1588" customFormat="1">
      <c r="A63" s="1586" t="s">
        <v>1251</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1263</v>
      </c>
      <c r="B64" s="1587" t="str">
        <f>'预评函-4'!A18</f>
        <v>故，本次评估不存在估价师知悉的法定优先受偿款</v>
      </c>
    </row>
    <row r="65" spans="1:2" s="1588" customFormat="1">
      <c r="A65" s="1586" t="s">
        <v>1252</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1253</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1264</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1265</v>
      </c>
      <c r="B68" s="1587" t="str">
        <f>'预评函-4'!A22</f>
        <v>8.其他需特殊说明事项：无（注意调整序号）</v>
      </c>
    </row>
    <row r="69" spans="1:2" s="1582" customFormat="1" ht="15.5" thickBot="1">
      <c r="A69" s="1589" t="s">
        <v>1254</v>
      </c>
      <c r="B69" s="1591">
        <f>'预评函-4'!C31</f>
        <v>42551</v>
      </c>
    </row>
    <row r="70" spans="1:2" ht="15.5" thickTop="1">
      <c r="A70" s="1592" t="s">
        <v>1255</v>
      </c>
      <c r="B70" s="1593" t="str">
        <f>'预评函-4'!A4</f>
        <v>崔锴</v>
      </c>
    </row>
    <row r="71" spans="1:2">
      <c r="A71" s="1586" t="s">
        <v>1256</v>
      </c>
      <c r="B71" s="1587">
        <f ca="1">'预评函-4'!B4</f>
        <v>1120100036</v>
      </c>
    </row>
    <row r="72" spans="1:2">
      <c r="A72" s="1586" t="s">
        <v>1257</v>
      </c>
      <c r="B72" s="1595" t="str">
        <f>'预评函-4'!A5</f>
        <v>郑燚</v>
      </c>
    </row>
    <row r="73" spans="1:2" s="1582" customFormat="1" ht="15.5" thickBot="1">
      <c r="A73" s="1589" t="s">
        <v>1258</v>
      </c>
      <c r="B73" s="1590">
        <f ca="1">'预评函-4'!B5</f>
        <v>1120070131</v>
      </c>
    </row>
    <row r="74" spans="1:2" ht="15.5" thickTop="1">
      <c r="A74" s="1579" t="s">
        <v>1294</v>
      </c>
      <c r="B74" s="159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18" sqref="E18"/>
    </sheetView>
  </sheetViews>
  <sheetFormatPr defaultColWidth="9" defaultRowHeight="14"/>
  <cols>
    <col min="1" max="1" width="13.453125" style="2018" customWidth="1"/>
    <col min="2" max="2" width="23.08984375" style="1969" customWidth="1"/>
    <col min="3" max="3" width="13" style="2013" customWidth="1"/>
    <col min="4" max="4" width="5.90625" style="2010" customWidth="1"/>
    <col min="5" max="5" width="7.08984375" style="2010" customWidth="1"/>
    <col min="6" max="6" width="10.6328125" style="2010" customWidth="1"/>
    <col min="7" max="7" width="7.453125" style="2010" customWidth="1"/>
    <col min="8" max="8" width="9" style="2013" customWidth="1"/>
    <col min="9" max="9" width="11.6328125" style="2013" customWidth="1"/>
    <col min="10" max="10" width="9" style="2013" customWidth="1"/>
    <col min="11" max="19" width="9" style="2010" customWidth="1"/>
    <col min="20" max="23" width="9" style="2013" customWidth="1"/>
    <col min="24" max="24" width="21.08984375" style="1969" customWidth="1"/>
    <col min="25" max="16384" width="9" style="1969"/>
  </cols>
  <sheetData>
    <row r="1" spans="1:23" s="2007" customFormat="1" ht="28">
      <c r="A1" s="2001" t="s">
        <v>71</v>
      </c>
      <c r="B1" s="2002" t="s">
        <v>1684</v>
      </c>
      <c r="C1" s="2003" t="s">
        <v>759</v>
      </c>
      <c r="D1" s="2004" t="s">
        <v>1685</v>
      </c>
      <c r="E1" s="2004" t="s">
        <v>1686</v>
      </c>
      <c r="F1" s="2004" t="s">
        <v>1687</v>
      </c>
      <c r="G1" s="2004" t="s">
        <v>1688</v>
      </c>
      <c r="H1" s="2004" t="s">
        <v>1689</v>
      </c>
      <c r="I1" s="2004" t="s">
        <v>1690</v>
      </c>
      <c r="J1" s="2004" t="s">
        <v>1691</v>
      </c>
      <c r="K1" s="2004" t="s">
        <v>1692</v>
      </c>
      <c r="L1" s="2004" t="s">
        <v>1693</v>
      </c>
      <c r="M1" s="2004" t="s">
        <v>1694</v>
      </c>
      <c r="N1" s="2004" t="s">
        <v>1695</v>
      </c>
      <c r="O1" s="2004" t="s">
        <v>1696</v>
      </c>
      <c r="P1" s="2005" t="s">
        <v>753</v>
      </c>
      <c r="Q1" s="2005" t="s">
        <v>1140</v>
      </c>
      <c r="R1" s="2004" t="s">
        <v>1134</v>
      </c>
      <c r="S1" s="2004" t="s">
        <v>1697</v>
      </c>
      <c r="T1" s="2006" t="s">
        <v>1698</v>
      </c>
      <c r="U1" s="2004" t="s">
        <v>1699</v>
      </c>
      <c r="V1" s="2004" t="s">
        <v>1700</v>
      </c>
      <c r="W1" s="2004" t="s">
        <v>755</v>
      </c>
    </row>
    <row r="2" spans="1:23">
      <c r="A2" s="2008" t="s">
        <v>22</v>
      </c>
      <c r="B2" s="2008" t="s">
        <v>1701</v>
      </c>
      <c r="C2" s="2009" t="s">
        <v>760</v>
      </c>
      <c r="D2" s="2010" t="s">
        <v>1702</v>
      </c>
      <c r="E2" s="2010" t="s">
        <v>1703</v>
      </c>
      <c r="F2" s="2010" t="s">
        <v>1704</v>
      </c>
      <c r="G2" s="2010">
        <v>40</v>
      </c>
      <c r="H2" s="2010" t="s">
        <v>1704</v>
      </c>
      <c r="I2" s="2010" t="s">
        <v>1705</v>
      </c>
      <c r="J2" s="2010" t="s">
        <v>1706</v>
      </c>
      <c r="K2" s="2010" t="s">
        <v>1707</v>
      </c>
      <c r="L2" s="2010" t="s">
        <v>1707</v>
      </c>
      <c r="M2" s="2010" t="s">
        <v>1707</v>
      </c>
      <c r="N2" s="2010" t="s">
        <v>1707</v>
      </c>
      <c r="O2" s="2010" t="s">
        <v>1707</v>
      </c>
      <c r="P2" s="2010" t="s">
        <v>1707</v>
      </c>
      <c r="Q2" s="2010" t="s">
        <v>1707</v>
      </c>
      <c r="R2" s="2010" t="s">
        <v>1136</v>
      </c>
      <c r="S2" s="2010" t="s">
        <v>1707</v>
      </c>
      <c r="T2" s="2010" t="s">
        <v>1708</v>
      </c>
      <c r="U2" s="2010" t="s">
        <v>1707</v>
      </c>
      <c r="V2" s="2010" t="s">
        <v>1709</v>
      </c>
      <c r="W2" s="2010" t="s">
        <v>1707</v>
      </c>
    </row>
    <row r="3" spans="1:23">
      <c r="A3" s="2008" t="s">
        <v>1710</v>
      </c>
      <c r="B3" s="2011" t="s">
        <v>1141</v>
      </c>
      <c r="C3" s="2012" t="s">
        <v>761</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1135</v>
      </c>
      <c r="S3" s="2010" t="s">
        <v>1715</v>
      </c>
      <c r="T3" s="2010" t="s">
        <v>1716</v>
      </c>
      <c r="U3" s="2010" t="s">
        <v>1715</v>
      </c>
      <c r="V3" s="2010" t="s">
        <v>1717</v>
      </c>
      <c r="W3" s="2010" t="s">
        <v>1715</v>
      </c>
    </row>
    <row r="4" spans="1:23">
      <c r="A4" s="2008" t="s">
        <v>1718</v>
      </c>
      <c r="B4" s="2008" t="s">
        <v>1719</v>
      </c>
      <c r="C4" s="2009" t="s">
        <v>762</v>
      </c>
      <c r="D4" s="2010" t="s">
        <v>864</v>
      </c>
      <c r="E4" s="2010" t="s">
        <v>1720</v>
      </c>
      <c r="F4" s="2010" t="s">
        <v>1721</v>
      </c>
      <c r="G4" s="2010">
        <v>70</v>
      </c>
      <c r="H4" s="2010" t="s">
        <v>1721</v>
      </c>
      <c r="I4" s="2010" t="s">
        <v>1722</v>
      </c>
      <c r="K4" s="2010" t="s">
        <v>1723</v>
      </c>
      <c r="L4" s="2010" t="s">
        <v>1723</v>
      </c>
      <c r="M4" s="2010" t="s">
        <v>1723</v>
      </c>
      <c r="N4" s="2010" t="s">
        <v>1723</v>
      </c>
      <c r="O4" s="2010" t="s">
        <v>1723</v>
      </c>
      <c r="P4" s="2010" t="s">
        <v>1723</v>
      </c>
      <c r="Q4" s="2010" t="s">
        <v>1723</v>
      </c>
      <c r="R4" s="2010" t="s">
        <v>1137</v>
      </c>
      <c r="S4" s="2010" t="s">
        <v>1723</v>
      </c>
      <c r="T4" s="2010" t="s">
        <v>1724</v>
      </c>
      <c r="U4" s="2010" t="s">
        <v>1723</v>
      </c>
      <c r="W4" s="2010" t="s">
        <v>1723</v>
      </c>
    </row>
    <row r="5" spans="1:23">
      <c r="A5" s="2008" t="s">
        <v>1725</v>
      </c>
      <c r="B5" s="2008" t="s">
        <v>1726</v>
      </c>
      <c r="C5" s="2009" t="s">
        <v>763</v>
      </c>
      <c r="F5" s="2010" t="s">
        <v>1727</v>
      </c>
      <c r="H5" s="2010" t="s">
        <v>1728</v>
      </c>
      <c r="I5" s="2010" t="s">
        <v>1729</v>
      </c>
      <c r="K5" s="2010" t="s">
        <v>1730</v>
      </c>
      <c r="L5" s="2010" t="s">
        <v>1730</v>
      </c>
      <c r="M5" s="2010" t="s">
        <v>1730</v>
      </c>
      <c r="N5" s="2010" t="s">
        <v>1730</v>
      </c>
      <c r="O5" s="2010" t="s">
        <v>1730</v>
      </c>
      <c r="P5" s="2010" t="s">
        <v>1730</v>
      </c>
      <c r="Q5" s="2010" t="s">
        <v>1730</v>
      </c>
      <c r="R5" s="2010" t="s">
        <v>1138</v>
      </c>
      <c r="S5" s="2010" t="s">
        <v>1730</v>
      </c>
      <c r="T5" s="2010" t="s">
        <v>1731</v>
      </c>
      <c r="U5" s="2010" t="s">
        <v>1730</v>
      </c>
      <c r="W5" s="2010" t="s">
        <v>1730</v>
      </c>
    </row>
    <row r="6" spans="1:23">
      <c r="A6" s="2008" t="s">
        <v>1732</v>
      </c>
      <c r="B6" s="2011" t="s">
        <v>1142</v>
      </c>
      <c r="C6" s="2014" t="s">
        <v>30</v>
      </c>
      <c r="F6" s="2010" t="s">
        <v>1728</v>
      </c>
      <c r="H6" s="2010" t="s">
        <v>1733</v>
      </c>
      <c r="I6" s="2010" t="s">
        <v>1734</v>
      </c>
      <c r="K6" s="2010" t="s">
        <v>1735</v>
      </c>
      <c r="L6" s="2010" t="s">
        <v>1735</v>
      </c>
      <c r="M6" s="2010" t="s">
        <v>1735</v>
      </c>
      <c r="N6" s="2010" t="s">
        <v>1735</v>
      </c>
      <c r="O6" s="2010" t="s">
        <v>1735</v>
      </c>
      <c r="P6" s="2010" t="s">
        <v>1735</v>
      </c>
      <c r="Q6" s="2010" t="s">
        <v>1735</v>
      </c>
      <c r="R6" s="2010" t="s">
        <v>1139</v>
      </c>
      <c r="S6" s="2010" t="s">
        <v>1735</v>
      </c>
      <c r="T6" s="2010"/>
      <c r="U6" s="2010" t="s">
        <v>1735</v>
      </c>
      <c r="W6" s="2010" t="s">
        <v>1735</v>
      </c>
    </row>
    <row r="7" spans="1:23">
      <c r="A7" s="2008" t="s">
        <v>1736</v>
      </c>
      <c r="B7" s="2011" t="s">
        <v>1143</v>
      </c>
      <c r="C7" s="2009" t="s">
        <v>31</v>
      </c>
      <c r="F7" s="2010" t="s">
        <v>1737</v>
      </c>
      <c r="H7" s="2010" t="s">
        <v>1738</v>
      </c>
      <c r="I7" s="2010" t="s">
        <v>1739</v>
      </c>
    </row>
    <row r="8" spans="1:23">
      <c r="A8" s="2008" t="s">
        <v>1740</v>
      </c>
      <c r="B8" s="2008" t="s">
        <v>1741</v>
      </c>
      <c r="C8" s="2009" t="s">
        <v>764</v>
      </c>
      <c r="F8" s="2010" t="s">
        <v>1742</v>
      </c>
      <c r="H8" s="2010"/>
      <c r="I8" s="2010" t="s">
        <v>1743</v>
      </c>
    </row>
    <row r="9" spans="1:23">
      <c r="A9" s="2008" t="s">
        <v>1744</v>
      </c>
      <c r="B9" s="2008" t="s">
        <v>1745</v>
      </c>
      <c r="C9" s="2009" t="s">
        <v>765</v>
      </c>
      <c r="F9" s="2010" t="s">
        <v>1746</v>
      </c>
      <c r="H9" s="2010"/>
    </row>
    <row r="10" spans="1:23">
      <c r="A10" s="2008" t="s">
        <v>1747</v>
      </c>
      <c r="B10" s="2008" t="s">
        <v>1748</v>
      </c>
      <c r="C10" s="2009" t="s">
        <v>766</v>
      </c>
      <c r="F10" s="2010" t="s">
        <v>16</v>
      </c>
    </row>
    <row r="11" spans="1:23">
      <c r="A11" s="2008" t="s">
        <v>1749</v>
      </c>
      <c r="B11" s="2008" t="s">
        <v>1750</v>
      </c>
      <c r="C11" s="2009" t="s">
        <v>767</v>
      </c>
    </row>
    <row r="12" spans="1:23">
      <c r="A12" s="2008" t="s">
        <v>1751</v>
      </c>
      <c r="B12" s="2008" t="s">
        <v>1752</v>
      </c>
      <c r="C12" s="2009" t="s">
        <v>768</v>
      </c>
    </row>
    <row r="13" spans="1:23">
      <c r="A13" s="2008" t="s">
        <v>1753</v>
      </c>
      <c r="B13" s="2008" t="s">
        <v>1754</v>
      </c>
      <c r="C13" s="2009" t="s">
        <v>769</v>
      </c>
    </row>
    <row r="14" spans="1:23">
      <c r="A14" s="2008" t="s">
        <v>1755</v>
      </c>
      <c r="B14" s="2008" t="s">
        <v>1756</v>
      </c>
      <c r="C14" s="2010" t="s">
        <v>16</v>
      </c>
    </row>
    <row r="15" spans="1:23">
      <c r="A15" s="2008" t="s">
        <v>1757</v>
      </c>
      <c r="B15" s="2008" t="s">
        <v>1758</v>
      </c>
      <c r="C15" s="2009"/>
    </row>
    <row r="16" spans="1:23">
      <c r="A16" s="2008" t="s">
        <v>1759</v>
      </c>
      <c r="B16" s="2008" t="s">
        <v>756</v>
      </c>
      <c r="C16" s="2009"/>
    </row>
    <row r="17" spans="1:3">
      <c r="A17" s="2008" t="s">
        <v>1760</v>
      </c>
      <c r="B17" s="2008" t="s">
        <v>3353</v>
      </c>
      <c r="C17" s="2009"/>
    </row>
    <row r="18" spans="1:3">
      <c r="A18" s="2008" t="s">
        <v>1761</v>
      </c>
      <c r="B18" s="2008" t="s">
        <v>3423</v>
      </c>
      <c r="C18" s="2009"/>
    </row>
    <row r="19" spans="1:3">
      <c r="A19" s="2008" t="s">
        <v>1762</v>
      </c>
      <c r="B19" s="2008" t="s">
        <v>757</v>
      </c>
      <c r="C19" s="2009"/>
    </row>
    <row r="20" spans="1:3">
      <c r="A20" s="2008" t="s">
        <v>1763</v>
      </c>
      <c r="B20" s="2008" t="s">
        <v>757</v>
      </c>
      <c r="C20" s="2009"/>
    </row>
    <row r="21" spans="1:3">
      <c r="A21" s="2008" t="s">
        <v>1764</v>
      </c>
      <c r="B21" s="2008" t="s">
        <v>757</v>
      </c>
      <c r="C21" s="2009"/>
    </row>
    <row r="22" spans="1:3">
      <c r="A22" s="2008" t="s">
        <v>1765</v>
      </c>
      <c r="B22" s="2008" t="s">
        <v>757</v>
      </c>
      <c r="C22" s="2009"/>
    </row>
    <row r="23" spans="1:3">
      <c r="A23" s="2008" t="s">
        <v>1766</v>
      </c>
      <c r="B23" s="2008" t="s">
        <v>757</v>
      </c>
      <c r="C23" s="2009"/>
    </row>
    <row r="24" spans="1:3">
      <c r="A24" s="2008" t="s">
        <v>1767</v>
      </c>
      <c r="B24" s="2008" t="s">
        <v>757</v>
      </c>
      <c r="C24" s="2009"/>
    </row>
    <row r="25" spans="1:3">
      <c r="A25" s="2008" t="s">
        <v>1768</v>
      </c>
      <c r="B25" s="2008" t="s">
        <v>757</v>
      </c>
      <c r="C25" s="2009"/>
    </row>
    <row r="26" spans="1:3">
      <c r="A26" s="2008" t="s">
        <v>1769</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853</v>
      </c>
      <c r="B51" s="2016" t="str">
        <f>"为估价委托人在向"&amp;项目基本情况!B6&amp;"办理贷款手续过程中，确定房地产抵押贷款额度提供参考依据而评估房地产抵押价值。"</f>
        <v>为估价委托人在向兴业银行西城支行办理贷款手续过程中，确定房地产抵押贷款额度提供参考依据而评估房地产抵押价值。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雁置业有限责任公司拟使用北京市怀柔区雁栖湖柏崖厂村HR-0009-0113地块出让国有建设用地使用权及在建建筑物房地产作为抵押担保物，向兴业银行西城支行办理贷款手续。兴业银行西城支行特委托北京康正宏基房地产评估有限公司对上述抵押物进行评估。本次评估为确定房地产抵押贷款额度提供参考依据而评估房地产抵押价值。</v>
      </c>
      <c r="D51" s="2016" t="s">
        <v>1279</v>
      </c>
    </row>
    <row r="52" spans="1:4">
      <c r="A52" s="2015" t="s">
        <v>854</v>
      </c>
      <c r="B52" s="2015" t="s">
        <v>855</v>
      </c>
      <c r="C52" s="2013" t="s">
        <v>856</v>
      </c>
      <c r="D52" s="2013" t="s">
        <v>857</v>
      </c>
    </row>
    <row r="53" spans="1:4">
      <c r="A53" s="3084"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4"/>
      <c r="B54" s="2016" t="s">
        <v>860</v>
      </c>
      <c r="C54" s="2013" t="s">
        <v>1276</v>
      </c>
    </row>
    <row r="55" spans="1:4">
      <c r="A55" s="3084"/>
      <c r="B55" s="2016" t="s">
        <v>861</v>
      </c>
      <c r="C55" s="2013" t="s">
        <v>1277</v>
      </c>
    </row>
    <row r="56" spans="1:4">
      <c r="A56" s="3084"/>
      <c r="B56" s="2016" t="s">
        <v>862</v>
      </c>
      <c r="C56" s="2013" t="s">
        <v>1281</v>
      </c>
    </row>
    <row r="57" spans="1:4">
      <c r="A57" s="3084"/>
      <c r="B57" s="2016" t="s">
        <v>863</v>
      </c>
      <c r="C57" s="2013" t="s">
        <v>1278</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Normal="100" zoomScaleSheetLayoutView="100" workbookViewId="0">
      <selection activeCell="E15" sqref="E15"/>
    </sheetView>
  </sheetViews>
  <sheetFormatPr defaultColWidth="10" defaultRowHeight="18" customHeight="1"/>
  <cols>
    <col min="1" max="1" width="14.90625" style="2026" customWidth="1"/>
    <col min="2" max="2" width="10" style="2026" customWidth="1"/>
    <col min="3" max="3" width="11.453125" style="2026" customWidth="1"/>
    <col min="4" max="4" width="12" style="2026" customWidth="1"/>
    <col min="5" max="6" width="10" style="2026" customWidth="1"/>
    <col min="7" max="7" width="10.90625" style="2026" customWidth="1"/>
    <col min="8" max="8" width="10" style="2026" customWidth="1"/>
    <col min="9" max="9" width="11.0898437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1770</v>
      </c>
      <c r="B1" s="3093" t="str">
        <f>IF(B10="北京市","北京市",C10)&amp;F10&amp;IF(结果表!G1="在建","出让国有建设用地使用权及在建建筑物",IF(结果表!G1="土地","出让国有建设用地使用权",))&amp;B9&amp;"预评估"</f>
        <v>北京市怀柔区雁栖湖柏崖厂村HR-0009-0113地块出让国有建设用地使用权及在建建筑物房地产抵押价值预评估</v>
      </c>
      <c r="C1" s="3094"/>
      <c r="D1" s="3094"/>
      <c r="E1" s="3094"/>
      <c r="F1" s="3094"/>
      <c r="G1" s="3094"/>
      <c r="H1" s="3094"/>
      <c r="I1" s="3095"/>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北京市怀柔区雁栖湖柏崖厂村HR-0009-0113地块出让国有建设用地使用权及在建建筑物房地产抵押价值</v>
      </c>
    </row>
    <row r="2" spans="1:19" ht="18" customHeight="1">
      <c r="A2" s="2020" t="s">
        <v>1771</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北京市怀柔区雁栖湖柏崖厂村HR-0009-0113地块出让国有建设用地使用权及在建建筑物房地产</v>
      </c>
    </row>
    <row r="3" spans="1:19" ht="18" customHeight="1">
      <c r="A3" s="2029" t="s">
        <v>1772</v>
      </c>
      <c r="B3" s="2030"/>
      <c r="C3" s="2031" t="s">
        <v>1773</v>
      </c>
      <c r="D3" s="2030">
        <v>43903</v>
      </c>
      <c r="E3" s="2020"/>
      <c r="F3" s="2020"/>
      <c r="G3" s="2020"/>
      <c r="H3" s="2020"/>
      <c r="I3" s="2020"/>
      <c r="J3" s="2020"/>
      <c r="K3" s="2021"/>
      <c r="L3" s="2022"/>
      <c r="M3" s="2022"/>
      <c r="N3" s="2023"/>
      <c r="O3" s="2024"/>
      <c r="P3" s="2023"/>
      <c r="Q3" s="2023"/>
      <c r="R3" s="2023"/>
      <c r="S3" s="2025"/>
    </row>
    <row r="4" spans="1:19" ht="18" customHeight="1" thickBot="1">
      <c r="A4" s="2032" t="s">
        <v>1774</v>
      </c>
      <c r="B4" s="2033" t="s">
        <v>3370</v>
      </c>
      <c r="C4" s="1032">
        <f ca="1">SUMIF(注册房地产估价师,B4,估价师及机构信息!B3:B24)</f>
        <v>1120100036</v>
      </c>
      <c r="D4" s="2033" t="s">
        <v>3371</v>
      </c>
      <c r="E4" s="1033">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崔锴（注册号：1120100036)、郑燚（注册号：1120070131)</v>
      </c>
      <c r="L4" s="2022"/>
      <c r="M4" s="2022"/>
      <c r="N4" s="2023"/>
      <c r="O4" s="2024"/>
      <c r="P4" s="2023"/>
      <c r="Q4" s="2023"/>
      <c r="R4" s="2023"/>
      <c r="S4" s="2025"/>
    </row>
    <row r="5" spans="1:19" ht="18" customHeight="1" thickTop="1">
      <c r="A5" s="2038" t="s">
        <v>1775</v>
      </c>
      <c r="B5" s="2948" t="s">
        <v>3051</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1776</v>
      </c>
      <c r="B6" s="2949" t="s">
        <v>3052</v>
      </c>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1" t="s">
        <v>1777</v>
      </c>
      <c r="B7" s="2042" t="str">
        <f>B5</f>
        <v>北京京雁置业有限责任公司</v>
      </c>
      <c r="C7" s="2043"/>
      <c r="D7" s="2044"/>
      <c r="E7" s="2028"/>
      <c r="F7" s="2036"/>
      <c r="G7" s="2036"/>
      <c r="H7" s="2036"/>
      <c r="I7" s="2036"/>
      <c r="J7" s="2036"/>
      <c r="K7" s="2046"/>
      <c r="L7" s="2022"/>
      <c r="M7" s="2022"/>
      <c r="N7" s="2023"/>
      <c r="O7" s="2024"/>
      <c r="P7" s="2023"/>
      <c r="Q7" s="2023"/>
      <c r="R7" s="2023"/>
    </row>
    <row r="8" spans="1:19" ht="18" customHeight="1">
      <c r="A8" s="2041" t="s">
        <v>1778</v>
      </c>
      <c r="B8" s="2047" t="s">
        <v>3053</v>
      </c>
      <c r="C8" s="2048"/>
      <c r="D8" s="3096" t="s">
        <v>1779</v>
      </c>
      <c r="E8" s="2049" t="s">
        <v>3424</v>
      </c>
      <c r="F8" s="2050"/>
      <c r="G8" s="2020"/>
      <c r="H8" s="2020"/>
      <c r="I8" s="2020"/>
      <c r="J8" s="2036"/>
      <c r="K8" s="2037"/>
      <c r="L8" s="2022"/>
      <c r="M8" s="2022"/>
      <c r="N8" s="2023"/>
      <c r="O8" s="2024"/>
      <c r="P8" s="2023"/>
      <c r="Q8" s="2023"/>
      <c r="R8" s="2023"/>
    </row>
    <row r="9" spans="1:19" ht="18" customHeight="1" thickBot="1">
      <c r="A9" s="2034" t="s">
        <v>1780</v>
      </c>
      <c r="B9" s="2051" t="s">
        <v>3054</v>
      </c>
      <c r="C9" s="2052"/>
      <c r="D9" s="3097"/>
      <c r="E9" s="2051" t="s">
        <v>1280</v>
      </c>
      <c r="F9" s="2053"/>
      <c r="G9" s="2054"/>
      <c r="H9" s="2054"/>
      <c r="I9" s="2054"/>
      <c r="J9" s="2036"/>
      <c r="K9" s="2046"/>
      <c r="L9" s="2022"/>
      <c r="M9" s="2022"/>
      <c r="N9" s="2023"/>
      <c r="O9" s="2024"/>
      <c r="P9" s="2023"/>
      <c r="Q9" s="2023"/>
      <c r="R9" s="2023"/>
    </row>
    <row r="10" spans="1:19" ht="18" customHeight="1" thickTop="1">
      <c r="A10" s="2055" t="s">
        <v>1781</v>
      </c>
      <c r="B10" s="2056" t="s">
        <v>3049</v>
      </c>
      <c r="C10" s="2057"/>
      <c r="D10" s="2040"/>
      <c r="E10" s="2058" t="s">
        <v>1782</v>
      </c>
      <c r="F10" s="2950" t="s">
        <v>3055</v>
      </c>
      <c r="G10" s="2059"/>
      <c r="H10" s="2060"/>
      <c r="I10" s="2040"/>
      <c r="J10" s="2036"/>
      <c r="K10" s="2046"/>
      <c r="L10" s="2022"/>
      <c r="M10" s="2022"/>
      <c r="N10" s="2023"/>
      <c r="O10" s="2024"/>
      <c r="P10" s="2023"/>
      <c r="Q10" s="2023"/>
      <c r="R10" s="2023"/>
    </row>
    <row r="11" spans="1:19" ht="18" customHeight="1">
      <c r="A11" s="2061" t="s">
        <v>1783</v>
      </c>
      <c r="B11" s="2062" t="s">
        <v>3050</v>
      </c>
      <c r="C11" s="2951" t="str">
        <f>B5</f>
        <v>北京京雁置业有限责任公司</v>
      </c>
      <c r="D11" s="2063"/>
      <c r="E11" s="2036"/>
      <c r="F11" s="2036"/>
      <c r="G11" s="2036"/>
      <c r="H11" s="2036"/>
      <c r="I11" s="2036"/>
      <c r="J11" s="2036"/>
      <c r="K11" s="2046"/>
      <c r="L11" s="2022"/>
      <c r="M11" s="2022"/>
      <c r="N11" s="2023"/>
      <c r="O11" s="2024"/>
      <c r="P11" s="2023"/>
      <c r="Q11" s="2023"/>
      <c r="R11" s="2023"/>
    </row>
    <row r="12" spans="1:19" ht="18" customHeight="1">
      <c r="A12" s="2064" t="s">
        <v>1784</v>
      </c>
      <c r="B12" s="2062" t="s">
        <v>3048</v>
      </c>
      <c r="C12" s="2065" t="s">
        <v>1785</v>
      </c>
      <c r="D12" s="2066" t="s">
        <v>1786</v>
      </c>
      <c r="E12" s="2066" t="s">
        <v>1787</v>
      </c>
      <c r="F12" s="2066" t="s">
        <v>1788</v>
      </c>
      <c r="G12" s="2066" t="s">
        <v>1789</v>
      </c>
      <c r="H12" s="2066" t="s">
        <v>1790</v>
      </c>
      <c r="I12" s="2066" t="s">
        <v>1791</v>
      </c>
      <c r="J12" s="2036"/>
      <c r="K12" s="2046"/>
      <c r="L12" s="2022"/>
      <c r="M12" s="2022"/>
      <c r="N12" s="2023"/>
      <c r="O12" s="2024"/>
      <c r="P12" s="2023"/>
      <c r="Q12" s="2023"/>
      <c r="R12" s="2023"/>
    </row>
    <row r="13" spans="1:19" ht="18" customHeight="1">
      <c r="A13" s="2067"/>
      <c r="B13" s="2068"/>
      <c r="C13" s="2069" t="s">
        <v>1792</v>
      </c>
      <c r="D13" s="2070">
        <v>67088</v>
      </c>
      <c r="E13" s="2070">
        <v>56131</v>
      </c>
      <c r="F13" s="2070"/>
      <c r="G13" s="2070">
        <v>59783</v>
      </c>
      <c r="H13" s="2070">
        <f>G13</f>
        <v>59783</v>
      </c>
      <c r="I13" s="1042"/>
      <c r="J13" s="2036"/>
      <c r="K13" s="2046"/>
      <c r="L13" s="2022"/>
      <c r="M13" s="2022"/>
      <c r="N13" s="2023"/>
      <c r="O13" s="2024"/>
      <c r="P13" s="2023"/>
      <c r="Q13" s="2023"/>
      <c r="R13" s="2023"/>
    </row>
    <row r="14" spans="1:19" ht="18" customHeight="1">
      <c r="A14" s="2067"/>
      <c r="B14" s="2068"/>
      <c r="C14" s="2069" t="s">
        <v>1793</v>
      </c>
      <c r="D14" s="1045">
        <v>70</v>
      </c>
      <c r="E14" s="1045">
        <v>40</v>
      </c>
      <c r="F14" s="1045"/>
      <c r="G14" s="1045">
        <v>50</v>
      </c>
      <c r="H14" s="1045">
        <v>50</v>
      </c>
      <c r="I14" s="1045"/>
      <c r="J14" s="2036"/>
      <c r="K14" s="2071"/>
      <c r="L14" s="2022"/>
      <c r="M14" s="2022"/>
      <c r="N14" s="2023"/>
      <c r="O14" s="2024"/>
      <c r="P14" s="2023"/>
      <c r="Q14" s="2023"/>
      <c r="R14" s="2023"/>
    </row>
    <row r="15" spans="1:19" ht="18" customHeight="1">
      <c r="A15" s="2055"/>
      <c r="B15" s="2072"/>
      <c r="C15" s="2069" t="s">
        <v>1794</v>
      </c>
      <c r="D15" s="1044">
        <f>IF(B12="出让",IF(D13="","",ROUNDDOWN(MIN((D13-$D$3)/365,D14),2)),D14)</f>
        <v>63.52</v>
      </c>
      <c r="E15" s="1044">
        <f>IF(B12="出让",IF(E13="","",ROUNDDOWN(MIN((E13-$D$3)/365,E14),2)),E14)</f>
        <v>33.5</v>
      </c>
      <c r="F15" s="1044" t="str">
        <f>IF(B12="出让",IF(F13="","",ROUNDDOWN(MIN((F13-$D$3)/365,F14),2)),F14)</f>
        <v/>
      </c>
      <c r="G15" s="1044">
        <f>IF(B12="出让",IF(G13="","",ROUNDDOWN(MIN((G13-$D$3)/365,G14),2)),G14)</f>
        <v>43.5</v>
      </c>
      <c r="H15" s="1044">
        <f>IF(B12="出让",IF(H13="","",ROUNDDOWN(MIN((H13-$D$3)/365,H14),2)),H14)</f>
        <v>43.5</v>
      </c>
      <c r="I15" s="1044" t="str">
        <f>IF(B12="出让",IF(I13="","",ROUNDDOWN(MIN((I13-$D$3)/365,I14),2)),I14)</f>
        <v/>
      </c>
      <c r="J15" s="2036"/>
      <c r="K15" s="2073"/>
      <c r="L15" s="2074"/>
      <c r="M15" s="2074"/>
      <c r="N15" s="2075"/>
      <c r="O15" s="2074"/>
      <c r="P15" s="2075"/>
      <c r="Q15" s="2023"/>
      <c r="R15" s="2023"/>
    </row>
    <row r="16" spans="1:19" ht="30.75" customHeight="1">
      <c r="A16" s="2058" t="s">
        <v>1795</v>
      </c>
      <c r="B16" s="3103"/>
      <c r="C16" s="3104"/>
      <c r="D16" s="3105"/>
      <c r="E16" s="2076" t="s">
        <v>1796</v>
      </c>
      <c r="F16" s="3106"/>
      <c r="G16" s="3107"/>
      <c r="H16" s="3107"/>
      <c r="I16" s="3108"/>
      <c r="J16" s="2023"/>
      <c r="K16" s="2073"/>
      <c r="L16" s="2074"/>
      <c r="M16" s="2074"/>
      <c r="N16" s="2075"/>
      <c r="O16" s="2074"/>
      <c r="P16" s="2075"/>
      <c r="Q16" s="2023"/>
      <c r="R16" s="2023"/>
    </row>
    <row r="17" spans="1:22" ht="18" customHeight="1">
      <c r="A17" s="2077" t="s">
        <v>1797</v>
      </c>
      <c r="B17" s="2029" t="s">
        <v>1798</v>
      </c>
      <c r="C17" s="1049">
        <f>'数据-汇总表'!E3</f>
        <v>212264.80000000002</v>
      </c>
      <c r="D17" s="2078" t="s">
        <v>1799</v>
      </c>
      <c r="E17" s="3109" t="s">
        <v>1800</v>
      </c>
      <c r="F17" s="3110"/>
      <c r="G17" s="3110"/>
      <c r="H17" s="3110"/>
      <c r="I17" s="3111"/>
      <c r="J17" s="2023"/>
      <c r="K17" s="2079"/>
      <c r="L17" s="2074"/>
      <c r="M17" s="2074"/>
      <c r="N17" s="2075"/>
      <c r="O17" s="2074"/>
      <c r="P17" s="2075"/>
      <c r="Q17" s="2023"/>
      <c r="R17" s="2023"/>
      <c r="S17" s="2023"/>
      <c r="T17" s="2023"/>
      <c r="U17" s="2023"/>
      <c r="V17" s="2023"/>
    </row>
    <row r="18" spans="1:22" ht="36" customHeight="1" thickBot="1">
      <c r="A18" s="2080" t="s">
        <v>1801</v>
      </c>
      <c r="B18" s="2032" t="s">
        <v>1802</v>
      </c>
      <c r="C18" s="1439">
        <f>'数据-汇总表'!D3</f>
        <v>104283.06</v>
      </c>
      <c r="D18" s="2081" t="s">
        <v>1799</v>
      </c>
      <c r="E18" s="3112" t="s">
        <v>1803</v>
      </c>
      <c r="F18" s="3113"/>
      <c r="G18" s="3113"/>
      <c r="H18" s="3113"/>
      <c r="I18" s="3114"/>
      <c r="J18" s="2023"/>
      <c r="K18" s="2079"/>
      <c r="L18" s="2074"/>
      <c r="M18" s="2074"/>
      <c r="N18" s="2075"/>
      <c r="O18" s="2074"/>
      <c r="P18" s="2075"/>
      <c r="Q18" s="2023"/>
      <c r="R18" s="2023"/>
      <c r="S18" s="2023"/>
      <c r="T18" s="2023"/>
      <c r="U18" s="2023"/>
      <c r="V18" s="2023"/>
    </row>
    <row r="19" spans="1:22" ht="37.5" customHeight="1" thickTop="1" thickBot="1">
      <c r="A19" s="368" t="s">
        <v>1804</v>
      </c>
      <c r="B19" s="347" t="s">
        <v>1805</v>
      </c>
      <c r="C19" s="2082" t="s">
        <v>3056</v>
      </c>
      <c r="D19" s="2083" t="s">
        <v>1806</v>
      </c>
      <c r="E19" s="2084" t="s">
        <v>3056</v>
      </c>
      <c r="F19" s="2085" t="str">
        <f>IF(AND(C19="是",E19="否"),"是否提供他项权证或相关说明","")</f>
        <v/>
      </c>
      <c r="G19" s="2086" t="s">
        <v>70</v>
      </c>
      <c r="H19" s="2036"/>
      <c r="I19" s="2036"/>
      <c r="J19" s="2036"/>
      <c r="K19" s="2046"/>
      <c r="L19" s="2022"/>
      <c r="M19" s="2022"/>
      <c r="N19" s="2075"/>
      <c r="O19" s="2074"/>
      <c r="P19" s="2075"/>
      <c r="Q19" s="2023"/>
      <c r="R19" s="2023"/>
      <c r="S19" s="2023"/>
      <c r="T19" s="2023"/>
      <c r="U19" s="2023"/>
      <c r="V19" s="2023"/>
    </row>
    <row r="20" spans="1:22" ht="18" customHeight="1">
      <c r="A20" s="2087" t="s">
        <v>1807</v>
      </c>
      <c r="B20" s="3099" t="s">
        <v>1808</v>
      </c>
      <c r="C20" s="3100"/>
      <c r="D20" s="3101" t="s">
        <v>1809</v>
      </c>
      <c r="E20" s="3102"/>
      <c r="F20" s="2088" t="s">
        <v>1810</v>
      </c>
      <c r="G20" s="2036"/>
      <c r="H20" s="2036"/>
      <c r="I20" s="2036"/>
      <c r="J20" s="2036"/>
      <c r="K20" s="3098" t="s">
        <v>1811</v>
      </c>
      <c r="L20" s="7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2"/>
      <c r="N20" s="2075"/>
      <c r="O20" s="2074"/>
      <c r="P20" s="2075"/>
      <c r="Q20" s="2023"/>
      <c r="R20" s="2023"/>
      <c r="S20" s="2023"/>
      <c r="T20" s="2023"/>
      <c r="U20" s="2023"/>
      <c r="V20" s="2023"/>
    </row>
    <row r="21" spans="1:22" ht="24.75" customHeight="1">
      <c r="A21" s="2087"/>
      <c r="B21" s="2089" t="s">
        <v>1812</v>
      </c>
      <c r="C21" s="2090" t="s">
        <v>3057</v>
      </c>
      <c r="D21" s="2091" t="s">
        <v>1814</v>
      </c>
      <c r="E21" s="2092" t="s">
        <v>1813</v>
      </c>
      <c r="F21" s="2093"/>
      <c r="G21" s="2036"/>
      <c r="H21" s="2036"/>
      <c r="I21" s="2036"/>
      <c r="J21" s="2036"/>
      <c r="K21" s="3098"/>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5"/>
      <c r="O21" s="2074"/>
      <c r="P21" s="2075"/>
      <c r="Q21" s="2023"/>
      <c r="R21" s="2023"/>
      <c r="S21" s="2023"/>
      <c r="T21" s="2023"/>
      <c r="U21" s="2023"/>
      <c r="V21" s="2023"/>
    </row>
    <row r="22" spans="1:22" ht="24.75" customHeight="1" thickBot="1">
      <c r="A22" s="2087"/>
      <c r="B22" s="2094" t="s">
        <v>1815</v>
      </c>
      <c r="C22" s="2090" t="s">
        <v>1816</v>
      </c>
      <c r="D22" s="2020"/>
      <c r="E22" s="2020"/>
      <c r="F22" s="2095"/>
      <c r="G22" s="2036"/>
      <c r="H22" s="2036"/>
      <c r="I22" s="2036"/>
      <c r="J22" s="2036"/>
      <c r="K22" s="3098"/>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1817</v>
      </c>
      <c r="B23" s="178" t="s">
        <v>1818</v>
      </c>
      <c r="C23" s="2097"/>
      <c r="D23" s="2098" t="s">
        <v>1818</v>
      </c>
      <c r="E23" s="2099"/>
      <c r="F23" s="2095"/>
      <c r="G23" s="2036"/>
      <c r="H23" s="2036"/>
      <c r="I23" s="2036"/>
      <c r="J23" s="2036"/>
      <c r="K23" s="2100"/>
      <c r="L23" s="743"/>
      <c r="M23" s="2022"/>
      <c r="N23" s="2075"/>
      <c r="O23" s="2074"/>
      <c r="P23" s="2075"/>
      <c r="Q23" s="2023"/>
      <c r="R23" s="2023"/>
      <c r="S23" s="2023"/>
      <c r="T23" s="2023"/>
      <c r="U23" s="2023"/>
      <c r="V23" s="2023"/>
    </row>
    <row r="24" spans="1:22" ht="18" customHeight="1">
      <c r="A24" s="2101"/>
      <c r="B24" s="178" t="s">
        <v>1819</v>
      </c>
      <c r="C24" s="2102"/>
      <c r="D24" s="2096" t="s">
        <v>1819</v>
      </c>
      <c r="E24" s="2103"/>
      <c r="F24" s="2095"/>
      <c r="G24" s="2036"/>
      <c r="H24" s="2036"/>
      <c r="I24" s="2036"/>
      <c r="J24" s="2036"/>
      <c r="K24" s="2100"/>
      <c r="L24" s="743"/>
      <c r="M24" s="2022"/>
      <c r="N24" s="2075"/>
      <c r="O24" s="2074"/>
      <c r="P24" s="2075"/>
      <c r="Q24" s="2023"/>
      <c r="R24" s="2023"/>
      <c r="S24" s="2023"/>
      <c r="T24" s="2023"/>
      <c r="U24" s="2023"/>
      <c r="V24" s="2023"/>
    </row>
    <row r="25" spans="1:22" ht="18" customHeight="1">
      <c r="A25" s="2101"/>
      <c r="B25" s="178" t="s">
        <v>1820</v>
      </c>
      <c r="C25" s="2102"/>
      <c r="D25" s="2096" t="s">
        <v>1820</v>
      </c>
      <c r="E25" s="2103"/>
      <c r="F25" s="2095"/>
      <c r="G25" s="2036"/>
      <c r="H25" s="2036"/>
      <c r="I25" s="2036"/>
      <c r="J25" s="2036"/>
      <c r="K25" s="2046"/>
      <c r="L25" s="2022"/>
      <c r="M25" s="2022"/>
      <c r="N25" s="2075"/>
      <c r="O25" s="2074"/>
      <c r="P25" s="2075"/>
      <c r="Q25" s="2023"/>
      <c r="R25" s="2023"/>
      <c r="S25" s="2023"/>
      <c r="T25" s="2023"/>
      <c r="U25" s="2023"/>
      <c r="V25" s="2023"/>
    </row>
    <row r="26" spans="1:22" ht="18" customHeight="1" thickBot="1">
      <c r="A26" s="2104"/>
      <c r="B26" s="2105" t="s">
        <v>1821</v>
      </c>
      <c r="C26" s="2106"/>
      <c r="D26" s="2107" t="s">
        <v>1822</v>
      </c>
      <c r="E26" s="2108"/>
      <c r="F26" s="2109"/>
      <c r="G26" s="2054"/>
      <c r="H26" s="2054"/>
      <c r="I26" s="2054"/>
      <c r="J26" s="2036"/>
      <c r="K26" s="2046"/>
      <c r="L26" s="2022"/>
      <c r="M26" s="2022"/>
      <c r="N26" s="2075"/>
      <c r="O26" s="2074"/>
      <c r="P26" s="2075"/>
      <c r="Q26" s="2023"/>
      <c r="R26" s="2023"/>
      <c r="S26" s="2023"/>
      <c r="T26" s="2023"/>
      <c r="U26" s="2023"/>
      <c r="V26" s="2023"/>
    </row>
    <row r="27" spans="1:22" ht="18" customHeight="1" thickTop="1">
      <c r="A27" s="3086" t="s">
        <v>1823</v>
      </c>
      <c r="B27" s="2055" t="s">
        <v>1824</v>
      </c>
      <c r="C27" s="2110" t="s">
        <v>3058</v>
      </c>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086"/>
      <c r="B28" s="2029" t="s">
        <v>1825</v>
      </c>
      <c r="C28" s="2112" t="s">
        <v>3059</v>
      </c>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086"/>
      <c r="B29" s="2029" t="s">
        <v>1826</v>
      </c>
      <c r="C29" s="2115" t="s">
        <v>3060</v>
      </c>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087"/>
      <c r="B30" s="2029" t="s">
        <v>1827</v>
      </c>
      <c r="C30" s="3088"/>
      <c r="D30" s="3089"/>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090" t="s">
        <v>1828</v>
      </c>
      <c r="B31" s="2117" t="s">
        <v>3061</v>
      </c>
      <c r="C31" s="2118" t="str">
        <f>IF(B31="现房","成新及维护状况正常否",IF(B31="在建","工程状态是否正常",IF(B31="土地","是否闲置","-")))</f>
        <v>工程状态是否正常</v>
      </c>
      <c r="D31" s="2119"/>
      <c r="E31" s="2120"/>
      <c r="F31" s="2036"/>
      <c r="G31" s="2036"/>
      <c r="H31" s="2036"/>
      <c r="I31" s="2036"/>
      <c r="J31" s="2036"/>
      <c r="K31" s="2045"/>
      <c r="L31" s="2022"/>
      <c r="M31" s="2022"/>
      <c r="N31" s="2023"/>
      <c r="O31" s="2024"/>
      <c r="P31" s="2023"/>
      <c r="Q31" s="2023"/>
      <c r="R31" s="2023"/>
      <c r="S31" s="2023"/>
      <c r="T31" s="2023"/>
      <c r="U31" s="2023"/>
      <c r="V31" s="2023"/>
    </row>
    <row r="32" spans="1:22" ht="18" customHeight="1">
      <c r="A32" s="3091"/>
      <c r="B32" s="2117"/>
      <c r="C32" s="2118" t="str">
        <f>IF(B32="现房","成新及维护状况是否正常",IF(B32="在建","工程状态是否正常",IF(B32="土地","是否闲置","-")))</f>
        <v>-</v>
      </c>
      <c r="D32" s="2119"/>
      <c r="E32" s="2120"/>
      <c r="F32" s="2036"/>
      <c r="G32" s="2036"/>
      <c r="H32" s="2036"/>
      <c r="I32" s="2036"/>
      <c r="J32" s="2036"/>
      <c r="K32" s="2046"/>
      <c r="L32" s="2022"/>
      <c r="M32" s="2022"/>
      <c r="N32" s="2023"/>
      <c r="O32" s="2024"/>
      <c r="P32" s="2023"/>
      <c r="Q32" s="2023"/>
      <c r="R32" s="2023"/>
      <c r="S32" s="2023"/>
      <c r="T32" s="2023"/>
      <c r="U32" s="2023"/>
      <c r="V32" s="2023"/>
    </row>
    <row r="33" spans="1:22" ht="18" customHeight="1">
      <c r="A33" s="3091"/>
      <c r="B33" s="2121"/>
      <c r="C33" s="2061" t="str">
        <f>IF(B33="现房","成新及维护状况是否正常",IF(B33="在建","工程状态是否正常",IF(B33="土地","是否闲置","-")))</f>
        <v>-</v>
      </c>
      <c r="D33" s="2122"/>
      <c r="E33" s="2123"/>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1829</v>
      </c>
      <c r="B34" s="2124" t="s">
        <v>3062</v>
      </c>
      <c r="C34" s="2124" t="s">
        <v>3063</v>
      </c>
      <c r="D34" s="2124" t="s">
        <v>3064</v>
      </c>
      <c r="E34" s="2124" t="s">
        <v>3065</v>
      </c>
      <c r="F34" s="2124" t="s">
        <v>3066</v>
      </c>
      <c r="G34" s="2124" t="s">
        <v>3067</v>
      </c>
      <c r="H34" s="2124" t="s">
        <v>3068</v>
      </c>
      <c r="I34" s="2036"/>
      <c r="J34" s="2036"/>
      <c r="K34" s="1790">
        <f>COUNTIF(B34:H34,"——")</f>
        <v>0</v>
      </c>
      <c r="L34" s="2065" t="s">
        <v>1830</v>
      </c>
      <c r="M34" s="2065" t="s">
        <v>1831</v>
      </c>
      <c r="N34" s="2065" t="s">
        <v>1832</v>
      </c>
      <c r="O34" s="2065" t="s">
        <v>1833</v>
      </c>
      <c r="P34" s="2065" t="s">
        <v>1834</v>
      </c>
      <c r="Q34" s="2065" t="s">
        <v>1835</v>
      </c>
      <c r="R34" s="2065" t="s">
        <v>1836</v>
      </c>
      <c r="S34" s="3085" t="s">
        <v>1837</v>
      </c>
      <c r="T34" s="2125" t="str">
        <f>NUMBERSTRING(7-K34,1)&amp;"通"</f>
        <v>七通</v>
      </c>
      <c r="U34" s="2023"/>
      <c r="V34" s="2023"/>
    </row>
    <row r="35" spans="1:22" ht="18" customHeight="1">
      <c r="A35" s="2126"/>
      <c r="B35" s="3092" t="s">
        <v>1838</v>
      </c>
      <c r="C35" s="3092"/>
      <c r="D35" s="3092"/>
      <c r="E35" s="3092"/>
      <c r="F35" s="2127">
        <f>C10</f>
        <v>0</v>
      </c>
      <c r="G35" s="2036"/>
      <c r="H35" s="2036"/>
      <c r="I35" s="2036"/>
      <c r="J35" s="2036"/>
      <c r="K35" s="2065"/>
      <c r="L35" s="2065"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通路、通电、通讯、通上水、通下水、通热</v>
      </c>
      <c r="R35" s="46" t="str">
        <f>B34&amp;"、"&amp;C34&amp;"、"&amp;D34&amp;"、"&amp;E34&amp;"、"&amp;F34&amp;"、"&amp;G34&amp;"、"&amp;H34</f>
        <v>通路、通电、通讯、通上水、通下水、通热、燃气</v>
      </c>
      <c r="S35" s="3085"/>
      <c r="T35" s="46" t="str">
        <f>IF(T34="一通",L35,IF(T34="二通",M35,IF(T34="三通",N35,IF(T34="四通",O35,IF(T34="五通",P35,IF(T34="六通",Q35,R35))))))</f>
        <v>通路、通电、通讯、通上水、通下水、通热、燃气</v>
      </c>
      <c r="U35" s="2023"/>
      <c r="V35" s="2023"/>
    </row>
    <row r="36" spans="1:22" ht="18" customHeight="1">
      <c r="A36" s="2128"/>
      <c r="B36" s="2127" t="s">
        <v>1839</v>
      </c>
      <c r="C36" s="2127" t="s">
        <v>1840</v>
      </c>
      <c r="D36" s="2127" t="s">
        <v>1841</v>
      </c>
      <c r="E36" s="2127" t="s">
        <v>1842</v>
      </c>
      <c r="F36" s="2129"/>
      <c r="G36" s="2036"/>
      <c r="H36" s="2036"/>
      <c r="I36" s="2036"/>
      <c r="J36" s="2036"/>
      <c r="K36" s="2046"/>
      <c r="L36" s="2022"/>
      <c r="M36" s="2022"/>
      <c r="N36" s="2023"/>
      <c r="O36" s="2024"/>
      <c r="P36" s="2023"/>
      <c r="Q36" s="2023"/>
      <c r="R36" s="2023"/>
      <c r="S36" s="2023"/>
      <c r="T36" s="2023"/>
      <c r="U36" s="2023"/>
      <c r="V36" s="2023"/>
    </row>
    <row r="37" spans="1:22" ht="18" customHeight="1">
      <c r="A37" s="2130" t="s">
        <v>1843</v>
      </c>
      <c r="B37" s="2131"/>
      <c r="C37" s="2131" t="s">
        <v>534</v>
      </c>
      <c r="D37" s="2131" t="s">
        <v>534</v>
      </c>
      <c r="E37" s="2131"/>
      <c r="F37" s="2129"/>
      <c r="G37" s="2036"/>
      <c r="H37" s="2036"/>
      <c r="I37" s="2036"/>
      <c r="J37" s="2036"/>
      <c r="K37" s="2046"/>
      <c r="L37" s="2022"/>
      <c r="M37" s="2022"/>
      <c r="N37" s="2023"/>
      <c r="O37" s="2024"/>
      <c r="P37" s="2023"/>
      <c r="Q37" s="2023"/>
      <c r="R37" s="2023"/>
      <c r="S37" s="2023"/>
      <c r="T37" s="2023"/>
      <c r="U37" s="2023"/>
      <c r="V37" s="2023"/>
    </row>
    <row r="38" spans="1:22" ht="18" customHeight="1" thickBot="1">
      <c r="A38" s="2132" t="s">
        <v>1844</v>
      </c>
      <c r="B38" s="2133"/>
      <c r="C38" s="2133" t="s">
        <v>3069</v>
      </c>
      <c r="D38" s="2133" t="s">
        <v>3069</v>
      </c>
      <c r="E38" s="2133"/>
      <c r="F38" s="2134"/>
      <c r="G38" s="2054"/>
      <c r="H38" s="2054"/>
      <c r="I38" s="2054"/>
      <c r="J38" s="2036"/>
      <c r="K38" s="2046"/>
      <c r="L38" s="2022"/>
      <c r="M38" s="2022"/>
      <c r="N38" s="2023"/>
      <c r="O38" s="2024"/>
      <c r="P38" s="2023"/>
      <c r="Q38" s="2023"/>
      <c r="R38" s="2023"/>
      <c r="S38" s="2023"/>
      <c r="T38" s="2023"/>
      <c r="U38" s="2023"/>
      <c r="V38" s="2023"/>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1"/>
      <c r="L40" s="2074"/>
      <c r="M40" s="2074"/>
      <c r="N40" s="2075"/>
      <c r="O40" s="2074"/>
      <c r="P40" s="2023"/>
      <c r="Q40" s="2023"/>
      <c r="R40" s="2023"/>
      <c r="S40" s="2023"/>
      <c r="T40" s="2023"/>
      <c r="U40" s="2023"/>
      <c r="V40" s="2023"/>
    </row>
    <row r="41" spans="1:22" ht="18" customHeight="1">
      <c r="A41" s="8" t="s">
        <v>1846</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1847</v>
      </c>
      <c r="B42" s="1790" t="s">
        <v>1848</v>
      </c>
      <c r="C42" s="1790" t="s">
        <v>1849</v>
      </c>
      <c r="D42" s="1790" t="s">
        <v>1850</v>
      </c>
      <c r="E42" s="1790" t="s">
        <v>1851</v>
      </c>
      <c r="F42" s="1790" t="s">
        <v>1852</v>
      </c>
      <c r="G42" s="1790" t="s">
        <v>1853</v>
      </c>
      <c r="H42" s="1790" t="s">
        <v>1854</v>
      </c>
      <c r="I42" s="1790" t="s">
        <v>1855</v>
      </c>
      <c r="J42" s="2143" t="s">
        <v>1856</v>
      </c>
      <c r="K42" s="2066" t="s">
        <v>1857</v>
      </c>
      <c r="L42" s="2066" t="s">
        <v>1858</v>
      </c>
      <c r="M42" s="2066" t="s">
        <v>1859</v>
      </c>
      <c r="N42" s="1790" t="s">
        <v>1860</v>
      </c>
      <c r="O42" s="1790" t="s">
        <v>1861</v>
      </c>
      <c r="P42" s="1790" t="s">
        <v>1862</v>
      </c>
      <c r="Q42" s="2065" t="s">
        <v>1863</v>
      </c>
      <c r="R42" s="2065" t="s">
        <v>1864</v>
      </c>
      <c r="S42" s="2023"/>
      <c r="T42" s="2023"/>
      <c r="U42" s="2023"/>
      <c r="V42" s="2023"/>
    </row>
    <row r="43" spans="1:22" s="2148" customFormat="1" ht="18" customHeight="1">
      <c r="A43" s="2144"/>
      <c r="B43" s="1267"/>
      <c r="C43" s="1267"/>
      <c r="D43" s="1267"/>
      <c r="E43" s="1267"/>
      <c r="F43" s="1267"/>
      <c r="G43" s="1267"/>
      <c r="H43" s="9"/>
      <c r="I43" s="9"/>
      <c r="J43" s="2145"/>
      <c r="K43" s="2146"/>
      <c r="L43" s="2146"/>
      <c r="M43" s="9"/>
      <c r="N43" s="1267"/>
      <c r="O43" s="9"/>
      <c r="P43" s="1267"/>
      <c r="Q43" s="1267"/>
      <c r="R43" s="1267"/>
      <c r="S43" s="2147"/>
      <c r="T43" s="2147"/>
      <c r="U43" s="2147"/>
      <c r="V43" s="2147"/>
    </row>
    <row r="44" spans="1:22" s="2148" customFormat="1" ht="18" customHeight="1">
      <c r="A44" s="2144"/>
      <c r="B44" s="2144"/>
      <c r="C44" s="1267"/>
      <c r="D44" s="1267"/>
      <c r="E44" s="1267"/>
      <c r="F44" s="1267"/>
      <c r="G44" s="1267"/>
      <c r="H44" s="9"/>
      <c r="I44" s="9"/>
      <c r="J44" s="2145"/>
      <c r="K44" s="2146"/>
      <c r="L44" s="2146"/>
      <c r="M44" s="9"/>
      <c r="N44" s="1267"/>
      <c r="O44" s="9"/>
      <c r="P44" s="1267"/>
      <c r="Q44" s="1267"/>
      <c r="R44" s="1267"/>
      <c r="S44" s="2147"/>
      <c r="T44" s="2147"/>
      <c r="U44" s="2147"/>
      <c r="V44" s="2147"/>
    </row>
    <row r="45" spans="1:22" s="2148" customFormat="1" ht="18" customHeight="1">
      <c r="A45" s="2144"/>
      <c r="B45" s="2144"/>
      <c r="C45" s="1267"/>
      <c r="D45" s="1267"/>
      <c r="E45" s="1267"/>
      <c r="F45" s="1267"/>
      <c r="G45" s="1267"/>
      <c r="H45" s="9"/>
      <c r="I45" s="9"/>
      <c r="J45" s="2145"/>
      <c r="K45" s="2146"/>
      <c r="L45" s="2146"/>
      <c r="M45" s="9"/>
      <c r="N45" s="1267"/>
      <c r="O45" s="9"/>
      <c r="P45" s="1267"/>
      <c r="Q45" s="1267"/>
      <c r="R45" s="1267"/>
      <c r="S45" s="2147"/>
      <c r="T45" s="2147"/>
      <c r="U45" s="2147"/>
      <c r="V45" s="2147"/>
    </row>
    <row r="46" spans="1:22" s="2148" customFormat="1" ht="18" customHeight="1">
      <c r="A46" s="2144"/>
      <c r="B46" s="2144"/>
      <c r="C46" s="1267"/>
      <c r="D46" s="1267"/>
      <c r="E46" s="1267"/>
      <c r="F46" s="1267"/>
      <c r="G46" s="1267"/>
      <c r="H46" s="9"/>
      <c r="I46" s="9"/>
      <c r="J46" s="2145"/>
      <c r="K46" s="2146"/>
      <c r="L46" s="2146"/>
      <c r="M46" s="9"/>
      <c r="N46" s="1267"/>
      <c r="O46" s="9"/>
      <c r="P46" s="1267"/>
      <c r="Q46" s="1267"/>
      <c r="R46" s="1267"/>
      <c r="S46" s="2147"/>
      <c r="T46" s="2147"/>
      <c r="U46" s="2147"/>
      <c r="V46" s="2147"/>
    </row>
    <row r="47" spans="1:22" s="2148" customFormat="1" ht="18" customHeight="1">
      <c r="A47" s="2144"/>
      <c r="B47" s="2144"/>
      <c r="C47" s="1267"/>
      <c r="D47" s="1267"/>
      <c r="E47" s="1267"/>
      <c r="F47" s="1267"/>
      <c r="G47" s="1267"/>
      <c r="H47" s="9"/>
      <c r="I47" s="9"/>
      <c r="J47" s="2145"/>
      <c r="K47" s="2146"/>
      <c r="L47" s="2146"/>
      <c r="M47" s="9"/>
      <c r="N47" s="1267"/>
      <c r="O47" s="9"/>
      <c r="P47" s="1267"/>
      <c r="Q47" s="1267"/>
      <c r="R47" s="1267"/>
      <c r="S47" s="2147"/>
      <c r="T47" s="2147"/>
      <c r="U47" s="2147"/>
      <c r="V47" s="2147"/>
    </row>
    <row r="48" spans="1:22" s="2148" customFormat="1" ht="18" customHeight="1">
      <c r="A48" s="2144"/>
      <c r="B48" s="2144"/>
      <c r="C48" s="1267"/>
      <c r="D48" s="1267"/>
      <c r="E48" s="1267"/>
      <c r="F48" s="1267"/>
      <c r="G48" s="1267"/>
      <c r="H48" s="9"/>
      <c r="I48" s="9"/>
      <c r="J48" s="2145"/>
      <c r="K48" s="2146"/>
      <c r="L48" s="2146"/>
      <c r="M48" s="9"/>
      <c r="N48" s="1267"/>
      <c r="O48" s="9"/>
      <c r="P48" s="1267"/>
      <c r="Q48" s="1267"/>
      <c r="R48" s="1267"/>
      <c r="S48" s="2147"/>
      <c r="T48" s="2147"/>
      <c r="U48" s="2147"/>
      <c r="V48" s="2147"/>
    </row>
    <row r="49" spans="1:22" s="2148" customFormat="1" ht="18" customHeight="1">
      <c r="A49" s="2144"/>
      <c r="B49" s="2144"/>
      <c r="C49" s="1267"/>
      <c r="D49" s="1267"/>
      <c r="E49" s="1267"/>
      <c r="F49" s="1267"/>
      <c r="G49" s="1267"/>
      <c r="H49" s="9"/>
      <c r="I49" s="9"/>
      <c r="J49" s="2145"/>
      <c r="K49" s="2146"/>
      <c r="L49" s="2146"/>
      <c r="M49" s="9"/>
      <c r="N49" s="1267"/>
      <c r="O49" s="9"/>
      <c r="P49" s="1267"/>
      <c r="Q49" s="1267"/>
      <c r="R49" s="1267"/>
      <c r="S49" s="2147"/>
      <c r="T49" s="2147"/>
      <c r="U49" s="2147"/>
      <c r="V49" s="2147"/>
    </row>
    <row r="50" spans="1:22" s="2148" customFormat="1" ht="18" customHeight="1">
      <c r="A50" s="2144"/>
      <c r="B50" s="2144"/>
      <c r="C50" s="1267"/>
      <c r="D50" s="1267"/>
      <c r="E50" s="1267"/>
      <c r="F50" s="1267"/>
      <c r="G50" s="1267"/>
      <c r="H50" s="9"/>
      <c r="I50" s="9"/>
      <c r="J50" s="2145"/>
      <c r="K50" s="2146"/>
      <c r="L50" s="2146"/>
      <c r="M50" s="9"/>
      <c r="N50" s="1267"/>
      <c r="O50" s="9"/>
      <c r="P50" s="1267"/>
      <c r="Q50" s="1267"/>
      <c r="R50" s="1267"/>
      <c r="S50" s="2147"/>
      <c r="T50" s="2147"/>
      <c r="U50" s="2147"/>
      <c r="V50" s="2147"/>
    </row>
    <row r="51" spans="1:22" s="2148" customFormat="1" ht="18" customHeight="1">
      <c r="A51" s="2144"/>
      <c r="B51" s="2144"/>
      <c r="C51" s="1267"/>
      <c r="D51" s="1267"/>
      <c r="E51" s="1267"/>
      <c r="F51" s="1267"/>
      <c r="G51" s="1267"/>
      <c r="H51" s="9"/>
      <c r="I51" s="9"/>
      <c r="J51" s="2145"/>
      <c r="K51" s="2146"/>
      <c r="L51" s="2146"/>
      <c r="M51" s="9"/>
      <c r="N51" s="1267"/>
      <c r="O51" s="9"/>
      <c r="P51" s="1267"/>
      <c r="Q51" s="1267"/>
      <c r="R51" s="1267"/>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70" zoomScaleNormal="100" zoomScaleSheetLayoutView="70" workbookViewId="0">
      <pane xSplit="4" ySplit="12" topLeftCell="E13" activePane="bottomRight" state="frozen"/>
      <selection activeCell="C50" sqref="C50"/>
      <selection pane="topRight" activeCell="C50" sqref="C50"/>
      <selection pane="bottomLeft" activeCell="C50" sqref="C50"/>
      <selection pane="bottomRight" activeCell="A15" sqref="A15"/>
    </sheetView>
  </sheetViews>
  <sheetFormatPr defaultColWidth="8.90625" defaultRowHeight="14"/>
  <cols>
    <col min="1" max="1" width="10.6328125" style="2150" customWidth="1"/>
    <col min="2" max="2" width="11" style="2150" customWidth="1"/>
    <col min="3" max="3" width="10.36328125" style="2150" customWidth="1"/>
    <col min="4" max="4" width="9.08984375" style="2150" customWidth="1"/>
    <col min="5" max="6" width="10" style="2208" customWidth="1"/>
    <col min="7" max="8" width="10" style="2150" customWidth="1"/>
    <col min="9" max="9" width="10.6328125" style="2150" customWidth="1"/>
    <col min="10" max="10" width="9.453125" style="2150" customWidth="1"/>
    <col min="11" max="11" width="11" style="2150" customWidth="1"/>
    <col min="12" max="14" width="9.453125" style="2150" customWidth="1"/>
    <col min="15" max="16" width="9.90625" style="2150" customWidth="1"/>
    <col min="17" max="17" width="9.36328125" style="2150" hidden="1" customWidth="1"/>
    <col min="18" max="18" width="9.08984375" style="2150" hidden="1" customWidth="1"/>
    <col min="19" max="28" width="10.90625" style="2150" hidden="1" customWidth="1"/>
    <col min="29" max="29" width="11.08984375" style="2150" bestFit="1" customWidth="1"/>
    <col min="30" max="30" width="10" style="2150" bestFit="1" customWidth="1"/>
    <col min="31" max="31" width="9.90625" style="2150" customWidth="1"/>
    <col min="32" max="46" width="9.453125" style="2150" customWidth="1"/>
    <col min="47" max="47" width="18.08984375" style="2150" customWidth="1"/>
    <col min="48" max="50" width="9.90625" style="2150" customWidth="1"/>
    <col min="51" max="51" width="10.6328125" style="2150" bestFit="1" customWidth="1"/>
    <col min="52" max="53" width="10.90625" style="2150" bestFit="1" customWidth="1"/>
    <col min="54" max="55" width="10.6328125" style="2150" bestFit="1" customWidth="1"/>
    <col min="56" max="56" width="9.6328125" style="2150" bestFit="1" customWidth="1"/>
    <col min="57" max="57" width="10.90625" style="2150" bestFit="1" customWidth="1"/>
    <col min="58" max="63" width="9.26953125" style="2150" bestFit="1" customWidth="1"/>
    <col min="64" max="64" width="9.6328125" style="2150" bestFit="1" customWidth="1"/>
    <col min="65" max="65" width="9.26953125" style="2150" bestFit="1" customWidth="1"/>
    <col min="66" max="66" width="9.6328125" style="2150" bestFit="1" customWidth="1"/>
    <col min="67" max="69" width="9.26953125" style="2150" bestFit="1" customWidth="1"/>
    <col min="70" max="70" width="9.6328125" style="2150" bestFit="1" customWidth="1"/>
    <col min="71" max="71" width="9" style="2150" customWidth="1"/>
    <col min="72" max="72" width="9.26953125" style="2150" bestFit="1" customWidth="1"/>
    <col min="73" max="16384" width="8.90625" style="2150"/>
  </cols>
  <sheetData>
    <row r="1" spans="1:72" ht="21">
      <c r="A1" s="2153"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75" customHeight="1">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4" t="s">
        <v>1870</v>
      </c>
      <c r="AZ2" s="1265"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5">
      <c r="A3" s="13">
        <v>121490.07</v>
      </c>
      <c r="B3" s="14">
        <f>IF(C3="否",G5-AT5,G5)</f>
        <v>247289.11000000004</v>
      </c>
      <c r="C3" s="2159" t="s">
        <v>3056</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6"/>
      <c r="AZ3" s="1267"/>
      <c r="BA3" s="1268"/>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
      <c r="A5" s="15" t="s">
        <v>1873</v>
      </c>
      <c r="B5" s="1798"/>
      <c r="C5" s="1798"/>
      <c r="D5" s="1801"/>
      <c r="E5" s="16" t="s">
        <v>1</v>
      </c>
      <c r="F5" s="16">
        <f>SUM(F13:F587)</f>
        <v>0</v>
      </c>
      <c r="G5" s="16">
        <f>SUM(G13:G587)</f>
        <v>247289.11000000004</v>
      </c>
      <c r="H5" s="16">
        <f t="shared" ref="H5:AT5" si="0">SUM(H13:H656)</f>
        <v>205147.58999999997</v>
      </c>
      <c r="I5" s="16">
        <f t="shared" si="0"/>
        <v>130089.14</v>
      </c>
      <c r="J5" s="16">
        <f t="shared" si="0"/>
        <v>17925.289999999997</v>
      </c>
      <c r="K5" s="16">
        <f t="shared" si="0"/>
        <v>11127.55</v>
      </c>
      <c r="L5" s="16">
        <f t="shared" si="0"/>
        <v>0</v>
      </c>
      <c r="M5" s="16">
        <f t="shared" si="0"/>
        <v>7670</v>
      </c>
      <c r="N5" s="16">
        <f t="shared" si="0"/>
        <v>0</v>
      </c>
      <c r="O5" s="16">
        <f t="shared" si="0"/>
        <v>56260.9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28665.69</v>
      </c>
      <c r="AD5" s="16">
        <f t="shared" si="0"/>
        <v>744.19999999999993</v>
      </c>
      <c r="AE5" s="16">
        <f t="shared" si="0"/>
        <v>708.86999999999989</v>
      </c>
      <c r="AF5" s="16">
        <f t="shared" si="0"/>
        <v>0</v>
      </c>
      <c r="AG5" s="16">
        <f t="shared" si="0"/>
        <v>0</v>
      </c>
      <c r="AH5" s="16">
        <f t="shared" si="0"/>
        <v>519.03</v>
      </c>
      <c r="AI5" s="16">
        <f t="shared" si="0"/>
        <v>519.03</v>
      </c>
      <c r="AJ5" s="16">
        <f t="shared" si="0"/>
        <v>0</v>
      </c>
      <c r="AK5" s="16">
        <f t="shared" si="0"/>
        <v>0</v>
      </c>
      <c r="AL5" s="16">
        <f t="shared" si="0"/>
        <v>846.19000000000017</v>
      </c>
      <c r="AM5" s="16">
        <f t="shared" si="0"/>
        <v>573.85</v>
      </c>
      <c r="AN5" s="16">
        <f t="shared" si="0"/>
        <v>26556.269999999997</v>
      </c>
      <c r="AO5" s="16">
        <f t="shared" si="0"/>
        <v>1821.44</v>
      </c>
      <c r="AP5" s="16">
        <f t="shared" si="0"/>
        <v>0</v>
      </c>
      <c r="AQ5" s="16">
        <f t="shared" si="0"/>
        <v>0</v>
      </c>
      <c r="AR5" s="16">
        <f t="shared" si="0"/>
        <v>0</v>
      </c>
      <c r="AS5" s="16">
        <f t="shared" si="0"/>
        <v>0</v>
      </c>
      <c r="AT5" s="16">
        <f t="shared" si="0"/>
        <v>13475.83</v>
      </c>
      <c r="AU5" s="1797"/>
      <c r="AV5" s="15" t="s">
        <v>1873</v>
      </c>
      <c r="AW5" s="1798"/>
      <c r="AX5" s="1798"/>
      <c r="AY5" s="17" t="s">
        <v>3</v>
      </c>
      <c r="AZ5" s="18">
        <f t="shared" ref="AZ5:BT5" si="1">SUM(AZ13:AZ656)</f>
        <v>212264.80000000002</v>
      </c>
      <c r="BA5" s="18">
        <f t="shared" si="1"/>
        <v>187222.3</v>
      </c>
      <c r="BB5" s="18">
        <f t="shared" si="1"/>
        <v>112163.84999999999</v>
      </c>
      <c r="BC5" s="18">
        <f t="shared" si="1"/>
        <v>11127.55</v>
      </c>
      <c r="BD5" s="18">
        <f t="shared" si="1"/>
        <v>7670</v>
      </c>
      <c r="BE5" s="18">
        <f t="shared" si="1"/>
        <v>56260.9</v>
      </c>
      <c r="BF5" s="18">
        <f t="shared" si="1"/>
        <v>0</v>
      </c>
      <c r="BG5" s="18">
        <f t="shared" si="1"/>
        <v>0</v>
      </c>
      <c r="BH5" s="18">
        <f t="shared" si="1"/>
        <v>0</v>
      </c>
      <c r="BI5" s="18">
        <f t="shared" si="1"/>
        <v>0</v>
      </c>
      <c r="BJ5" s="18">
        <f t="shared" si="1"/>
        <v>0</v>
      </c>
      <c r="BK5" s="18">
        <f t="shared" si="1"/>
        <v>0</v>
      </c>
      <c r="BL5" s="18">
        <f t="shared" si="1"/>
        <v>25042.500000000004</v>
      </c>
      <c r="BM5" s="18">
        <f t="shared" si="1"/>
        <v>35.33</v>
      </c>
      <c r="BN5" s="18">
        <f t="shared" si="1"/>
        <v>0</v>
      </c>
      <c r="BO5" s="18">
        <f t="shared" si="1"/>
        <v>0</v>
      </c>
      <c r="BP5" s="18">
        <f t="shared" si="1"/>
        <v>0</v>
      </c>
      <c r="BQ5" s="18">
        <f t="shared" si="1"/>
        <v>272.33999999999997</v>
      </c>
      <c r="BR5" s="18">
        <f t="shared" si="1"/>
        <v>24734.83</v>
      </c>
      <c r="BS5" s="18">
        <f t="shared" si="1"/>
        <v>0</v>
      </c>
      <c r="BT5" s="19">
        <f t="shared" si="1"/>
        <v>0</v>
      </c>
    </row>
    <row r="6" spans="1:72" s="2168" customFormat="1" ht="13">
      <c r="A6" s="15" t="s">
        <v>1874</v>
      </c>
      <c r="B6" s="2165"/>
      <c r="C6" s="2165"/>
      <c r="D6" s="2166"/>
      <c r="E6" s="16">
        <f>H6+AC6+AT6</f>
        <v>121490.07999999999</v>
      </c>
      <c r="F6" s="16" t="s">
        <v>1</v>
      </c>
      <c r="G6" s="16" t="s">
        <v>2</v>
      </c>
      <c r="H6" s="20">
        <f>SUMIF(I$12:AB$12,"总值",I6:AB6)</f>
        <v>100786.46999999999</v>
      </c>
      <c r="I6" s="16">
        <f t="shared" ref="I6:AB6" si="2">ROUND($A$3*I5/$B$3,2)</f>
        <v>63911.18</v>
      </c>
      <c r="J6" s="16">
        <f t="shared" si="2"/>
        <v>8806.4699999999993</v>
      </c>
      <c r="K6" s="16">
        <f t="shared" si="2"/>
        <v>5466.83</v>
      </c>
      <c r="L6" s="16">
        <f t="shared" si="2"/>
        <v>0</v>
      </c>
      <c r="M6" s="16">
        <f t="shared" si="2"/>
        <v>3768.18</v>
      </c>
      <c r="N6" s="16">
        <f t="shared" si="2"/>
        <v>0</v>
      </c>
      <c r="O6" s="16">
        <f t="shared" si="2"/>
        <v>27640.28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14083.1</v>
      </c>
      <c r="AD6" s="16">
        <f t="shared" ref="AD6:AS6" si="3">ROUND($A$3*AD5/$B$3,2)</f>
        <v>365.62</v>
      </c>
      <c r="AE6" s="16">
        <f t="shared" si="3"/>
        <v>348.26</v>
      </c>
      <c r="AF6" s="16">
        <f t="shared" si="3"/>
        <v>0</v>
      </c>
      <c r="AG6" s="16">
        <f t="shared" si="3"/>
        <v>0</v>
      </c>
      <c r="AH6" s="16">
        <f t="shared" si="3"/>
        <v>254.99</v>
      </c>
      <c r="AI6" s="16">
        <f t="shared" si="3"/>
        <v>254.99</v>
      </c>
      <c r="AJ6" s="16">
        <f t="shared" si="3"/>
        <v>0</v>
      </c>
      <c r="AK6" s="16">
        <f t="shared" si="3"/>
        <v>0</v>
      </c>
      <c r="AL6" s="16">
        <f t="shared" si="3"/>
        <v>415.72</v>
      </c>
      <c r="AM6" s="16">
        <f t="shared" si="3"/>
        <v>281.93</v>
      </c>
      <c r="AN6" s="16">
        <f t="shared" si="3"/>
        <v>13046.77</v>
      </c>
      <c r="AO6" s="16">
        <f t="shared" si="3"/>
        <v>894.85</v>
      </c>
      <c r="AP6" s="16">
        <f t="shared" si="3"/>
        <v>0</v>
      </c>
      <c r="AQ6" s="16">
        <f t="shared" si="3"/>
        <v>0</v>
      </c>
      <c r="AR6" s="16">
        <f t="shared" si="3"/>
        <v>0</v>
      </c>
      <c r="AS6" s="16">
        <f t="shared" si="3"/>
        <v>0</v>
      </c>
      <c r="AT6" s="20">
        <f>IF(C3="是",ROUND($A$3*AT5/$B$3,2),0)</f>
        <v>6620.51</v>
      </c>
      <c r="AU6" s="2167"/>
      <c r="AV6" s="15" t="s">
        <v>1874</v>
      </c>
      <c r="AW6" s="2165"/>
      <c r="AX6" s="2165"/>
      <c r="AY6" s="21">
        <f>IF(AY3&gt;0,AY3,ROUND($A$3*AZ5/$B$3,2))</f>
        <v>104283.06</v>
      </c>
      <c r="AZ6" s="16" t="s">
        <v>3</v>
      </c>
      <c r="BA6" s="16">
        <f>ROUND($AY$6*BA5/$AZ$5,2)</f>
        <v>91979.99</v>
      </c>
      <c r="BB6" s="16">
        <f>ROUND($AY$6*BB5/$AZ$5,2)</f>
        <v>55104.71</v>
      </c>
      <c r="BC6" s="16">
        <f t="shared" ref="BC6:BH6" si="4">ROUND($AY$6*BC5/$AZ$5,2)</f>
        <v>5466.83</v>
      </c>
      <c r="BD6" s="16">
        <f t="shared" si="4"/>
        <v>3768.18</v>
      </c>
      <c r="BE6" s="16">
        <f t="shared" si="4"/>
        <v>27640.28</v>
      </c>
      <c r="BF6" s="16">
        <f t="shared" si="4"/>
        <v>0</v>
      </c>
      <c r="BG6" s="16">
        <f t="shared" si="4"/>
        <v>0</v>
      </c>
      <c r="BH6" s="16">
        <f t="shared" si="4"/>
        <v>0</v>
      </c>
      <c r="BI6" s="16">
        <f t="shared" ref="BI6:BT6" si="5">ROUND($AY$6*BI5/$AZ$5,2)</f>
        <v>0</v>
      </c>
      <c r="BJ6" s="16">
        <f t="shared" si="5"/>
        <v>0</v>
      </c>
      <c r="BK6" s="16">
        <f t="shared" si="5"/>
        <v>0</v>
      </c>
      <c r="BL6" s="16">
        <f t="shared" si="5"/>
        <v>12303.07</v>
      </c>
      <c r="BM6" s="16">
        <f t="shared" si="5"/>
        <v>17.36</v>
      </c>
      <c r="BN6" s="16">
        <f t="shared" si="5"/>
        <v>0</v>
      </c>
      <c r="BO6" s="16">
        <f t="shared" si="5"/>
        <v>0</v>
      </c>
      <c r="BP6" s="16">
        <f t="shared" si="5"/>
        <v>0</v>
      </c>
      <c r="BQ6" s="16">
        <f t="shared" si="5"/>
        <v>133.80000000000001</v>
      </c>
      <c r="BR6" s="16">
        <f t="shared" si="5"/>
        <v>12151.91</v>
      </c>
      <c r="BS6" s="16">
        <f t="shared" si="5"/>
        <v>0</v>
      </c>
      <c r="BT6" s="22">
        <f t="shared" si="5"/>
        <v>0</v>
      </c>
    </row>
    <row r="7" spans="1:72" s="2158" customFormat="1" ht="26">
      <c r="A7" s="2100" t="s">
        <v>1875</v>
      </c>
      <c r="B7" s="2100" t="s">
        <v>1876</v>
      </c>
      <c r="C7" s="2100" t="s">
        <v>1877</v>
      </c>
      <c r="D7" s="2100" t="s">
        <v>1878</v>
      </c>
      <c r="E7" s="2100" t="s">
        <v>1879</v>
      </c>
      <c r="F7" s="2100" t="s">
        <v>1880</v>
      </c>
      <c r="G7" s="2169" t="s">
        <v>1881</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1"/>
      <c r="AU7" s="2170" t="s">
        <v>1882</v>
      </c>
      <c r="AV7" s="23" t="s">
        <v>1883</v>
      </c>
      <c r="AW7" s="2157" t="s">
        <v>1884</v>
      </c>
      <c r="AX7" s="23" t="s">
        <v>1877</v>
      </c>
      <c r="AY7" s="1798" t="s">
        <v>1885</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6">
      <c r="A8" s="2173"/>
      <c r="B8" s="2173"/>
      <c r="C8" s="2173"/>
      <c r="D8" s="2173"/>
      <c r="E8" s="2173"/>
      <c r="F8" s="2173"/>
      <c r="G8" s="2174" t="s">
        <v>1886</v>
      </c>
      <c r="H8" s="2175" t="s">
        <v>1887</v>
      </c>
      <c r="I8" s="2176"/>
      <c r="J8" s="1813"/>
      <c r="K8" s="1813"/>
      <c r="L8" s="1813"/>
      <c r="M8" s="1813"/>
      <c r="N8" s="1813"/>
      <c r="O8" s="1813"/>
      <c r="P8" s="1813"/>
      <c r="Q8" s="1813"/>
      <c r="R8" s="1813"/>
      <c r="S8" s="1813"/>
      <c r="T8" s="1813"/>
      <c r="U8" s="1813"/>
      <c r="V8" s="2177"/>
      <c r="W8" s="1813"/>
      <c r="X8" s="1813"/>
      <c r="Y8" s="1813"/>
      <c r="Z8" s="1813"/>
      <c r="AA8" s="2177"/>
      <c r="AB8" s="2178"/>
      <c r="AC8" s="976" t="s">
        <v>1888</v>
      </c>
      <c r="AD8" s="2179"/>
      <c r="AE8" s="2171"/>
      <c r="AF8" s="1813"/>
      <c r="AG8" s="1813"/>
      <c r="AH8" s="1813"/>
      <c r="AI8" s="1813"/>
      <c r="AJ8" s="1813"/>
      <c r="AK8" s="1813"/>
      <c r="AL8" s="1813"/>
      <c r="AM8" s="1813"/>
      <c r="AN8" s="1813"/>
      <c r="AO8" s="1813"/>
      <c r="AP8" s="1813"/>
      <c r="AQ8" s="1813"/>
      <c r="AR8" s="1813"/>
      <c r="AS8" s="1813"/>
      <c r="AT8" s="1287" t="s">
        <v>1889</v>
      </c>
      <c r="AU8" s="2173" t="s">
        <v>1890</v>
      </c>
      <c r="AV8" s="1287"/>
      <c r="AW8" s="2156"/>
      <c r="AX8" s="1287"/>
      <c r="AY8" s="2157"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0" customFormat="1" ht="13">
      <c r="A9" s="2173"/>
      <c r="B9" s="2173"/>
      <c r="C9" s="2173"/>
      <c r="D9" s="2173"/>
      <c r="E9" s="2173"/>
      <c r="F9" s="2173"/>
      <c r="G9" s="1287"/>
      <c r="H9" s="2181" t="s">
        <v>1893</v>
      </c>
      <c r="I9" s="2182" t="s">
        <v>3070</v>
      </c>
      <c r="J9" s="976"/>
      <c r="K9" s="2182" t="s">
        <v>3070</v>
      </c>
      <c r="L9" s="976"/>
      <c r="M9" s="2182" t="s">
        <v>3075</v>
      </c>
      <c r="N9" s="976"/>
      <c r="O9" s="2182" t="s">
        <v>3075</v>
      </c>
      <c r="P9" s="976"/>
      <c r="Q9" s="2182" t="s">
        <v>3075</v>
      </c>
      <c r="R9" s="976"/>
      <c r="S9" s="2182"/>
      <c r="T9" s="976"/>
      <c r="U9" s="2182"/>
      <c r="V9" s="976"/>
      <c r="W9" s="2182"/>
      <c r="X9" s="2183"/>
      <c r="Y9" s="2182"/>
      <c r="Z9" s="976"/>
      <c r="AA9" s="2182"/>
      <c r="AB9" s="976"/>
      <c r="AC9" s="2174" t="s">
        <v>1893</v>
      </c>
      <c r="AD9" s="15" t="s">
        <v>1894</v>
      </c>
      <c r="AE9" s="1293"/>
      <c r="AF9" s="15" t="s">
        <v>1895</v>
      </c>
      <c r="AG9" s="1293"/>
      <c r="AH9" s="15" t="s">
        <v>1894</v>
      </c>
      <c r="AI9" s="1293"/>
      <c r="AJ9" s="15" t="s">
        <v>1895</v>
      </c>
      <c r="AK9" s="1293"/>
      <c r="AL9" s="15" t="s">
        <v>1894</v>
      </c>
      <c r="AM9" s="1293"/>
      <c r="AN9" s="15" t="s">
        <v>1895</v>
      </c>
      <c r="AO9" s="1293"/>
      <c r="AP9" s="15" t="s">
        <v>1894</v>
      </c>
      <c r="AQ9" s="1293"/>
      <c r="AR9" s="15" t="s">
        <v>1895</v>
      </c>
      <c r="AS9" s="2184"/>
      <c r="AT9" s="2173"/>
      <c r="AU9" s="2173" t="s">
        <v>1896</v>
      </c>
      <c r="AV9" s="1287"/>
      <c r="AW9" s="2156"/>
      <c r="AX9" s="1287"/>
      <c r="AY9" s="28"/>
      <c r="AZ9" s="28" t="s">
        <v>1886</v>
      </c>
      <c r="BA9" s="2185" t="s">
        <v>1897</v>
      </c>
      <c r="BB9" s="2186"/>
      <c r="BC9" s="1333"/>
      <c r="BD9" s="1333"/>
      <c r="BE9" s="1333"/>
      <c r="BF9" s="1333"/>
      <c r="BG9" s="1333"/>
      <c r="BH9" s="1333"/>
      <c r="BI9" s="1333"/>
      <c r="BJ9" s="1333"/>
      <c r="BK9" s="2187"/>
      <c r="BL9" s="15" t="s">
        <v>1898</v>
      </c>
      <c r="BM9" s="1813"/>
      <c r="BN9" s="2176"/>
      <c r="BO9" s="1813"/>
      <c r="BP9" s="1813"/>
      <c r="BQ9" s="1813"/>
      <c r="BR9" s="1813"/>
      <c r="BS9" s="1813"/>
      <c r="BT9" s="26"/>
    </row>
    <row r="10" spans="1:72" s="2180" customFormat="1" ht="13">
      <c r="A10" s="2173"/>
      <c r="B10" s="2173"/>
      <c r="C10" s="2173"/>
      <c r="D10" s="2173"/>
      <c r="E10" s="2173"/>
      <c r="F10" s="2173"/>
      <c r="G10" s="1287"/>
      <c r="H10" s="28"/>
      <c r="I10" s="2182" t="s">
        <v>3071</v>
      </c>
      <c r="J10" s="976"/>
      <c r="K10" s="2188" t="s">
        <v>1372</v>
      </c>
      <c r="L10" s="976"/>
      <c r="M10" s="2188" t="s">
        <v>3076</v>
      </c>
      <c r="N10" s="976"/>
      <c r="O10" s="2188" t="s">
        <v>3078</v>
      </c>
      <c r="P10" s="976"/>
      <c r="Q10" s="2188" t="s">
        <v>1372</v>
      </c>
      <c r="R10" s="976"/>
      <c r="S10" s="2188"/>
      <c r="T10" s="976"/>
      <c r="U10" s="2188"/>
      <c r="V10" s="976"/>
      <c r="W10" s="2188"/>
      <c r="X10" s="976"/>
      <c r="Y10" s="2188"/>
      <c r="Z10" s="976"/>
      <c r="AA10" s="2188"/>
      <c r="AB10" s="976"/>
      <c r="AC10" s="1287"/>
      <c r="AD10" s="15" t="s">
        <v>1899</v>
      </c>
      <c r="AE10" s="2189"/>
      <c r="AF10" s="15" t="s">
        <v>1899</v>
      </c>
      <c r="AG10" s="2189"/>
      <c r="AH10" s="15" t="s">
        <v>1900</v>
      </c>
      <c r="AI10" s="2189"/>
      <c r="AJ10" s="15" t="s">
        <v>1900</v>
      </c>
      <c r="AK10" s="2189"/>
      <c r="AL10" s="15" t="s">
        <v>1901</v>
      </c>
      <c r="AM10" s="1293"/>
      <c r="AN10" s="15" t="s">
        <v>1901</v>
      </c>
      <c r="AO10" s="1293"/>
      <c r="AP10" s="15" t="s">
        <v>1902</v>
      </c>
      <c r="AQ10" s="1293"/>
      <c r="AR10" s="15" t="s">
        <v>1902</v>
      </c>
      <c r="AS10" s="1293"/>
      <c r="AT10" s="2173"/>
      <c r="AU10" s="2173"/>
      <c r="AV10" s="1287"/>
      <c r="AW10" s="2156"/>
      <c r="AX10" s="1287"/>
      <c r="AY10" s="28"/>
      <c r="AZ10" s="28"/>
      <c r="BA10" s="2190" t="s">
        <v>1893</v>
      </c>
      <c r="BB10" s="2191"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2" t="str">
        <f>AR9</f>
        <v>地下</v>
      </c>
    </row>
    <row r="11" spans="1:72" s="2180" customFormat="1" ht="13">
      <c r="A11" s="2173"/>
      <c r="B11" s="2173"/>
      <c r="C11" s="2173"/>
      <c r="D11" s="2173"/>
      <c r="E11" s="2173"/>
      <c r="F11" s="2173"/>
      <c r="G11" s="1287"/>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7"/>
      <c r="AD11" s="2195" t="s">
        <v>1903</v>
      </c>
      <c r="AE11" s="1814"/>
      <c r="AF11" s="2195" t="s">
        <v>1903</v>
      </c>
      <c r="AG11" s="1814"/>
      <c r="AH11" s="2195" t="s">
        <v>1904</v>
      </c>
      <c r="AI11" s="2196"/>
      <c r="AJ11" s="2195" t="s">
        <v>1904</v>
      </c>
      <c r="AK11" s="1814"/>
      <c r="AL11" s="1812"/>
      <c r="AM11" s="1814"/>
      <c r="AN11" s="1812"/>
      <c r="AO11" s="1814"/>
      <c r="AP11" s="1812"/>
      <c r="AQ11" s="1814"/>
      <c r="AR11" s="1812"/>
      <c r="AS11" s="1814"/>
      <c r="AT11" s="2156"/>
      <c r="AU11" s="2173"/>
      <c r="AV11" s="1287"/>
      <c r="AW11" s="2156"/>
      <c r="AX11" s="1287"/>
      <c r="AY11" s="28"/>
      <c r="AZ11" s="28"/>
      <c r="BA11" s="28"/>
      <c r="BB11" s="2178" t="str">
        <f>I10</f>
        <v>住宅</v>
      </c>
      <c r="BC11" s="2178" t="str">
        <f>K10</f>
        <v>商业</v>
      </c>
      <c r="BD11" s="2178" t="str">
        <f>M10</f>
        <v>仓储</v>
      </c>
      <c r="BE11" s="2178" t="str">
        <f>O10</f>
        <v>车库</v>
      </c>
      <c r="BF11" s="2178" t="str">
        <f>Q10</f>
        <v>商业</v>
      </c>
      <c r="BG11" s="2178">
        <f>S10</f>
        <v>0</v>
      </c>
      <c r="BH11" s="2178">
        <f>U10</f>
        <v>0</v>
      </c>
      <c r="BI11" s="2178">
        <f>W10</f>
        <v>0</v>
      </c>
      <c r="BJ11" s="2178">
        <f>Y10</f>
        <v>0</v>
      </c>
      <c r="BK11" s="2178">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
      <c r="A12" s="2198"/>
      <c r="B12" s="2198"/>
      <c r="C12" s="2198"/>
      <c r="D12" s="2198"/>
      <c r="E12" s="2198"/>
      <c r="F12" s="2198"/>
      <c r="G12" s="30"/>
      <c r="H12" s="2199"/>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0"/>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8" t="s">
        <v>1906</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7">
        <f>AR11</f>
        <v>0</v>
      </c>
    </row>
    <row r="13" spans="1:72" s="3013" customFormat="1">
      <c r="A13" s="3025" t="s">
        <v>3374</v>
      </c>
      <c r="B13" s="3026" t="s">
        <v>3073</v>
      </c>
      <c r="C13" s="3027" t="s">
        <v>3375</v>
      </c>
      <c r="D13" s="3028" t="s">
        <v>3056</v>
      </c>
      <c r="E13" s="3029">
        <f>IF($C$3="是",ROUND($A$3*G13/$B$3,2),ROUND($A$3*(G13-AT13)/$B$3,2))</f>
        <v>2023.13</v>
      </c>
      <c r="F13" s="3030"/>
      <c r="G13" s="3031">
        <f>H13+AC13+AT13</f>
        <v>4118.01</v>
      </c>
      <c r="H13" s="3032">
        <f>SUMIF(I$12:AB$12,"总值",I13:AB13)</f>
        <v>4118.01</v>
      </c>
      <c r="I13" s="3033">
        <v>3230.82</v>
      </c>
      <c r="J13" s="3033">
        <f>已售清单!J4</f>
        <v>491.62</v>
      </c>
      <c r="K13" s="3033">
        <v>887.19</v>
      </c>
      <c r="L13" s="3033"/>
      <c r="M13" s="3033"/>
      <c r="N13" s="3033"/>
      <c r="O13" s="3033"/>
      <c r="P13" s="3033"/>
      <c r="Q13" s="3033"/>
      <c r="R13" s="3033"/>
      <c r="S13" s="3033"/>
      <c r="T13" s="3033"/>
      <c r="U13" s="3033"/>
      <c r="V13" s="3033"/>
      <c r="W13" s="3033"/>
      <c r="X13" s="3033"/>
      <c r="Y13" s="3033"/>
      <c r="Z13" s="3033"/>
      <c r="AA13" s="3033"/>
      <c r="AB13" s="3033"/>
      <c r="AC13" s="3029">
        <f>SUMIF(AD$12:AS$12,"总值",AD13:AS13)</f>
        <v>0</v>
      </c>
      <c r="AD13" s="3034"/>
      <c r="AE13" s="3034"/>
      <c r="AF13" s="3034"/>
      <c r="AG13" s="3034"/>
      <c r="AH13" s="3034"/>
      <c r="AI13" s="3034"/>
      <c r="AJ13" s="3034"/>
      <c r="AK13" s="3034"/>
      <c r="AL13" s="3034"/>
      <c r="AM13" s="3034"/>
      <c r="AN13" s="3034"/>
      <c r="AO13" s="3034"/>
      <c r="AP13" s="3034"/>
      <c r="AQ13" s="3034"/>
      <c r="AR13" s="3034"/>
      <c r="AS13" s="3034"/>
      <c r="AT13" s="3035"/>
      <c r="AU13" s="3010"/>
      <c r="AV13" s="2858" t="str">
        <f t="shared" ref="AV13:AX17" si="6">A13</f>
        <v>测绘报告</v>
      </c>
      <c r="AW13" s="2858" t="str">
        <f t="shared" si="6"/>
        <v>一期</v>
      </c>
      <c r="AX13" s="2858" t="str">
        <f t="shared" si="6"/>
        <v>31#住宅</v>
      </c>
      <c r="AY13" s="3011">
        <f>ROUND($AY$6*AZ13/$AZ$5,2)</f>
        <v>1781.6</v>
      </c>
      <c r="AZ13" s="3009">
        <f>BA13+BL13</f>
        <v>3626.3900000000003</v>
      </c>
      <c r="BA13" s="3009">
        <f>SUM(BB13:BK13)</f>
        <v>3626.3900000000003</v>
      </c>
      <c r="BB13" s="3009">
        <f>IF($D13="是",I13-J13,0)</f>
        <v>2739.2000000000003</v>
      </c>
      <c r="BC13" s="3009">
        <f>IF($D13="是",K13-L13,0)</f>
        <v>887.19</v>
      </c>
      <c r="BD13" s="3009">
        <f>IF($D13="是",M13-N13,0)</f>
        <v>0</v>
      </c>
      <c r="BE13" s="3009">
        <f>IF($D13="是",O13-P13,0)</f>
        <v>0</v>
      </c>
      <c r="BF13" s="3009">
        <f>IF($D13="是",Q13-R13,0)</f>
        <v>0</v>
      </c>
      <c r="BG13" s="3009">
        <f>IF($D13="是",S13-T13,0)</f>
        <v>0</v>
      </c>
      <c r="BH13" s="3009">
        <f>IF($D13="是",U13-V13,0)</f>
        <v>0</v>
      </c>
      <c r="BI13" s="3009">
        <f>IF($D13="是",W13-X13,0)</f>
        <v>0</v>
      </c>
      <c r="BJ13" s="3009">
        <f>IF($D13="是",Y13-Z13,0)</f>
        <v>0</v>
      </c>
      <c r="BK13" s="3009">
        <f>IF($D13="是",AA13-AB13,0)</f>
        <v>0</v>
      </c>
      <c r="BL13" s="3009">
        <f>SUM(BM13:BT13)</f>
        <v>0</v>
      </c>
      <c r="BM13" s="3009">
        <f>IF($D13="是",AD13-AE13,0)</f>
        <v>0</v>
      </c>
      <c r="BN13" s="3009">
        <f>IF($D13="是",AF13-AG13,0)</f>
        <v>0</v>
      </c>
      <c r="BO13" s="3009">
        <f>IF($D13="是",AH13-AI13,0)</f>
        <v>0</v>
      </c>
      <c r="BP13" s="3009">
        <f>IF($D13="是",AJ13-AK13,0)</f>
        <v>0</v>
      </c>
      <c r="BQ13" s="3009">
        <f>IF($D13="是",AL13-AM13,0)</f>
        <v>0</v>
      </c>
      <c r="BR13" s="3009">
        <f>IF($D13="是",AN13-AO13,0)</f>
        <v>0</v>
      </c>
      <c r="BS13" s="3009">
        <f>IF($D13="是",AP13-AQ13,0)</f>
        <v>0</v>
      </c>
      <c r="BT13" s="3012">
        <f>IF($D13="是",AR13-AS13,0)</f>
        <v>0</v>
      </c>
    </row>
    <row r="14" spans="1:72" s="3013" customFormat="1">
      <c r="A14" s="3025" t="s">
        <v>3374</v>
      </c>
      <c r="B14" s="3027"/>
      <c r="C14" s="2823" t="s">
        <v>3376</v>
      </c>
      <c r="D14" s="3028" t="s">
        <v>3056</v>
      </c>
      <c r="E14" s="3029">
        <f>IF($C$3="是",ROUND($A$3*G14/$B$3,2),ROUND($A$3*(G14-AT14)/$B$3,2))</f>
        <v>4251.87</v>
      </c>
      <c r="F14" s="3030"/>
      <c r="G14" s="3031">
        <f>H14+AC14+AT14</f>
        <v>8654.5499999999993</v>
      </c>
      <c r="H14" s="3032">
        <f>SUMIF(I$12:AB$12,"总值",I14:AB14)</f>
        <v>8490.15</v>
      </c>
      <c r="I14" s="3033">
        <v>7450.48</v>
      </c>
      <c r="J14" s="3033">
        <f>已售清单!J5</f>
        <v>2500.4399999999996</v>
      </c>
      <c r="K14" s="3033">
        <v>1039.67</v>
      </c>
      <c r="L14" s="3033"/>
      <c r="M14" s="3036"/>
      <c r="N14" s="3033"/>
      <c r="O14" s="3033"/>
      <c r="P14" s="3033"/>
      <c r="Q14" s="3033"/>
      <c r="R14" s="3033"/>
      <c r="S14" s="3033"/>
      <c r="T14" s="3033"/>
      <c r="U14" s="3033"/>
      <c r="V14" s="3033"/>
      <c r="W14" s="3033"/>
      <c r="X14" s="3033"/>
      <c r="Y14" s="3033"/>
      <c r="Z14" s="3033"/>
      <c r="AA14" s="3033"/>
      <c r="AB14" s="3033"/>
      <c r="AC14" s="3029">
        <f>SUMIF(AD$12:AS$12,"总值",AD14:AS14)</f>
        <v>164.4</v>
      </c>
      <c r="AD14" s="3034"/>
      <c r="AE14" s="3034"/>
      <c r="AF14" s="3034"/>
      <c r="AG14" s="3034"/>
      <c r="AH14" s="3034"/>
      <c r="AI14" s="3034"/>
      <c r="AJ14" s="3034"/>
      <c r="AK14" s="3034"/>
      <c r="AL14" s="3034">
        <f>44.89+20.84+53.95+44.72</f>
        <v>164.4</v>
      </c>
      <c r="AM14" s="3034">
        <f>AL14</f>
        <v>164.4</v>
      </c>
      <c r="AN14" s="3034"/>
      <c r="AO14" s="3034"/>
      <c r="AP14" s="3034"/>
      <c r="AQ14" s="3034"/>
      <c r="AR14" s="3034"/>
      <c r="AS14" s="3034"/>
      <c r="AT14" s="3035"/>
      <c r="AU14" s="3010"/>
      <c r="AV14" s="2858" t="str">
        <f t="shared" si="6"/>
        <v>测绘报告</v>
      </c>
      <c r="AW14" s="2858">
        <f t="shared" si="6"/>
        <v>0</v>
      </c>
      <c r="AX14" s="2858" t="str">
        <f t="shared" si="6"/>
        <v>32#住宅</v>
      </c>
      <c r="AY14" s="3011">
        <f>ROUND($AY$6*AZ14/$AZ$5,2)</f>
        <v>2942.67</v>
      </c>
      <c r="AZ14" s="3009">
        <f>BA14+BL14</f>
        <v>5989.71</v>
      </c>
      <c r="BA14" s="3009">
        <f>SUM(BB14:BK14)</f>
        <v>5989.71</v>
      </c>
      <c r="BB14" s="3009">
        <f>IF($D14="是",I14-J14,0)</f>
        <v>4950.04</v>
      </c>
      <c r="BC14" s="3009">
        <f>IF($D14="是",K14-L14,0)</f>
        <v>1039.67</v>
      </c>
      <c r="BD14" s="3009">
        <f>IF($D14="是",M14-N14,0)</f>
        <v>0</v>
      </c>
      <c r="BE14" s="3009">
        <f>IF($D14="是",O14-P14,0)</f>
        <v>0</v>
      </c>
      <c r="BF14" s="3009">
        <f>IF($D14="是",Q14-R14,0)</f>
        <v>0</v>
      </c>
      <c r="BG14" s="3009">
        <f>IF($D14="是",S14-T14,0)</f>
        <v>0</v>
      </c>
      <c r="BH14" s="3009">
        <f>IF($D14="是",U14-V14,0)</f>
        <v>0</v>
      </c>
      <c r="BI14" s="3009">
        <f>IF($D14="是",W14-X14,0)</f>
        <v>0</v>
      </c>
      <c r="BJ14" s="3009">
        <f>IF($D14="是",Y14-Z14,0)</f>
        <v>0</v>
      </c>
      <c r="BK14" s="3009">
        <f>IF($D14="是",AA14-AB14,0)</f>
        <v>0</v>
      </c>
      <c r="BL14" s="3009">
        <f>SUM(BM14:BT14)</f>
        <v>0</v>
      </c>
      <c r="BM14" s="3009">
        <f>IF($D14="是",AD14-AE14,0)</f>
        <v>0</v>
      </c>
      <c r="BN14" s="3009">
        <f>IF($D14="是",AF14-AG14,0)</f>
        <v>0</v>
      </c>
      <c r="BO14" s="3009">
        <f>IF($D14="是",AH14-AI14,0)</f>
        <v>0</v>
      </c>
      <c r="BP14" s="3009">
        <f>IF($D14="是",AJ14-AK14,0)</f>
        <v>0</v>
      </c>
      <c r="BQ14" s="3009">
        <f>IF($D14="是",AL14-AM14,0)</f>
        <v>0</v>
      </c>
      <c r="BR14" s="3009">
        <f>IF($D14="是",AN14-AO14,0)</f>
        <v>0</v>
      </c>
      <c r="BS14" s="3009">
        <f>IF($D14="是",AP14-AQ14,0)</f>
        <v>0</v>
      </c>
      <c r="BT14" s="3012">
        <f>IF($D14="是",AR14-AS14,0)</f>
        <v>0</v>
      </c>
    </row>
    <row r="15" spans="1:72" s="3013" customFormat="1">
      <c r="A15" s="3025" t="s">
        <v>3374</v>
      </c>
      <c r="B15" s="3027"/>
      <c r="C15" s="2823" t="s">
        <v>3377</v>
      </c>
      <c r="D15" s="3028" t="s">
        <v>3056</v>
      </c>
      <c r="E15" s="3029">
        <f>IF($C$3="是",ROUND($A$3*G15/$B$3,2),ROUND($A$3*(G15-AT15)/$B$3,2))</f>
        <v>2252.58</v>
      </c>
      <c r="F15" s="3030"/>
      <c r="G15" s="3031">
        <f>H15+AC15+AT15</f>
        <v>4585.0600000000004</v>
      </c>
      <c r="H15" s="3032">
        <f>SUMIF(I$12:AB$12,"总值",I15:AB15)</f>
        <v>4585.0600000000004</v>
      </c>
      <c r="I15" s="3033">
        <v>3478.92</v>
      </c>
      <c r="J15" s="3033">
        <f>已售清单!J8</f>
        <v>664.82999999999993</v>
      </c>
      <c r="K15" s="3033">
        <v>1106.1400000000001</v>
      </c>
      <c r="L15" s="3033"/>
      <c r="M15" s="3033"/>
      <c r="N15" s="3033"/>
      <c r="O15" s="3033"/>
      <c r="P15" s="3033"/>
      <c r="Q15" s="3033"/>
      <c r="R15" s="3033"/>
      <c r="S15" s="3033"/>
      <c r="T15" s="3033"/>
      <c r="U15" s="3033"/>
      <c r="V15" s="3033"/>
      <c r="W15" s="3033"/>
      <c r="X15" s="3033"/>
      <c r="Y15" s="3033"/>
      <c r="Z15" s="3033"/>
      <c r="AA15" s="3033"/>
      <c r="AB15" s="3033"/>
      <c r="AC15" s="3029">
        <f>SUMIF(AD$12:AS$12,"总值",AD15:AS15)</f>
        <v>0</v>
      </c>
      <c r="AD15" s="3034"/>
      <c r="AE15" s="3034"/>
      <c r="AF15" s="3034"/>
      <c r="AG15" s="3034"/>
      <c r="AH15" s="3034"/>
      <c r="AI15" s="3034"/>
      <c r="AJ15" s="3034"/>
      <c r="AK15" s="3034"/>
      <c r="AL15" s="3034"/>
      <c r="AM15" s="3034"/>
      <c r="AN15" s="3034"/>
      <c r="AO15" s="3034"/>
      <c r="AP15" s="3034"/>
      <c r="AQ15" s="3034"/>
      <c r="AR15" s="3034"/>
      <c r="AS15" s="3034"/>
      <c r="AT15" s="3035"/>
      <c r="AU15" s="3010"/>
      <c r="AV15" s="2858" t="str">
        <f t="shared" si="6"/>
        <v>测绘报告</v>
      </c>
      <c r="AW15" s="2858">
        <f t="shared" si="6"/>
        <v>0</v>
      </c>
      <c r="AX15" s="2858" t="str">
        <f t="shared" si="6"/>
        <v>35#住宅</v>
      </c>
      <c r="AY15" s="3011">
        <f>ROUND($AY$6*AZ15/$AZ$5,2)</f>
        <v>1925.96</v>
      </c>
      <c r="AZ15" s="3009">
        <f>BA15+BL15</f>
        <v>3920.2300000000005</v>
      </c>
      <c r="BA15" s="3009">
        <f>SUM(BB15:BK15)</f>
        <v>3920.2300000000005</v>
      </c>
      <c r="BB15" s="3009">
        <f>IF($D15="是",I15-J15,0)</f>
        <v>2814.09</v>
      </c>
      <c r="BC15" s="3009">
        <f>IF($D15="是",K15-L15,0)</f>
        <v>1106.1400000000001</v>
      </c>
      <c r="BD15" s="3009">
        <f>IF($D15="是",M15-N15,0)</f>
        <v>0</v>
      </c>
      <c r="BE15" s="3009">
        <f>IF($D15="是",O15-P15,0)</f>
        <v>0</v>
      </c>
      <c r="BF15" s="3009">
        <f>IF($D15="是",Q15-R15,0)</f>
        <v>0</v>
      </c>
      <c r="BG15" s="3009">
        <f>IF($D15="是",S15-T15,0)</f>
        <v>0</v>
      </c>
      <c r="BH15" s="3009">
        <f>IF($D15="是",U15-V15,0)</f>
        <v>0</v>
      </c>
      <c r="BI15" s="3009">
        <f>IF($D15="是",W15-X15,0)</f>
        <v>0</v>
      </c>
      <c r="BJ15" s="3009">
        <f>IF($D15="是",Y15-Z15,0)</f>
        <v>0</v>
      </c>
      <c r="BK15" s="3009">
        <f>IF($D15="是",AA15-AB15,0)</f>
        <v>0</v>
      </c>
      <c r="BL15" s="3009">
        <f>SUM(BM15:BT15)</f>
        <v>0</v>
      </c>
      <c r="BM15" s="3009">
        <f>IF($D15="是",AD15-AE15,0)</f>
        <v>0</v>
      </c>
      <c r="BN15" s="3009">
        <f>IF($D15="是",AF15-AG15,0)</f>
        <v>0</v>
      </c>
      <c r="BO15" s="3009">
        <f>IF($D15="是",AH15-AI15,0)</f>
        <v>0</v>
      </c>
      <c r="BP15" s="3009">
        <f>IF($D15="是",AJ15-AK15,0)</f>
        <v>0</v>
      </c>
      <c r="BQ15" s="3009">
        <f>IF($D15="是",AL15-AM15,0)</f>
        <v>0</v>
      </c>
      <c r="BR15" s="3009">
        <f>IF($D15="是",AN15-AO15,0)</f>
        <v>0</v>
      </c>
      <c r="BS15" s="3009">
        <f>IF($D15="是",AP15-AQ15,0)</f>
        <v>0</v>
      </c>
      <c r="BT15" s="3012">
        <f>IF($D15="是",AR15-AS15,0)</f>
        <v>0</v>
      </c>
    </row>
    <row r="16" spans="1:72" s="3013" customFormat="1">
      <c r="A16" s="3025" t="s">
        <v>3374</v>
      </c>
      <c r="B16" s="3027"/>
      <c r="C16" s="2823" t="s">
        <v>3378</v>
      </c>
      <c r="D16" s="3028" t="s">
        <v>3056</v>
      </c>
      <c r="E16" s="3029">
        <f>IF($C$3="是",ROUND($A$3*G16/$B$3,2),ROUND($A$3*(G16-AT16)/$B$3,2))</f>
        <v>1882.48</v>
      </c>
      <c r="F16" s="3030"/>
      <c r="G16" s="3031">
        <f>H16+AC16+AT16</f>
        <v>3831.7200000000003</v>
      </c>
      <c r="H16" s="3032">
        <f>SUMIF(I$12:AB$12,"总值",I16:AB16)</f>
        <v>2310.2800000000002</v>
      </c>
      <c r="I16" s="3033">
        <v>1551.19</v>
      </c>
      <c r="J16" s="3033"/>
      <c r="K16" s="3033">
        <v>759.09</v>
      </c>
      <c r="L16" s="3033"/>
      <c r="M16" s="3033"/>
      <c r="N16" s="3033"/>
      <c r="O16" s="3033"/>
      <c r="P16" s="3033"/>
      <c r="Q16" s="3033"/>
      <c r="R16" s="3033"/>
      <c r="S16" s="3033"/>
      <c r="T16" s="3033"/>
      <c r="U16" s="3033"/>
      <c r="V16" s="3033"/>
      <c r="W16" s="3033"/>
      <c r="X16" s="3033"/>
      <c r="Y16" s="3033"/>
      <c r="Z16" s="3033"/>
      <c r="AA16" s="3033"/>
      <c r="AB16" s="3033"/>
      <c r="AC16" s="3029">
        <f>SUMIF(AD$12:AS$12,"总值",AD16:AS16)</f>
        <v>1521.44</v>
      </c>
      <c r="AD16" s="3034"/>
      <c r="AE16" s="3034"/>
      <c r="AF16" s="3034"/>
      <c r="AG16" s="3034"/>
      <c r="AH16" s="3034"/>
      <c r="AI16" s="3034"/>
      <c r="AJ16" s="3034"/>
      <c r="AK16" s="3034"/>
      <c r="AL16" s="3034"/>
      <c r="AM16" s="3034"/>
      <c r="AN16" s="3034">
        <v>1521.44</v>
      </c>
      <c r="AO16" s="3034">
        <f>AN16</f>
        <v>1521.44</v>
      </c>
      <c r="AP16" s="3034"/>
      <c r="AQ16" s="3034"/>
      <c r="AR16" s="3034"/>
      <c r="AS16" s="3034"/>
      <c r="AT16" s="3035"/>
      <c r="AU16" s="3010"/>
      <c r="AV16" s="2858" t="str">
        <f t="shared" si="6"/>
        <v>测绘报告</v>
      </c>
      <c r="AW16" s="2858">
        <f t="shared" si="6"/>
        <v>0</v>
      </c>
      <c r="AX16" s="2858" t="str">
        <f t="shared" si="6"/>
        <v>36#住宅</v>
      </c>
      <c r="AY16" s="3011">
        <f>ROUND($AY$6*AZ16/$AZ$5,2)</f>
        <v>1135.01</v>
      </c>
      <c r="AZ16" s="3009">
        <f>BA16+BL16</f>
        <v>2310.2800000000002</v>
      </c>
      <c r="BA16" s="3009">
        <f>SUM(BB16:BK16)</f>
        <v>2310.2800000000002</v>
      </c>
      <c r="BB16" s="3009">
        <f>IF($D16="是",I16-J16,0)</f>
        <v>1551.19</v>
      </c>
      <c r="BC16" s="3009">
        <f>IF($D16="是",K16-L16,0)</f>
        <v>759.09</v>
      </c>
      <c r="BD16" s="3009">
        <f>IF($D16="是",M16-N16,0)</f>
        <v>0</v>
      </c>
      <c r="BE16" s="3009">
        <f>IF($D16="是",O16-P16,0)</f>
        <v>0</v>
      </c>
      <c r="BF16" s="3009">
        <f>IF($D16="是",Q16-R16,0)</f>
        <v>0</v>
      </c>
      <c r="BG16" s="3009">
        <f>IF($D16="是",S16-T16,0)</f>
        <v>0</v>
      </c>
      <c r="BH16" s="3009">
        <f>IF($D16="是",U16-V16,0)</f>
        <v>0</v>
      </c>
      <c r="BI16" s="3009">
        <f>IF($D16="是",W16-X16,0)</f>
        <v>0</v>
      </c>
      <c r="BJ16" s="3009">
        <f>IF($D16="是",Y16-Z16,0)</f>
        <v>0</v>
      </c>
      <c r="BK16" s="3009">
        <f>IF($D16="是",AA16-AB16,0)</f>
        <v>0</v>
      </c>
      <c r="BL16" s="3009">
        <f>SUM(BM16:BT16)</f>
        <v>0</v>
      </c>
      <c r="BM16" s="3009">
        <f>IF($D16="是",AD16-AE16,0)</f>
        <v>0</v>
      </c>
      <c r="BN16" s="3009">
        <f>IF($D16="是",AF16-AG16,0)</f>
        <v>0</v>
      </c>
      <c r="BO16" s="3009">
        <f>IF($D16="是",AH16-AI16,0)</f>
        <v>0</v>
      </c>
      <c r="BP16" s="3009">
        <f>IF($D16="是",AJ16-AK16,0)</f>
        <v>0</v>
      </c>
      <c r="BQ16" s="3009">
        <f>IF($D16="是",AL16-AM16,0)</f>
        <v>0</v>
      </c>
      <c r="BR16" s="3009">
        <f>IF($D16="是",AN16-AO16,0)</f>
        <v>0</v>
      </c>
      <c r="BS16" s="3009">
        <f>IF($D16="是",AP16-AQ16,0)</f>
        <v>0</v>
      </c>
      <c r="BT16" s="3012">
        <f>IF($D16="是",AR16-AS16,0)</f>
        <v>0</v>
      </c>
    </row>
    <row r="17" spans="1:72" s="3013" customFormat="1">
      <c r="A17" s="3025" t="s">
        <v>3374</v>
      </c>
      <c r="B17" s="3027"/>
      <c r="C17" s="2823" t="s">
        <v>3379</v>
      </c>
      <c r="D17" s="3028" t="s">
        <v>3056</v>
      </c>
      <c r="E17" s="3029">
        <f>IF($C$3="是",ROUND($A$3*G17/$B$3,2),ROUND($A$3*(G17-AT17)/$B$3,2))</f>
        <v>1648.88</v>
      </c>
      <c r="F17" s="3030"/>
      <c r="G17" s="3031">
        <f>H17+AC17+AT17</f>
        <v>3356.25</v>
      </c>
      <c r="H17" s="3032">
        <f>SUMIF(I$12:AB$12,"总值",I17:AB17)</f>
        <v>3356.25</v>
      </c>
      <c r="I17" s="3033">
        <v>2635.77</v>
      </c>
      <c r="J17" s="3033">
        <f>已售清单!J9</f>
        <v>661.21</v>
      </c>
      <c r="K17" s="3033">
        <v>720.48</v>
      </c>
      <c r="L17" s="3033"/>
      <c r="M17" s="3033"/>
      <c r="N17" s="3033"/>
      <c r="O17" s="3033"/>
      <c r="P17" s="3033"/>
      <c r="Q17" s="3033"/>
      <c r="R17" s="3033"/>
      <c r="S17" s="3033"/>
      <c r="T17" s="3033"/>
      <c r="U17" s="3033"/>
      <c r="V17" s="3033"/>
      <c r="W17" s="3033"/>
      <c r="X17" s="3033"/>
      <c r="Y17" s="3033"/>
      <c r="Z17" s="3033"/>
      <c r="AA17" s="3033"/>
      <c r="AB17" s="3033"/>
      <c r="AC17" s="3029">
        <f>SUMIF(AD$12:AS$12,"总值",AD17:AS17)</f>
        <v>0</v>
      </c>
      <c r="AD17" s="3034"/>
      <c r="AE17" s="3034"/>
      <c r="AF17" s="3034"/>
      <c r="AG17" s="3034"/>
      <c r="AH17" s="3034"/>
      <c r="AI17" s="3034"/>
      <c r="AJ17" s="3034"/>
      <c r="AK17" s="3034"/>
      <c r="AL17" s="3034"/>
      <c r="AM17" s="3034"/>
      <c r="AN17" s="3034"/>
      <c r="AO17" s="3034"/>
      <c r="AP17" s="3034"/>
      <c r="AQ17" s="3034"/>
      <c r="AR17" s="3034"/>
      <c r="AS17" s="3034"/>
      <c r="AT17" s="3035"/>
      <c r="AU17" s="3010"/>
      <c r="AV17" s="2858" t="str">
        <f t="shared" si="6"/>
        <v>测绘报告</v>
      </c>
      <c r="AW17" s="2858">
        <f t="shared" si="6"/>
        <v>0</v>
      </c>
      <c r="AX17" s="2858" t="str">
        <f t="shared" si="6"/>
        <v>37#住宅</v>
      </c>
      <c r="AY17" s="3011">
        <f>ROUND($AY$6*AZ17/$AZ$5,2)</f>
        <v>1324.04</v>
      </c>
      <c r="AZ17" s="3009">
        <f>BA17+BL17</f>
        <v>2695.04</v>
      </c>
      <c r="BA17" s="3009">
        <f>SUM(BB17:BK17)</f>
        <v>2695.04</v>
      </c>
      <c r="BB17" s="3009">
        <f>IF($D17="是",I17-J17,0)</f>
        <v>1974.56</v>
      </c>
      <c r="BC17" s="3009">
        <f>IF($D17="是",K17-L17,0)</f>
        <v>720.48</v>
      </c>
      <c r="BD17" s="3009">
        <f>IF($D17="是",M17-N17,0)</f>
        <v>0</v>
      </c>
      <c r="BE17" s="3009">
        <f>IF($D17="是",O17-P17,0)</f>
        <v>0</v>
      </c>
      <c r="BF17" s="3009">
        <f>IF($D17="是",Q17-R17,0)</f>
        <v>0</v>
      </c>
      <c r="BG17" s="3009">
        <f>IF($D17="是",S17-T17,0)</f>
        <v>0</v>
      </c>
      <c r="BH17" s="3009">
        <f>IF($D17="是",U17-V17,0)</f>
        <v>0</v>
      </c>
      <c r="BI17" s="3009">
        <f>IF($D17="是",W17-X17,0)</f>
        <v>0</v>
      </c>
      <c r="BJ17" s="3009">
        <f>IF($D17="是",Y17-Z17,0)</f>
        <v>0</v>
      </c>
      <c r="BK17" s="3009">
        <f>IF($D17="是",AA17-AB17,0)</f>
        <v>0</v>
      </c>
      <c r="BL17" s="3009">
        <f>SUM(BM17:BT17)</f>
        <v>0</v>
      </c>
      <c r="BM17" s="3009">
        <f>IF($D17="是",AD17-AE17,0)</f>
        <v>0</v>
      </c>
      <c r="BN17" s="3009">
        <f>IF($D17="是",AF17-AG17,0)</f>
        <v>0</v>
      </c>
      <c r="BO17" s="3009">
        <f>IF($D17="是",AH17-AI17,0)</f>
        <v>0</v>
      </c>
      <c r="BP17" s="3009">
        <f>IF($D17="是",AJ17-AK17,0)</f>
        <v>0</v>
      </c>
      <c r="BQ17" s="3009">
        <f>IF($D17="是",AL17-AM17,0)</f>
        <v>0</v>
      </c>
      <c r="BR17" s="3009">
        <f>IF($D17="是",AN17-AO17,0)</f>
        <v>0</v>
      </c>
      <c r="BS17" s="3009">
        <f>IF($D17="是",AP17-AQ17,0)</f>
        <v>0</v>
      </c>
      <c r="BT17" s="3012">
        <f>IF($D17="是",AR17-AS17,0)</f>
        <v>0</v>
      </c>
    </row>
    <row r="18" spans="1:72" s="2996" customFormat="1" ht="14.5">
      <c r="A18" s="3025" t="s">
        <v>3374</v>
      </c>
      <c r="B18" s="2998"/>
      <c r="C18" s="2998" t="s">
        <v>3380</v>
      </c>
      <c r="D18" s="2999" t="s">
        <v>3056</v>
      </c>
      <c r="E18" s="3000">
        <f t="shared" ref="E18:E112" si="7">IF($C$3="是",ROUND($A$3*G18/$B$3,2),ROUND($A$3*(G18-AT18)/$B$3,2))</f>
        <v>2350.34</v>
      </c>
      <c r="F18" s="3001"/>
      <c r="G18" s="3002">
        <f t="shared" ref="G18:G109" si="8">H18+AC18+AT18</f>
        <v>4784.04</v>
      </c>
      <c r="H18" s="3003">
        <f t="shared" ref="H18:H109" si="9">SUMIF(I$12:AB$12,"总值",I18:AB18)</f>
        <v>4784.04</v>
      </c>
      <c r="I18" s="3004">
        <v>4784.04</v>
      </c>
      <c r="J18" s="3004">
        <f>已售清单!J10</f>
        <v>1227.74</v>
      </c>
      <c r="K18" s="3004"/>
      <c r="L18" s="3004"/>
      <c r="M18" s="3004"/>
      <c r="N18" s="3004"/>
      <c r="O18" s="3004"/>
      <c r="P18" s="3004"/>
      <c r="Q18" s="3004"/>
      <c r="R18" s="3004"/>
      <c r="S18" s="3004"/>
      <c r="T18" s="3004"/>
      <c r="U18" s="3004"/>
      <c r="V18" s="3004"/>
      <c r="W18" s="3004"/>
      <c r="X18" s="3004"/>
      <c r="Y18" s="3004"/>
      <c r="Z18" s="3004"/>
      <c r="AA18" s="3004"/>
      <c r="AB18" s="3004"/>
      <c r="AC18" s="3000">
        <f t="shared" ref="AC18:AC109" si="10">SUMIF(AD$12:AS$12,"总值",AD18:AS18)</f>
        <v>0</v>
      </c>
      <c r="AD18" s="3005"/>
      <c r="AE18" s="3005"/>
      <c r="AF18" s="3005"/>
      <c r="AG18" s="3005"/>
      <c r="AH18" s="3005"/>
      <c r="AI18" s="3005"/>
      <c r="AJ18" s="3005"/>
      <c r="AK18" s="3005"/>
      <c r="AL18" s="3005"/>
      <c r="AM18" s="3005"/>
      <c r="AN18" s="3005"/>
      <c r="AO18" s="3005"/>
      <c r="AP18" s="3005"/>
      <c r="AQ18" s="3005"/>
      <c r="AR18" s="3005"/>
      <c r="AS18" s="3005"/>
      <c r="AT18" s="3006"/>
      <c r="AU18" s="2992"/>
      <c r="AV18" s="2993" t="str">
        <f t="shared" ref="AV18:AV112" si="11">A18</f>
        <v>测绘报告</v>
      </c>
      <c r="AW18" s="2993">
        <f t="shared" ref="AW18:AW112" si="12">B18</f>
        <v>0</v>
      </c>
      <c r="AX18" s="2993" t="str">
        <f t="shared" ref="AX18:AX112" si="13">C18</f>
        <v>38#住宅</v>
      </c>
      <c r="AY18" s="2994">
        <f t="shared" ref="AY18:AY109" si="14">ROUND($AY$6*AZ18/$AZ$5,2)</f>
        <v>1747.17</v>
      </c>
      <c r="AZ18" s="2991">
        <f t="shared" ref="AZ18:AZ109" si="15">BA18+BL18</f>
        <v>3556.3</v>
      </c>
      <c r="BA18" s="2991">
        <f t="shared" ref="BA18:BA109" si="16">SUM(BB18:BK18)</f>
        <v>3556.3</v>
      </c>
      <c r="BB18" s="2991">
        <f t="shared" ref="BB18:BB109" si="17">IF($D18="是",I18-J18,0)</f>
        <v>3556.3</v>
      </c>
      <c r="BC18" s="2991">
        <f t="shared" ref="BC18:BC109" si="18">IF($D18="是",K18-L18,0)</f>
        <v>0</v>
      </c>
      <c r="BD18" s="2991">
        <f t="shared" ref="BD18:BD109" si="19">IF($D18="是",M18-N18,0)</f>
        <v>0</v>
      </c>
      <c r="BE18" s="2991">
        <f t="shared" ref="BE18:BE109" si="20">IF($D18="是",O18-P18,0)</f>
        <v>0</v>
      </c>
      <c r="BF18" s="2991">
        <f t="shared" ref="BF18:BF109" si="21">IF($D18="是",Q18-R18,0)</f>
        <v>0</v>
      </c>
      <c r="BG18" s="2991">
        <f t="shared" ref="BG18:BG109" si="22">IF($D18="是",S18-T18,0)</f>
        <v>0</v>
      </c>
      <c r="BH18" s="2991">
        <f t="shared" ref="BH18:BH109" si="23">IF($D18="是",U18-V18,0)</f>
        <v>0</v>
      </c>
      <c r="BI18" s="2991">
        <f t="shared" ref="BI18:BI109" si="24">IF($D18="是",W18-X18,0)</f>
        <v>0</v>
      </c>
      <c r="BJ18" s="2991">
        <f t="shared" ref="BJ18:BJ109" si="25">IF($D18="是",Y18-Z18,0)</f>
        <v>0</v>
      </c>
      <c r="BK18" s="2991">
        <f t="shared" ref="BK18:BK109" si="26">IF($D18="是",AA18-AB18,0)</f>
        <v>0</v>
      </c>
      <c r="BL18" s="2991">
        <f t="shared" ref="BL18:BL109" si="27">SUM(BM18:BT18)</f>
        <v>0</v>
      </c>
      <c r="BM18" s="2991">
        <f t="shared" ref="BM18:BM109" si="28">IF($D18="是",AD18-AE18,0)</f>
        <v>0</v>
      </c>
      <c r="BN18" s="2991">
        <f t="shared" ref="BN18:BN109" si="29">IF($D18="是",AF18-AG18,0)</f>
        <v>0</v>
      </c>
      <c r="BO18" s="2991">
        <f t="shared" ref="BO18:BO109" si="30">IF($D18="是",AH18-AI18,0)</f>
        <v>0</v>
      </c>
      <c r="BP18" s="2991">
        <f t="shared" ref="BP18:BP109" si="31">IF($D18="是",AJ18-AK18,0)</f>
        <v>0</v>
      </c>
      <c r="BQ18" s="2991">
        <f t="shared" ref="BQ18:BQ109" si="32">IF($D18="是",AL18-AM18,0)</f>
        <v>0</v>
      </c>
      <c r="BR18" s="2991">
        <f t="shared" ref="BR18:BR109" si="33">IF($D18="是",AN18-AO18,0)</f>
        <v>0</v>
      </c>
      <c r="BS18" s="2991">
        <f t="shared" ref="BS18:BS109" si="34">IF($D18="是",AP18-AQ18,0)</f>
        <v>0</v>
      </c>
      <c r="BT18" s="2995">
        <f t="shared" ref="BT18:BT109" si="35">IF($D18="是",AR18-AS18,0)</f>
        <v>0</v>
      </c>
    </row>
    <row r="19" spans="1:72" s="2996" customFormat="1" ht="14.5">
      <c r="A19" s="3025" t="s">
        <v>3374</v>
      </c>
      <c r="B19" s="2998"/>
      <c r="C19" s="2998" t="s">
        <v>3381</v>
      </c>
      <c r="D19" s="2999" t="s">
        <v>3056</v>
      </c>
      <c r="E19" s="3000">
        <f t="shared" si="7"/>
        <v>3241.81</v>
      </c>
      <c r="F19" s="3001"/>
      <c r="G19" s="3002">
        <f t="shared" si="8"/>
        <v>6598.59</v>
      </c>
      <c r="H19" s="3003">
        <f t="shared" si="9"/>
        <v>6598.59</v>
      </c>
      <c r="I19" s="3004">
        <v>6598.59</v>
      </c>
      <c r="J19" s="3004">
        <f>已售清单!J11</f>
        <v>2513.9000000000005</v>
      </c>
      <c r="K19" s="3004"/>
      <c r="L19" s="3004"/>
      <c r="M19" s="3004"/>
      <c r="N19" s="3004"/>
      <c r="O19" s="3004"/>
      <c r="P19" s="3004"/>
      <c r="Q19" s="3004"/>
      <c r="R19" s="3004"/>
      <c r="S19" s="3004"/>
      <c r="T19" s="3004"/>
      <c r="U19" s="3004"/>
      <c r="V19" s="3004"/>
      <c r="W19" s="3004"/>
      <c r="X19" s="3004"/>
      <c r="Y19" s="3004"/>
      <c r="Z19" s="3004"/>
      <c r="AA19" s="3004"/>
      <c r="AB19" s="3004"/>
      <c r="AC19" s="3000">
        <f t="shared" si="10"/>
        <v>0</v>
      </c>
      <c r="AD19" s="3005"/>
      <c r="AE19" s="3005"/>
      <c r="AF19" s="3005"/>
      <c r="AG19" s="3005"/>
      <c r="AH19" s="3005"/>
      <c r="AI19" s="3005"/>
      <c r="AJ19" s="3005"/>
      <c r="AK19" s="3005"/>
      <c r="AL19" s="3005"/>
      <c r="AM19" s="3005"/>
      <c r="AN19" s="3005"/>
      <c r="AO19" s="3005"/>
      <c r="AP19" s="3005"/>
      <c r="AQ19" s="3005"/>
      <c r="AR19" s="3005"/>
      <c r="AS19" s="3005"/>
      <c r="AT19" s="3006"/>
      <c r="AU19" s="2992"/>
      <c r="AV19" s="2993" t="str">
        <f t="shared" si="11"/>
        <v>测绘报告</v>
      </c>
      <c r="AW19" s="2993">
        <f t="shared" si="12"/>
        <v>0</v>
      </c>
      <c r="AX19" s="2993" t="str">
        <f t="shared" si="13"/>
        <v>39#住宅</v>
      </c>
      <c r="AY19" s="2994">
        <f t="shared" si="14"/>
        <v>2006.76</v>
      </c>
      <c r="AZ19" s="2991">
        <f t="shared" si="15"/>
        <v>4084.6899999999996</v>
      </c>
      <c r="BA19" s="2991">
        <f t="shared" si="16"/>
        <v>4084.6899999999996</v>
      </c>
      <c r="BB19" s="2991">
        <f t="shared" si="17"/>
        <v>4084.6899999999996</v>
      </c>
      <c r="BC19" s="2991">
        <f t="shared" si="18"/>
        <v>0</v>
      </c>
      <c r="BD19" s="2991">
        <f t="shared" si="19"/>
        <v>0</v>
      </c>
      <c r="BE19" s="2991">
        <f t="shared" si="20"/>
        <v>0</v>
      </c>
      <c r="BF19" s="2991">
        <f t="shared" si="21"/>
        <v>0</v>
      </c>
      <c r="BG19" s="2991">
        <f t="shared" si="22"/>
        <v>0</v>
      </c>
      <c r="BH19" s="2991">
        <f t="shared" si="23"/>
        <v>0</v>
      </c>
      <c r="BI19" s="2991">
        <f t="shared" si="24"/>
        <v>0</v>
      </c>
      <c r="BJ19" s="2991">
        <f t="shared" si="25"/>
        <v>0</v>
      </c>
      <c r="BK19" s="2991">
        <f t="shared" si="26"/>
        <v>0</v>
      </c>
      <c r="BL19" s="2991">
        <f t="shared" si="27"/>
        <v>0</v>
      </c>
      <c r="BM19" s="2991">
        <f t="shared" si="28"/>
        <v>0</v>
      </c>
      <c r="BN19" s="2991">
        <f t="shared" si="29"/>
        <v>0</v>
      </c>
      <c r="BO19" s="2991">
        <f t="shared" si="30"/>
        <v>0</v>
      </c>
      <c r="BP19" s="2991">
        <f t="shared" si="31"/>
        <v>0</v>
      </c>
      <c r="BQ19" s="2991">
        <f t="shared" si="32"/>
        <v>0</v>
      </c>
      <c r="BR19" s="2991">
        <f t="shared" si="33"/>
        <v>0</v>
      </c>
      <c r="BS19" s="2991">
        <f t="shared" si="34"/>
        <v>0</v>
      </c>
      <c r="BT19" s="2995">
        <f t="shared" si="35"/>
        <v>0</v>
      </c>
    </row>
    <row r="20" spans="1:72" s="2996" customFormat="1" ht="14.5">
      <c r="A20" s="3025" t="s">
        <v>3374</v>
      </c>
      <c r="B20" s="2998"/>
      <c r="C20" s="2998" t="s">
        <v>3382</v>
      </c>
      <c r="D20" s="2999" t="s">
        <v>3056</v>
      </c>
      <c r="E20" s="3000">
        <f t="shared" si="7"/>
        <v>2962.85</v>
      </c>
      <c r="F20" s="3001"/>
      <c r="G20" s="3002">
        <f t="shared" si="8"/>
        <v>6030.78</v>
      </c>
      <c r="H20" s="3003">
        <f t="shared" si="9"/>
        <v>6030.78</v>
      </c>
      <c r="I20" s="3004">
        <v>6030.78</v>
      </c>
      <c r="J20" s="3004">
        <f>已售清单!J12</f>
        <v>1501.4300000000003</v>
      </c>
      <c r="K20" s="3004"/>
      <c r="L20" s="3004"/>
      <c r="M20" s="3004"/>
      <c r="N20" s="3004"/>
      <c r="O20" s="3004"/>
      <c r="P20" s="3004"/>
      <c r="Q20" s="3004"/>
      <c r="R20" s="3004"/>
      <c r="S20" s="3004"/>
      <c r="T20" s="3004"/>
      <c r="U20" s="3004"/>
      <c r="V20" s="3004"/>
      <c r="W20" s="3004"/>
      <c r="X20" s="3004"/>
      <c r="Y20" s="3004"/>
      <c r="Z20" s="3004"/>
      <c r="AA20" s="3004"/>
      <c r="AB20" s="3004"/>
      <c r="AC20" s="3000">
        <f t="shared" si="10"/>
        <v>0</v>
      </c>
      <c r="AD20" s="3005"/>
      <c r="AE20" s="3005"/>
      <c r="AF20" s="3005"/>
      <c r="AG20" s="3005"/>
      <c r="AH20" s="3005"/>
      <c r="AI20" s="3005"/>
      <c r="AJ20" s="3005"/>
      <c r="AK20" s="3005"/>
      <c r="AL20" s="3005"/>
      <c r="AM20" s="3005"/>
      <c r="AN20" s="3005"/>
      <c r="AO20" s="3005"/>
      <c r="AP20" s="3005"/>
      <c r="AQ20" s="3005"/>
      <c r="AR20" s="3005"/>
      <c r="AS20" s="3005"/>
      <c r="AT20" s="3006"/>
      <c r="AU20" s="2992"/>
      <c r="AV20" s="2993" t="str">
        <f t="shared" si="11"/>
        <v>测绘报告</v>
      </c>
      <c r="AW20" s="2993">
        <f t="shared" si="12"/>
        <v>0</v>
      </c>
      <c r="AX20" s="2993" t="str">
        <f t="shared" si="13"/>
        <v>40#住宅</v>
      </c>
      <c r="AY20" s="2994">
        <f t="shared" si="14"/>
        <v>2225.21</v>
      </c>
      <c r="AZ20" s="2991">
        <f t="shared" si="15"/>
        <v>4529.3499999999995</v>
      </c>
      <c r="BA20" s="2991">
        <f t="shared" si="16"/>
        <v>4529.3499999999995</v>
      </c>
      <c r="BB20" s="2991">
        <f t="shared" si="17"/>
        <v>4529.3499999999995</v>
      </c>
      <c r="BC20" s="2991">
        <f t="shared" si="18"/>
        <v>0</v>
      </c>
      <c r="BD20" s="2991">
        <f t="shared" si="19"/>
        <v>0</v>
      </c>
      <c r="BE20" s="2991">
        <f t="shared" si="20"/>
        <v>0</v>
      </c>
      <c r="BF20" s="2991">
        <f t="shared" si="21"/>
        <v>0</v>
      </c>
      <c r="BG20" s="2991">
        <f t="shared" si="22"/>
        <v>0</v>
      </c>
      <c r="BH20" s="2991">
        <f t="shared" si="23"/>
        <v>0</v>
      </c>
      <c r="BI20" s="2991">
        <f t="shared" si="24"/>
        <v>0</v>
      </c>
      <c r="BJ20" s="2991">
        <f t="shared" si="25"/>
        <v>0</v>
      </c>
      <c r="BK20" s="2991">
        <f t="shared" si="26"/>
        <v>0</v>
      </c>
      <c r="BL20" s="2991">
        <f t="shared" si="27"/>
        <v>0</v>
      </c>
      <c r="BM20" s="2991">
        <f t="shared" si="28"/>
        <v>0</v>
      </c>
      <c r="BN20" s="2991">
        <f t="shared" si="29"/>
        <v>0</v>
      </c>
      <c r="BO20" s="2991">
        <f t="shared" si="30"/>
        <v>0</v>
      </c>
      <c r="BP20" s="2991">
        <f t="shared" si="31"/>
        <v>0</v>
      </c>
      <c r="BQ20" s="2991">
        <f t="shared" si="32"/>
        <v>0</v>
      </c>
      <c r="BR20" s="2991">
        <f t="shared" si="33"/>
        <v>0</v>
      </c>
      <c r="BS20" s="2991">
        <f t="shared" si="34"/>
        <v>0</v>
      </c>
      <c r="BT20" s="2995">
        <f t="shared" si="35"/>
        <v>0</v>
      </c>
    </row>
    <row r="21" spans="1:72" s="2996" customFormat="1" ht="14.5">
      <c r="A21" s="3025" t="s">
        <v>3374</v>
      </c>
      <c r="B21" s="2998"/>
      <c r="C21" s="2998" t="s">
        <v>3383</v>
      </c>
      <c r="D21" s="2999" t="s">
        <v>3056</v>
      </c>
      <c r="E21" s="3000">
        <f t="shared" si="7"/>
        <v>1932.88</v>
      </c>
      <c r="F21" s="3001"/>
      <c r="G21" s="3002">
        <f t="shared" si="8"/>
        <v>3934.32</v>
      </c>
      <c r="H21" s="3003">
        <f t="shared" si="9"/>
        <v>3934.32</v>
      </c>
      <c r="I21" s="3004">
        <v>3934.32</v>
      </c>
      <c r="J21" s="3004">
        <f>已售清单!J13</f>
        <v>1295.9499999999998</v>
      </c>
      <c r="K21" s="3004"/>
      <c r="L21" s="3004"/>
      <c r="M21" s="3004"/>
      <c r="N21" s="3004"/>
      <c r="O21" s="3004"/>
      <c r="P21" s="3004"/>
      <c r="Q21" s="3004"/>
      <c r="R21" s="3004"/>
      <c r="S21" s="3004"/>
      <c r="T21" s="3004"/>
      <c r="U21" s="3004"/>
      <c r="V21" s="3004"/>
      <c r="W21" s="3004"/>
      <c r="X21" s="3004"/>
      <c r="Y21" s="3004"/>
      <c r="Z21" s="3004"/>
      <c r="AA21" s="3004"/>
      <c r="AB21" s="3004"/>
      <c r="AC21" s="3000">
        <f t="shared" si="10"/>
        <v>0</v>
      </c>
      <c r="AD21" s="3005"/>
      <c r="AE21" s="3005"/>
      <c r="AF21" s="3005"/>
      <c r="AG21" s="3005"/>
      <c r="AH21" s="3005"/>
      <c r="AI21" s="3005"/>
      <c r="AJ21" s="3005"/>
      <c r="AK21" s="3005"/>
      <c r="AL21" s="3005"/>
      <c r="AM21" s="3005"/>
      <c r="AN21" s="3005"/>
      <c r="AO21" s="3005"/>
      <c r="AP21" s="3005"/>
      <c r="AQ21" s="3005"/>
      <c r="AR21" s="3005"/>
      <c r="AS21" s="3005"/>
      <c r="AT21" s="3006"/>
      <c r="AU21" s="2992"/>
      <c r="AV21" s="2993" t="str">
        <f t="shared" si="11"/>
        <v>测绘报告</v>
      </c>
      <c r="AW21" s="2993">
        <f t="shared" si="12"/>
        <v>0</v>
      </c>
      <c r="AX21" s="2993" t="str">
        <f t="shared" si="13"/>
        <v>41#住宅</v>
      </c>
      <c r="AY21" s="2994">
        <f t="shared" si="14"/>
        <v>1296.2</v>
      </c>
      <c r="AZ21" s="2991">
        <f t="shared" si="15"/>
        <v>2638.3700000000003</v>
      </c>
      <c r="BA21" s="2991">
        <f t="shared" si="16"/>
        <v>2638.3700000000003</v>
      </c>
      <c r="BB21" s="2991">
        <f t="shared" si="17"/>
        <v>2638.3700000000003</v>
      </c>
      <c r="BC21" s="2991">
        <f t="shared" si="18"/>
        <v>0</v>
      </c>
      <c r="BD21" s="2991">
        <f t="shared" si="19"/>
        <v>0</v>
      </c>
      <c r="BE21" s="2991">
        <f t="shared" si="20"/>
        <v>0</v>
      </c>
      <c r="BF21" s="2991">
        <f t="shared" si="21"/>
        <v>0</v>
      </c>
      <c r="BG21" s="2991">
        <f t="shared" si="22"/>
        <v>0</v>
      </c>
      <c r="BH21" s="2991">
        <f t="shared" si="23"/>
        <v>0</v>
      </c>
      <c r="BI21" s="2991">
        <f t="shared" si="24"/>
        <v>0</v>
      </c>
      <c r="BJ21" s="2991">
        <f t="shared" si="25"/>
        <v>0</v>
      </c>
      <c r="BK21" s="2991">
        <f t="shared" si="26"/>
        <v>0</v>
      </c>
      <c r="BL21" s="2991">
        <f t="shared" si="27"/>
        <v>0</v>
      </c>
      <c r="BM21" s="2991">
        <f t="shared" si="28"/>
        <v>0</v>
      </c>
      <c r="BN21" s="2991">
        <f t="shared" si="29"/>
        <v>0</v>
      </c>
      <c r="BO21" s="2991">
        <f t="shared" si="30"/>
        <v>0</v>
      </c>
      <c r="BP21" s="2991">
        <f t="shared" si="31"/>
        <v>0</v>
      </c>
      <c r="BQ21" s="2991">
        <f t="shared" si="32"/>
        <v>0</v>
      </c>
      <c r="BR21" s="2991">
        <f t="shared" si="33"/>
        <v>0</v>
      </c>
      <c r="BS21" s="2991">
        <f t="shared" si="34"/>
        <v>0</v>
      </c>
      <c r="BT21" s="2995">
        <f t="shared" si="35"/>
        <v>0</v>
      </c>
    </row>
    <row r="22" spans="1:72" s="2996" customFormat="1" ht="14.5">
      <c r="A22" s="3025" t="s">
        <v>3374</v>
      </c>
      <c r="B22" s="2998"/>
      <c r="C22" s="2998" t="s">
        <v>3384</v>
      </c>
      <c r="D22" s="2999" t="s">
        <v>3056</v>
      </c>
      <c r="E22" s="3000">
        <f t="shared" si="7"/>
        <v>3091.95</v>
      </c>
      <c r="F22" s="3001"/>
      <c r="G22" s="3002">
        <f t="shared" si="8"/>
        <v>6293.56</v>
      </c>
      <c r="H22" s="3003">
        <f t="shared" si="9"/>
        <v>6293.56</v>
      </c>
      <c r="I22" s="3004">
        <v>6293.56</v>
      </c>
      <c r="J22" s="3004">
        <f>已售清单!J14</f>
        <v>392.07000000000005</v>
      </c>
      <c r="K22" s="3004"/>
      <c r="L22" s="3004"/>
      <c r="M22" s="3004"/>
      <c r="N22" s="3004"/>
      <c r="O22" s="3004"/>
      <c r="P22" s="3004"/>
      <c r="Q22" s="3004"/>
      <c r="R22" s="3004"/>
      <c r="S22" s="3004"/>
      <c r="T22" s="3004"/>
      <c r="U22" s="3004"/>
      <c r="V22" s="3004"/>
      <c r="W22" s="3004"/>
      <c r="X22" s="3004"/>
      <c r="Y22" s="3004"/>
      <c r="Z22" s="3004"/>
      <c r="AA22" s="3004"/>
      <c r="AB22" s="3004"/>
      <c r="AC22" s="3000">
        <f t="shared" si="10"/>
        <v>0</v>
      </c>
      <c r="AD22" s="3005"/>
      <c r="AE22" s="3005"/>
      <c r="AF22" s="3005"/>
      <c r="AG22" s="3005"/>
      <c r="AH22" s="3005"/>
      <c r="AI22" s="3005"/>
      <c r="AJ22" s="3005"/>
      <c r="AK22" s="3005"/>
      <c r="AL22" s="3005"/>
      <c r="AM22" s="3005"/>
      <c r="AN22" s="3005"/>
      <c r="AO22" s="3005"/>
      <c r="AP22" s="3005"/>
      <c r="AQ22" s="3005"/>
      <c r="AR22" s="3005"/>
      <c r="AS22" s="3005"/>
      <c r="AT22" s="3006"/>
      <c r="AU22" s="2992"/>
      <c r="AV22" s="2993" t="str">
        <f t="shared" si="11"/>
        <v>测绘报告</v>
      </c>
      <c r="AW22" s="2993">
        <f t="shared" si="12"/>
        <v>0</v>
      </c>
      <c r="AX22" s="2993" t="str">
        <f t="shared" si="13"/>
        <v>42#住宅</v>
      </c>
      <c r="AY22" s="2994">
        <f t="shared" si="14"/>
        <v>2899.33</v>
      </c>
      <c r="AZ22" s="2991">
        <f t="shared" si="15"/>
        <v>5901.4900000000007</v>
      </c>
      <c r="BA22" s="2991">
        <f t="shared" si="16"/>
        <v>5901.4900000000007</v>
      </c>
      <c r="BB22" s="2991">
        <f t="shared" si="17"/>
        <v>5901.4900000000007</v>
      </c>
      <c r="BC22" s="2991">
        <f t="shared" si="18"/>
        <v>0</v>
      </c>
      <c r="BD22" s="2991">
        <f t="shared" si="19"/>
        <v>0</v>
      </c>
      <c r="BE22" s="2991">
        <f t="shared" si="20"/>
        <v>0</v>
      </c>
      <c r="BF22" s="2991">
        <f t="shared" si="21"/>
        <v>0</v>
      </c>
      <c r="BG22" s="2991">
        <f t="shared" si="22"/>
        <v>0</v>
      </c>
      <c r="BH22" s="2991">
        <f t="shared" si="23"/>
        <v>0</v>
      </c>
      <c r="BI22" s="2991">
        <f t="shared" si="24"/>
        <v>0</v>
      </c>
      <c r="BJ22" s="2991">
        <f t="shared" si="25"/>
        <v>0</v>
      </c>
      <c r="BK22" s="2991">
        <f t="shared" si="26"/>
        <v>0</v>
      </c>
      <c r="BL22" s="2991">
        <f t="shared" si="27"/>
        <v>0</v>
      </c>
      <c r="BM22" s="2991">
        <f t="shared" si="28"/>
        <v>0</v>
      </c>
      <c r="BN22" s="2991">
        <f t="shared" si="29"/>
        <v>0</v>
      </c>
      <c r="BO22" s="2991">
        <f t="shared" si="30"/>
        <v>0</v>
      </c>
      <c r="BP22" s="2991">
        <f t="shared" si="31"/>
        <v>0</v>
      </c>
      <c r="BQ22" s="2991">
        <f t="shared" si="32"/>
        <v>0</v>
      </c>
      <c r="BR22" s="2991">
        <f t="shared" si="33"/>
        <v>0</v>
      </c>
      <c r="BS22" s="2991">
        <f t="shared" si="34"/>
        <v>0</v>
      </c>
      <c r="BT22" s="2995">
        <f t="shared" si="35"/>
        <v>0</v>
      </c>
    </row>
    <row r="23" spans="1:72" s="2996" customFormat="1" ht="14.5">
      <c r="A23" s="3025" t="s">
        <v>3373</v>
      </c>
      <c r="B23" s="2998"/>
      <c r="C23" s="2998" t="s">
        <v>3385</v>
      </c>
      <c r="D23" s="2999" t="s">
        <v>3056</v>
      </c>
      <c r="E23" s="3000">
        <f t="shared" si="7"/>
        <v>483.1</v>
      </c>
      <c r="F23" s="3001"/>
      <c r="G23" s="3002">
        <f t="shared" si="8"/>
        <v>983.33</v>
      </c>
      <c r="H23" s="3003">
        <f t="shared" si="9"/>
        <v>661.2</v>
      </c>
      <c r="I23" s="3004"/>
      <c r="J23" s="3004"/>
      <c r="K23" s="3004">
        <v>661.2</v>
      </c>
      <c r="L23" s="3004"/>
      <c r="M23" s="3004"/>
      <c r="N23" s="3004"/>
      <c r="O23" s="3004"/>
      <c r="P23" s="3004"/>
      <c r="Q23" s="3004"/>
      <c r="R23" s="3004"/>
      <c r="S23" s="3004"/>
      <c r="T23" s="3004"/>
      <c r="U23" s="3004"/>
      <c r="V23" s="3004"/>
      <c r="W23" s="3004"/>
      <c r="X23" s="3004"/>
      <c r="Y23" s="3004"/>
      <c r="Z23" s="3004"/>
      <c r="AA23" s="3004"/>
      <c r="AB23" s="3004"/>
      <c r="AC23" s="3000">
        <f t="shared" si="10"/>
        <v>322.13</v>
      </c>
      <c r="AD23" s="3005"/>
      <c r="AE23" s="3005"/>
      <c r="AF23" s="3005"/>
      <c r="AG23" s="3005"/>
      <c r="AH23" s="3005"/>
      <c r="AI23" s="3005"/>
      <c r="AJ23" s="3005"/>
      <c r="AK23" s="3005"/>
      <c r="AL23" s="3005"/>
      <c r="AM23" s="3005"/>
      <c r="AN23" s="3005">
        <v>322.13</v>
      </c>
      <c r="AO23" s="3005"/>
      <c r="AP23" s="3005"/>
      <c r="AQ23" s="3005"/>
      <c r="AR23" s="3005"/>
      <c r="AS23" s="3005"/>
      <c r="AT23" s="3006"/>
      <c r="AU23" s="2992"/>
      <c r="AV23" s="2993" t="str">
        <f t="shared" si="11"/>
        <v>规证</v>
      </c>
      <c r="AW23" s="2993">
        <f t="shared" si="12"/>
        <v>0</v>
      </c>
      <c r="AX23" s="2993" t="str">
        <f t="shared" si="13"/>
        <v>30#商业</v>
      </c>
      <c r="AY23" s="2994">
        <f t="shared" si="14"/>
        <v>483.1</v>
      </c>
      <c r="AZ23" s="2991">
        <f t="shared" si="15"/>
        <v>983.33</v>
      </c>
      <c r="BA23" s="2991">
        <f t="shared" si="16"/>
        <v>661.2</v>
      </c>
      <c r="BB23" s="2991">
        <f t="shared" si="17"/>
        <v>0</v>
      </c>
      <c r="BC23" s="2991">
        <f t="shared" si="18"/>
        <v>661.2</v>
      </c>
      <c r="BD23" s="2991">
        <f t="shared" si="19"/>
        <v>0</v>
      </c>
      <c r="BE23" s="2991">
        <f t="shared" si="20"/>
        <v>0</v>
      </c>
      <c r="BF23" s="2991">
        <f t="shared" si="21"/>
        <v>0</v>
      </c>
      <c r="BG23" s="2991">
        <f t="shared" si="22"/>
        <v>0</v>
      </c>
      <c r="BH23" s="2991">
        <f t="shared" si="23"/>
        <v>0</v>
      </c>
      <c r="BI23" s="2991">
        <f t="shared" si="24"/>
        <v>0</v>
      </c>
      <c r="BJ23" s="2991">
        <f t="shared" si="25"/>
        <v>0</v>
      </c>
      <c r="BK23" s="2991">
        <f t="shared" si="26"/>
        <v>0</v>
      </c>
      <c r="BL23" s="2991">
        <f t="shared" si="27"/>
        <v>322.13</v>
      </c>
      <c r="BM23" s="2991">
        <f t="shared" si="28"/>
        <v>0</v>
      </c>
      <c r="BN23" s="2991">
        <f t="shared" si="29"/>
        <v>0</v>
      </c>
      <c r="BO23" s="2991">
        <f t="shared" si="30"/>
        <v>0</v>
      </c>
      <c r="BP23" s="2991">
        <f t="shared" si="31"/>
        <v>0</v>
      </c>
      <c r="BQ23" s="2991">
        <f t="shared" si="32"/>
        <v>0</v>
      </c>
      <c r="BR23" s="2991">
        <f t="shared" si="33"/>
        <v>322.13</v>
      </c>
      <c r="BS23" s="2991">
        <f t="shared" si="34"/>
        <v>0</v>
      </c>
      <c r="BT23" s="2995">
        <f t="shared" si="35"/>
        <v>0</v>
      </c>
    </row>
    <row r="24" spans="1:72" s="2996" customFormat="1" ht="28.5">
      <c r="A24" s="3025" t="s">
        <v>3373</v>
      </c>
      <c r="B24" s="2998"/>
      <c r="C24" s="3037" t="s">
        <v>3386</v>
      </c>
      <c r="D24" s="2999" t="s">
        <v>3056</v>
      </c>
      <c r="E24" s="3000">
        <f t="shared" si="7"/>
        <v>91.85</v>
      </c>
      <c r="F24" s="3001"/>
      <c r="G24" s="3002">
        <f t="shared" si="8"/>
        <v>186.96</v>
      </c>
      <c r="H24" s="3003">
        <f t="shared" si="9"/>
        <v>0</v>
      </c>
      <c r="I24" s="3004"/>
      <c r="J24" s="3004"/>
      <c r="K24" s="3004"/>
      <c r="L24" s="3004"/>
      <c r="M24" s="3004"/>
      <c r="N24" s="3004"/>
      <c r="O24" s="3004"/>
      <c r="P24" s="3004"/>
      <c r="Q24" s="3004"/>
      <c r="R24" s="3004"/>
      <c r="S24" s="3004"/>
      <c r="T24" s="3004"/>
      <c r="U24" s="3004"/>
      <c r="V24" s="3004"/>
      <c r="W24" s="3004"/>
      <c r="X24" s="3004"/>
      <c r="Y24" s="3004"/>
      <c r="Z24" s="3004"/>
      <c r="AA24" s="3004"/>
      <c r="AB24" s="3004"/>
      <c r="AC24" s="3000">
        <f t="shared" si="10"/>
        <v>186.96</v>
      </c>
      <c r="AD24" s="3005"/>
      <c r="AE24" s="3005"/>
      <c r="AF24" s="3005"/>
      <c r="AG24" s="3005"/>
      <c r="AH24" s="3005"/>
      <c r="AI24" s="3005"/>
      <c r="AJ24" s="3005"/>
      <c r="AK24" s="3005"/>
      <c r="AL24" s="3005">
        <v>186.96</v>
      </c>
      <c r="AM24" s="3005">
        <f>AL24</f>
        <v>186.96</v>
      </c>
      <c r="AN24" s="3005"/>
      <c r="AO24" s="3005"/>
      <c r="AP24" s="3005"/>
      <c r="AQ24" s="3005"/>
      <c r="AR24" s="3005"/>
      <c r="AS24" s="3005"/>
      <c r="AT24" s="3006"/>
      <c r="AU24" s="2992"/>
      <c r="AV24" s="2993" t="str">
        <f t="shared" si="11"/>
        <v>规证</v>
      </c>
      <c r="AW24" s="2993">
        <f t="shared" si="12"/>
        <v>0</v>
      </c>
      <c r="AX24" s="2993" t="str">
        <f t="shared" si="13"/>
        <v>低基配电室1</v>
      </c>
      <c r="AY24" s="2994">
        <f t="shared" si="14"/>
        <v>0</v>
      </c>
      <c r="AZ24" s="2991">
        <f t="shared" si="15"/>
        <v>0</v>
      </c>
      <c r="BA24" s="2991">
        <f t="shared" si="16"/>
        <v>0</v>
      </c>
      <c r="BB24" s="2991">
        <f t="shared" si="17"/>
        <v>0</v>
      </c>
      <c r="BC24" s="2991">
        <f t="shared" si="18"/>
        <v>0</v>
      </c>
      <c r="BD24" s="2991">
        <f t="shared" si="19"/>
        <v>0</v>
      </c>
      <c r="BE24" s="2991">
        <f t="shared" si="20"/>
        <v>0</v>
      </c>
      <c r="BF24" s="2991">
        <f t="shared" si="21"/>
        <v>0</v>
      </c>
      <c r="BG24" s="2991">
        <f t="shared" si="22"/>
        <v>0</v>
      </c>
      <c r="BH24" s="2991">
        <f t="shared" si="23"/>
        <v>0</v>
      </c>
      <c r="BI24" s="2991">
        <f t="shared" si="24"/>
        <v>0</v>
      </c>
      <c r="BJ24" s="2991">
        <f t="shared" si="25"/>
        <v>0</v>
      </c>
      <c r="BK24" s="2991">
        <f t="shared" si="26"/>
        <v>0</v>
      </c>
      <c r="BL24" s="2991">
        <f t="shared" si="27"/>
        <v>0</v>
      </c>
      <c r="BM24" s="2991">
        <f t="shared" si="28"/>
        <v>0</v>
      </c>
      <c r="BN24" s="2991">
        <f t="shared" si="29"/>
        <v>0</v>
      </c>
      <c r="BO24" s="2991">
        <f t="shared" si="30"/>
        <v>0</v>
      </c>
      <c r="BP24" s="2991">
        <f t="shared" si="31"/>
        <v>0</v>
      </c>
      <c r="BQ24" s="2991">
        <f t="shared" si="32"/>
        <v>0</v>
      </c>
      <c r="BR24" s="2991">
        <f t="shared" si="33"/>
        <v>0</v>
      </c>
      <c r="BS24" s="2991">
        <f t="shared" si="34"/>
        <v>0</v>
      </c>
      <c r="BT24" s="2995">
        <f t="shared" si="35"/>
        <v>0</v>
      </c>
    </row>
    <row r="25" spans="1:72" s="2996" customFormat="1" ht="28.5">
      <c r="A25" s="3025" t="s">
        <v>3373</v>
      </c>
      <c r="B25" s="2998"/>
      <c r="C25" s="3037" t="s">
        <v>3387</v>
      </c>
      <c r="D25" s="2999" t="s">
        <v>3056</v>
      </c>
      <c r="E25" s="3000">
        <f t="shared" si="7"/>
        <v>88.43</v>
      </c>
      <c r="F25" s="3001"/>
      <c r="G25" s="3002">
        <f t="shared" si="8"/>
        <v>180</v>
      </c>
      <c r="H25" s="3003">
        <f t="shared" si="9"/>
        <v>0</v>
      </c>
      <c r="I25" s="3004"/>
      <c r="J25" s="3004"/>
      <c r="K25" s="3004"/>
      <c r="L25" s="3004"/>
      <c r="M25" s="3004"/>
      <c r="N25" s="3004"/>
      <c r="O25" s="3004"/>
      <c r="P25" s="3004"/>
      <c r="Q25" s="3004"/>
      <c r="R25" s="3004"/>
      <c r="S25" s="3004"/>
      <c r="T25" s="3004"/>
      <c r="U25" s="3004"/>
      <c r="V25" s="3004"/>
      <c r="W25" s="3004"/>
      <c r="X25" s="3004"/>
      <c r="Y25" s="3004"/>
      <c r="Z25" s="3004"/>
      <c r="AA25" s="3004"/>
      <c r="AB25" s="3004"/>
      <c r="AC25" s="3000">
        <f t="shared" si="10"/>
        <v>180</v>
      </c>
      <c r="AD25" s="3005"/>
      <c r="AE25" s="3005"/>
      <c r="AF25" s="3005"/>
      <c r="AG25" s="3005"/>
      <c r="AH25" s="3005"/>
      <c r="AI25" s="3005"/>
      <c r="AJ25" s="3005"/>
      <c r="AK25" s="3005"/>
      <c r="AL25" s="3005">
        <v>180</v>
      </c>
      <c r="AM25" s="3005">
        <f>AL25</f>
        <v>180</v>
      </c>
      <c r="AN25" s="3005"/>
      <c r="AO25" s="3005"/>
      <c r="AP25" s="3005"/>
      <c r="AQ25" s="3005"/>
      <c r="AR25" s="3005"/>
      <c r="AS25" s="3005"/>
      <c r="AT25" s="3006"/>
      <c r="AU25" s="2992"/>
      <c r="AV25" s="2993" t="str">
        <f t="shared" si="11"/>
        <v>规证</v>
      </c>
      <c r="AW25" s="2993">
        <f t="shared" si="12"/>
        <v>0</v>
      </c>
      <c r="AX25" s="2993" t="str">
        <f t="shared" si="13"/>
        <v>低基配电室2</v>
      </c>
      <c r="AY25" s="2994">
        <f t="shared" si="14"/>
        <v>0</v>
      </c>
      <c r="AZ25" s="2991">
        <f t="shared" si="15"/>
        <v>0</v>
      </c>
      <c r="BA25" s="2991">
        <f t="shared" si="16"/>
        <v>0</v>
      </c>
      <c r="BB25" s="2991">
        <f t="shared" si="17"/>
        <v>0</v>
      </c>
      <c r="BC25" s="2991">
        <f t="shared" si="18"/>
        <v>0</v>
      </c>
      <c r="BD25" s="2991">
        <f t="shared" si="19"/>
        <v>0</v>
      </c>
      <c r="BE25" s="2991">
        <f t="shared" si="20"/>
        <v>0</v>
      </c>
      <c r="BF25" s="2991">
        <f t="shared" si="21"/>
        <v>0</v>
      </c>
      <c r="BG25" s="2991">
        <f t="shared" si="22"/>
        <v>0</v>
      </c>
      <c r="BH25" s="2991">
        <f t="shared" si="23"/>
        <v>0</v>
      </c>
      <c r="BI25" s="2991">
        <f t="shared" si="24"/>
        <v>0</v>
      </c>
      <c r="BJ25" s="2991">
        <f t="shared" si="25"/>
        <v>0</v>
      </c>
      <c r="BK25" s="2991">
        <f t="shared" si="26"/>
        <v>0</v>
      </c>
      <c r="BL25" s="2991">
        <f t="shared" si="27"/>
        <v>0</v>
      </c>
      <c r="BM25" s="2991">
        <f t="shared" si="28"/>
        <v>0</v>
      </c>
      <c r="BN25" s="2991">
        <f t="shared" si="29"/>
        <v>0</v>
      </c>
      <c r="BO25" s="2991">
        <f t="shared" si="30"/>
        <v>0</v>
      </c>
      <c r="BP25" s="2991">
        <f t="shared" si="31"/>
        <v>0</v>
      </c>
      <c r="BQ25" s="2991">
        <f t="shared" si="32"/>
        <v>0</v>
      </c>
      <c r="BR25" s="2991">
        <f t="shared" si="33"/>
        <v>0</v>
      </c>
      <c r="BS25" s="2991">
        <f t="shared" si="34"/>
        <v>0</v>
      </c>
      <c r="BT25" s="2995">
        <f t="shared" si="35"/>
        <v>0</v>
      </c>
    </row>
    <row r="26" spans="1:72" s="2996" customFormat="1" ht="28">
      <c r="A26" s="3025" t="s">
        <v>3373</v>
      </c>
      <c r="B26" s="2998"/>
      <c r="C26" s="3038" t="s">
        <v>3072</v>
      </c>
      <c r="D26" s="2999" t="s">
        <v>3056</v>
      </c>
      <c r="E26" s="3000">
        <f t="shared" si="7"/>
        <v>160.41</v>
      </c>
      <c r="F26" s="3001"/>
      <c r="G26" s="3002">
        <f t="shared" si="8"/>
        <v>326.5</v>
      </c>
      <c r="H26" s="3003">
        <f t="shared" si="9"/>
        <v>0</v>
      </c>
      <c r="I26" s="3004"/>
      <c r="J26" s="3004"/>
      <c r="K26" s="3004"/>
      <c r="L26" s="3004"/>
      <c r="M26" s="3004"/>
      <c r="N26" s="3004"/>
      <c r="O26" s="3004"/>
      <c r="P26" s="3004"/>
      <c r="Q26" s="3004"/>
      <c r="R26" s="3004"/>
      <c r="S26" s="3004"/>
      <c r="T26" s="3004"/>
      <c r="U26" s="3004"/>
      <c r="V26" s="3004"/>
      <c r="W26" s="3004"/>
      <c r="X26" s="3004"/>
      <c r="Y26" s="3004"/>
      <c r="Z26" s="3004"/>
      <c r="AA26" s="3004"/>
      <c r="AB26" s="3004"/>
      <c r="AC26" s="3000">
        <f t="shared" si="10"/>
        <v>326.5</v>
      </c>
      <c r="AD26" s="3005"/>
      <c r="AE26" s="3005"/>
      <c r="AF26" s="3005"/>
      <c r="AG26" s="3005"/>
      <c r="AH26" s="3005"/>
      <c r="AI26" s="3005"/>
      <c r="AJ26" s="3005"/>
      <c r="AK26" s="3005"/>
      <c r="AL26" s="3005">
        <v>26.5</v>
      </c>
      <c r="AM26" s="3005">
        <f>AL26</f>
        <v>26.5</v>
      </c>
      <c r="AN26" s="3005">
        <v>300</v>
      </c>
      <c r="AO26" s="3005">
        <f>AN26</f>
        <v>300</v>
      </c>
      <c r="AP26" s="3005"/>
      <c r="AQ26" s="3005"/>
      <c r="AR26" s="3005"/>
      <c r="AS26" s="3005"/>
      <c r="AT26" s="3006"/>
      <c r="AU26" s="2992"/>
      <c r="AV26" s="2993" t="str">
        <f t="shared" si="11"/>
        <v>规证</v>
      </c>
      <c r="AW26" s="2993">
        <f t="shared" si="12"/>
        <v>0</v>
      </c>
      <c r="AX26" s="2993" t="str">
        <f t="shared" si="13"/>
        <v>中水处理站</v>
      </c>
      <c r="AY26" s="2994">
        <f t="shared" si="14"/>
        <v>0</v>
      </c>
      <c r="AZ26" s="2991">
        <f t="shared" si="15"/>
        <v>0</v>
      </c>
      <c r="BA26" s="2991">
        <f t="shared" si="16"/>
        <v>0</v>
      </c>
      <c r="BB26" s="2991">
        <f t="shared" si="17"/>
        <v>0</v>
      </c>
      <c r="BC26" s="2991">
        <f t="shared" si="18"/>
        <v>0</v>
      </c>
      <c r="BD26" s="2991">
        <f t="shared" si="19"/>
        <v>0</v>
      </c>
      <c r="BE26" s="2991">
        <f t="shared" si="20"/>
        <v>0</v>
      </c>
      <c r="BF26" s="2991">
        <f t="shared" si="21"/>
        <v>0</v>
      </c>
      <c r="BG26" s="2991">
        <f t="shared" si="22"/>
        <v>0</v>
      </c>
      <c r="BH26" s="2991">
        <f t="shared" si="23"/>
        <v>0</v>
      </c>
      <c r="BI26" s="2991">
        <f t="shared" si="24"/>
        <v>0</v>
      </c>
      <c r="BJ26" s="2991">
        <f t="shared" si="25"/>
        <v>0</v>
      </c>
      <c r="BK26" s="2991">
        <f t="shared" si="26"/>
        <v>0</v>
      </c>
      <c r="BL26" s="2991">
        <f t="shared" si="27"/>
        <v>0</v>
      </c>
      <c r="BM26" s="2991">
        <f t="shared" si="28"/>
        <v>0</v>
      </c>
      <c r="BN26" s="2991">
        <f t="shared" si="29"/>
        <v>0</v>
      </c>
      <c r="BO26" s="2991">
        <f t="shared" si="30"/>
        <v>0</v>
      </c>
      <c r="BP26" s="2991">
        <f t="shared" si="31"/>
        <v>0</v>
      </c>
      <c r="BQ26" s="2991">
        <f t="shared" si="32"/>
        <v>0</v>
      </c>
      <c r="BR26" s="2991">
        <f t="shared" si="33"/>
        <v>0</v>
      </c>
      <c r="BS26" s="2991">
        <f t="shared" si="34"/>
        <v>0</v>
      </c>
      <c r="BT26" s="2995">
        <f t="shared" si="35"/>
        <v>0</v>
      </c>
    </row>
    <row r="27" spans="1:72" s="2996" customFormat="1" ht="14.5">
      <c r="A27" s="3025" t="s">
        <v>3374</v>
      </c>
      <c r="B27" s="3038"/>
      <c r="C27" s="2998" t="s">
        <v>3388</v>
      </c>
      <c r="D27" s="2999" t="s">
        <v>3056</v>
      </c>
      <c r="E27" s="3000">
        <f t="shared" si="7"/>
        <v>2304.96</v>
      </c>
      <c r="F27" s="3001"/>
      <c r="G27" s="3002">
        <f t="shared" si="8"/>
        <v>4691.67</v>
      </c>
      <c r="H27" s="3003">
        <f t="shared" si="9"/>
        <v>4136.8500000000004</v>
      </c>
      <c r="I27" s="3004">
        <v>3468.06</v>
      </c>
      <c r="J27" s="3004">
        <f>已售清单!J3</f>
        <v>3468.0599999999977</v>
      </c>
      <c r="K27" s="3004">
        <v>668.79</v>
      </c>
      <c r="L27" s="3004"/>
      <c r="M27" s="3004"/>
      <c r="N27" s="3004"/>
      <c r="O27" s="3004"/>
      <c r="P27" s="3004"/>
      <c r="Q27" s="3004"/>
      <c r="R27" s="3004"/>
      <c r="S27" s="3004"/>
      <c r="T27" s="3004"/>
      <c r="U27" s="3004"/>
      <c r="V27" s="3004"/>
      <c r="W27" s="3004"/>
      <c r="X27" s="3004"/>
      <c r="Y27" s="3004"/>
      <c r="Z27" s="3004"/>
      <c r="AA27" s="3004"/>
      <c r="AB27" s="3004"/>
      <c r="AC27" s="3000">
        <f t="shared" si="10"/>
        <v>554.81999999999994</v>
      </c>
      <c r="AD27" s="3005">
        <f>212.57+128.32+213.93</f>
        <v>554.81999999999994</v>
      </c>
      <c r="AE27" s="3005">
        <f>AD27</f>
        <v>554.81999999999994</v>
      </c>
      <c r="AF27" s="3005"/>
      <c r="AG27" s="3005"/>
      <c r="AH27" s="3005"/>
      <c r="AI27" s="3005"/>
      <c r="AJ27" s="3005"/>
      <c r="AK27" s="3005"/>
      <c r="AL27" s="3005"/>
      <c r="AM27" s="3005"/>
      <c r="AN27" s="3005"/>
      <c r="AO27" s="3005"/>
      <c r="AP27" s="3005"/>
      <c r="AQ27" s="3005"/>
      <c r="AR27" s="3005"/>
      <c r="AS27" s="3005"/>
      <c r="AT27" s="3006"/>
      <c r="AU27" s="2992"/>
      <c r="AV27" s="2993" t="str">
        <f t="shared" si="11"/>
        <v>测绘报告</v>
      </c>
      <c r="AW27" s="2993">
        <f t="shared" si="12"/>
        <v>0</v>
      </c>
      <c r="AX27" s="2993" t="str">
        <f t="shared" si="13"/>
        <v>23#住宅</v>
      </c>
      <c r="AY27" s="2994">
        <f t="shared" si="14"/>
        <v>328.57</v>
      </c>
      <c r="AZ27" s="2991">
        <f t="shared" si="15"/>
        <v>668.79000000000224</v>
      </c>
      <c r="BA27" s="2991">
        <f t="shared" si="16"/>
        <v>668.79000000000224</v>
      </c>
      <c r="BB27" s="2991">
        <f t="shared" si="17"/>
        <v>2.2737367544323206E-12</v>
      </c>
      <c r="BC27" s="2991">
        <f t="shared" si="18"/>
        <v>668.79</v>
      </c>
      <c r="BD27" s="2991">
        <f t="shared" si="19"/>
        <v>0</v>
      </c>
      <c r="BE27" s="2991">
        <f t="shared" si="20"/>
        <v>0</v>
      </c>
      <c r="BF27" s="2991">
        <f t="shared" si="21"/>
        <v>0</v>
      </c>
      <c r="BG27" s="2991">
        <f t="shared" si="22"/>
        <v>0</v>
      </c>
      <c r="BH27" s="2991">
        <f t="shared" si="23"/>
        <v>0</v>
      </c>
      <c r="BI27" s="2991">
        <f t="shared" si="24"/>
        <v>0</v>
      </c>
      <c r="BJ27" s="2991">
        <f t="shared" si="25"/>
        <v>0</v>
      </c>
      <c r="BK27" s="2991">
        <f t="shared" si="26"/>
        <v>0</v>
      </c>
      <c r="BL27" s="2991">
        <f t="shared" si="27"/>
        <v>0</v>
      </c>
      <c r="BM27" s="2991">
        <f t="shared" si="28"/>
        <v>0</v>
      </c>
      <c r="BN27" s="2991">
        <f t="shared" si="29"/>
        <v>0</v>
      </c>
      <c r="BO27" s="2991">
        <f t="shared" si="30"/>
        <v>0</v>
      </c>
      <c r="BP27" s="2991">
        <f t="shared" si="31"/>
        <v>0</v>
      </c>
      <c r="BQ27" s="2991">
        <f t="shared" si="32"/>
        <v>0</v>
      </c>
      <c r="BR27" s="2991">
        <f t="shared" si="33"/>
        <v>0</v>
      </c>
      <c r="BS27" s="2991">
        <f t="shared" si="34"/>
        <v>0</v>
      </c>
      <c r="BT27" s="2995">
        <f t="shared" si="35"/>
        <v>0</v>
      </c>
    </row>
    <row r="28" spans="1:72" s="2996" customFormat="1" ht="14.5">
      <c r="A28" s="3025" t="s">
        <v>3374</v>
      </c>
      <c r="B28" s="2998"/>
      <c r="C28" s="2998" t="s">
        <v>3389</v>
      </c>
      <c r="D28" s="2999" t="s">
        <v>3056</v>
      </c>
      <c r="E28" s="3000">
        <f t="shared" si="7"/>
        <v>1648.57</v>
      </c>
      <c r="F28" s="3001"/>
      <c r="G28" s="3002">
        <f t="shared" si="8"/>
        <v>3355.62</v>
      </c>
      <c r="H28" s="3003">
        <f t="shared" si="9"/>
        <v>3355.62</v>
      </c>
      <c r="I28" s="3004">
        <v>2635.23</v>
      </c>
      <c r="J28" s="3004"/>
      <c r="K28" s="3004">
        <v>720.39</v>
      </c>
      <c r="L28" s="3004"/>
      <c r="M28" s="3004"/>
      <c r="N28" s="3004"/>
      <c r="O28" s="3004"/>
      <c r="P28" s="3004"/>
      <c r="Q28" s="3004"/>
      <c r="R28" s="3004"/>
      <c r="S28" s="3004"/>
      <c r="T28" s="3004"/>
      <c r="U28" s="3004"/>
      <c r="V28" s="3004"/>
      <c r="W28" s="3004"/>
      <c r="X28" s="3004"/>
      <c r="Y28" s="3004"/>
      <c r="Z28" s="3004"/>
      <c r="AA28" s="3004"/>
      <c r="AB28" s="3004"/>
      <c r="AC28" s="3000">
        <f t="shared" si="10"/>
        <v>0</v>
      </c>
      <c r="AD28" s="3005"/>
      <c r="AE28" s="3005"/>
      <c r="AF28" s="3005"/>
      <c r="AG28" s="3005"/>
      <c r="AH28" s="3005"/>
      <c r="AI28" s="3005"/>
      <c r="AJ28" s="3005"/>
      <c r="AK28" s="3005"/>
      <c r="AL28" s="3005"/>
      <c r="AM28" s="3005"/>
      <c r="AN28" s="3005"/>
      <c r="AO28" s="3005"/>
      <c r="AP28" s="3005"/>
      <c r="AQ28" s="3005"/>
      <c r="AR28" s="3005"/>
      <c r="AS28" s="3005"/>
      <c r="AT28" s="3006"/>
      <c r="AU28" s="2992"/>
      <c r="AV28" s="2993" t="str">
        <f t="shared" si="11"/>
        <v>测绘报告</v>
      </c>
      <c r="AW28" s="2993">
        <f t="shared" si="12"/>
        <v>0</v>
      </c>
      <c r="AX28" s="2993" t="str">
        <f t="shared" si="13"/>
        <v>25#住宅</v>
      </c>
      <c r="AY28" s="2994">
        <f t="shared" si="14"/>
        <v>1648.57</v>
      </c>
      <c r="AZ28" s="2991">
        <f t="shared" si="15"/>
        <v>3355.62</v>
      </c>
      <c r="BA28" s="2991">
        <f t="shared" si="16"/>
        <v>3355.62</v>
      </c>
      <c r="BB28" s="2991">
        <f t="shared" si="17"/>
        <v>2635.23</v>
      </c>
      <c r="BC28" s="2991">
        <f t="shared" si="18"/>
        <v>720.39</v>
      </c>
      <c r="BD28" s="2991">
        <f t="shared" si="19"/>
        <v>0</v>
      </c>
      <c r="BE28" s="2991">
        <f t="shared" si="20"/>
        <v>0</v>
      </c>
      <c r="BF28" s="2991">
        <f t="shared" si="21"/>
        <v>0</v>
      </c>
      <c r="BG28" s="2991">
        <f t="shared" si="22"/>
        <v>0</v>
      </c>
      <c r="BH28" s="2991">
        <f t="shared" si="23"/>
        <v>0</v>
      </c>
      <c r="BI28" s="2991">
        <f t="shared" si="24"/>
        <v>0</v>
      </c>
      <c r="BJ28" s="2991">
        <f t="shared" si="25"/>
        <v>0</v>
      </c>
      <c r="BK28" s="2991">
        <f t="shared" si="26"/>
        <v>0</v>
      </c>
      <c r="BL28" s="2991">
        <f t="shared" si="27"/>
        <v>0</v>
      </c>
      <c r="BM28" s="2991">
        <f t="shared" si="28"/>
        <v>0</v>
      </c>
      <c r="BN28" s="2991">
        <f t="shared" si="29"/>
        <v>0</v>
      </c>
      <c r="BO28" s="2991">
        <f t="shared" si="30"/>
        <v>0</v>
      </c>
      <c r="BP28" s="2991">
        <f t="shared" si="31"/>
        <v>0</v>
      </c>
      <c r="BQ28" s="2991">
        <f t="shared" si="32"/>
        <v>0</v>
      </c>
      <c r="BR28" s="2991">
        <f t="shared" si="33"/>
        <v>0</v>
      </c>
      <c r="BS28" s="2991">
        <f t="shared" si="34"/>
        <v>0</v>
      </c>
      <c r="BT28" s="2995">
        <f t="shared" si="35"/>
        <v>0</v>
      </c>
    </row>
    <row r="29" spans="1:72" s="2996" customFormat="1" ht="14.5">
      <c r="A29" s="3025" t="s">
        <v>3374</v>
      </c>
      <c r="B29" s="2998"/>
      <c r="C29" s="2998" t="s">
        <v>3390</v>
      </c>
      <c r="D29" s="2999" t="s">
        <v>3056</v>
      </c>
      <c r="E29" s="3000">
        <f t="shared" si="7"/>
        <v>3826.65</v>
      </c>
      <c r="F29" s="3001"/>
      <c r="G29" s="3002">
        <f t="shared" si="8"/>
        <v>7789.0199999999995</v>
      </c>
      <c r="H29" s="3003">
        <f t="shared" si="9"/>
        <v>7099.95</v>
      </c>
      <c r="I29" s="3004">
        <v>6537.12</v>
      </c>
      <c r="J29" s="3004"/>
      <c r="K29" s="3004">
        <v>562.83000000000004</v>
      </c>
      <c r="L29" s="3004"/>
      <c r="M29" s="3004"/>
      <c r="N29" s="3004"/>
      <c r="O29" s="3004"/>
      <c r="P29" s="3004"/>
      <c r="Q29" s="3004"/>
      <c r="R29" s="3004"/>
      <c r="S29" s="3004"/>
      <c r="T29" s="3004"/>
      <c r="U29" s="3004"/>
      <c r="V29" s="3004"/>
      <c r="W29" s="3004"/>
      <c r="X29" s="3004"/>
      <c r="Y29" s="3004"/>
      <c r="Z29" s="3004"/>
      <c r="AA29" s="3004"/>
      <c r="AB29" s="3004"/>
      <c r="AC29" s="3000">
        <f t="shared" si="10"/>
        <v>689.06999999999994</v>
      </c>
      <c r="AD29" s="3005">
        <v>154.05000000000001</v>
      </c>
      <c r="AE29" s="3005">
        <f>AD29</f>
        <v>154.05000000000001</v>
      </c>
      <c r="AF29" s="3005"/>
      <c r="AG29" s="3005"/>
      <c r="AH29" s="3005">
        <f>363.35+155.68</f>
        <v>519.03</v>
      </c>
      <c r="AI29" s="3005">
        <f>AH29</f>
        <v>519.03</v>
      </c>
      <c r="AJ29" s="3005"/>
      <c r="AK29" s="3005"/>
      <c r="AL29" s="3005">
        <f>15.99</f>
        <v>15.99</v>
      </c>
      <c r="AM29" s="3005">
        <f>AL29</f>
        <v>15.99</v>
      </c>
      <c r="AN29" s="3005"/>
      <c r="AO29" s="3005"/>
      <c r="AP29" s="3005"/>
      <c r="AQ29" s="3005"/>
      <c r="AR29" s="3005"/>
      <c r="AS29" s="3005"/>
      <c r="AT29" s="3006"/>
      <c r="AU29" s="2992"/>
      <c r="AV29" s="2993" t="str">
        <f t="shared" si="11"/>
        <v>测绘报告</v>
      </c>
      <c r="AW29" s="2993">
        <f t="shared" si="12"/>
        <v>0</v>
      </c>
      <c r="AX29" s="2993" t="str">
        <f t="shared" si="13"/>
        <v>26#住宅</v>
      </c>
      <c r="AY29" s="2994">
        <f t="shared" si="14"/>
        <v>3488.12</v>
      </c>
      <c r="AZ29" s="2991">
        <f t="shared" si="15"/>
        <v>7099.95</v>
      </c>
      <c r="BA29" s="2991">
        <f t="shared" si="16"/>
        <v>7099.95</v>
      </c>
      <c r="BB29" s="2991">
        <f t="shared" si="17"/>
        <v>6537.12</v>
      </c>
      <c r="BC29" s="2991">
        <f t="shared" si="18"/>
        <v>562.83000000000004</v>
      </c>
      <c r="BD29" s="2991">
        <f t="shared" si="19"/>
        <v>0</v>
      </c>
      <c r="BE29" s="2991">
        <f t="shared" si="20"/>
        <v>0</v>
      </c>
      <c r="BF29" s="2991">
        <f t="shared" si="21"/>
        <v>0</v>
      </c>
      <c r="BG29" s="2991">
        <f t="shared" si="22"/>
        <v>0</v>
      </c>
      <c r="BH29" s="2991">
        <f t="shared" si="23"/>
        <v>0</v>
      </c>
      <c r="BI29" s="2991">
        <f t="shared" si="24"/>
        <v>0</v>
      </c>
      <c r="BJ29" s="2991">
        <f t="shared" si="25"/>
        <v>0</v>
      </c>
      <c r="BK29" s="2991">
        <f t="shared" si="26"/>
        <v>0</v>
      </c>
      <c r="BL29" s="2991">
        <f t="shared" si="27"/>
        <v>0</v>
      </c>
      <c r="BM29" s="2991">
        <f t="shared" si="28"/>
        <v>0</v>
      </c>
      <c r="BN29" s="2991">
        <f t="shared" si="29"/>
        <v>0</v>
      </c>
      <c r="BO29" s="2991">
        <f t="shared" si="30"/>
        <v>0</v>
      </c>
      <c r="BP29" s="2991">
        <f t="shared" si="31"/>
        <v>0</v>
      </c>
      <c r="BQ29" s="2991">
        <f t="shared" si="32"/>
        <v>0</v>
      </c>
      <c r="BR29" s="2991">
        <f t="shared" si="33"/>
        <v>0</v>
      </c>
      <c r="BS29" s="2991">
        <f t="shared" si="34"/>
        <v>0</v>
      </c>
      <c r="BT29" s="2995">
        <f t="shared" si="35"/>
        <v>0</v>
      </c>
    </row>
    <row r="30" spans="1:72" s="2996" customFormat="1" ht="14.5">
      <c r="A30" s="3025" t="s">
        <v>3374</v>
      </c>
      <c r="B30" s="2998"/>
      <c r="C30" s="2998" t="s">
        <v>3391</v>
      </c>
      <c r="D30" s="2999" t="s">
        <v>3056</v>
      </c>
      <c r="E30" s="3000">
        <f t="shared" si="7"/>
        <v>1863.82</v>
      </c>
      <c r="F30" s="3001"/>
      <c r="G30" s="3002">
        <f t="shared" si="8"/>
        <v>3793.75</v>
      </c>
      <c r="H30" s="3003">
        <f t="shared" si="9"/>
        <v>3793.75</v>
      </c>
      <c r="I30" s="3004">
        <v>2890.14</v>
      </c>
      <c r="J30" s="3004"/>
      <c r="K30" s="3004">
        <v>903.61</v>
      </c>
      <c r="L30" s="3004"/>
      <c r="M30" s="3004"/>
      <c r="N30" s="3004"/>
      <c r="O30" s="3004"/>
      <c r="P30" s="3004"/>
      <c r="Q30" s="3004"/>
      <c r="R30" s="3004"/>
      <c r="S30" s="3004"/>
      <c r="T30" s="3004"/>
      <c r="U30" s="3004"/>
      <c r="V30" s="3004"/>
      <c r="W30" s="3004"/>
      <c r="X30" s="3004"/>
      <c r="Y30" s="3004"/>
      <c r="Z30" s="3004"/>
      <c r="AA30" s="3004"/>
      <c r="AB30" s="3004"/>
      <c r="AC30" s="3000">
        <f t="shared" si="10"/>
        <v>0</v>
      </c>
      <c r="AD30" s="3005"/>
      <c r="AE30" s="3005"/>
      <c r="AF30" s="3005"/>
      <c r="AG30" s="3005"/>
      <c r="AH30" s="3005"/>
      <c r="AI30" s="3005"/>
      <c r="AJ30" s="3005"/>
      <c r="AK30" s="3005"/>
      <c r="AL30" s="3005"/>
      <c r="AM30" s="3005"/>
      <c r="AN30" s="3005"/>
      <c r="AO30" s="3005"/>
      <c r="AP30" s="3005"/>
      <c r="AQ30" s="3005"/>
      <c r="AR30" s="3005"/>
      <c r="AS30" s="3005"/>
      <c r="AT30" s="3006"/>
      <c r="AU30" s="2992"/>
      <c r="AV30" s="2993" t="str">
        <f t="shared" si="11"/>
        <v>测绘报告</v>
      </c>
      <c r="AW30" s="2993">
        <f t="shared" si="12"/>
        <v>0</v>
      </c>
      <c r="AX30" s="2993" t="str">
        <f t="shared" si="13"/>
        <v>29#住宅</v>
      </c>
      <c r="AY30" s="2994">
        <f t="shared" si="14"/>
        <v>1863.82</v>
      </c>
      <c r="AZ30" s="2991">
        <f t="shared" si="15"/>
        <v>3793.75</v>
      </c>
      <c r="BA30" s="2991">
        <f t="shared" si="16"/>
        <v>3793.75</v>
      </c>
      <c r="BB30" s="2991">
        <f t="shared" si="17"/>
        <v>2890.14</v>
      </c>
      <c r="BC30" s="2991">
        <f t="shared" si="18"/>
        <v>903.61</v>
      </c>
      <c r="BD30" s="2991">
        <f t="shared" si="19"/>
        <v>0</v>
      </c>
      <c r="BE30" s="2991">
        <f t="shared" si="20"/>
        <v>0</v>
      </c>
      <c r="BF30" s="2991">
        <f t="shared" si="21"/>
        <v>0</v>
      </c>
      <c r="BG30" s="2991">
        <f t="shared" si="22"/>
        <v>0</v>
      </c>
      <c r="BH30" s="2991">
        <f t="shared" si="23"/>
        <v>0</v>
      </c>
      <c r="BI30" s="2991">
        <f t="shared" si="24"/>
        <v>0</v>
      </c>
      <c r="BJ30" s="2991">
        <f t="shared" si="25"/>
        <v>0</v>
      </c>
      <c r="BK30" s="2991">
        <f t="shared" si="26"/>
        <v>0</v>
      </c>
      <c r="BL30" s="2991">
        <f t="shared" si="27"/>
        <v>0</v>
      </c>
      <c r="BM30" s="2991">
        <f t="shared" si="28"/>
        <v>0</v>
      </c>
      <c r="BN30" s="2991">
        <f t="shared" si="29"/>
        <v>0</v>
      </c>
      <c r="BO30" s="2991">
        <f t="shared" si="30"/>
        <v>0</v>
      </c>
      <c r="BP30" s="2991">
        <f t="shared" si="31"/>
        <v>0</v>
      </c>
      <c r="BQ30" s="2991">
        <f t="shared" si="32"/>
        <v>0</v>
      </c>
      <c r="BR30" s="2991">
        <f t="shared" si="33"/>
        <v>0</v>
      </c>
      <c r="BS30" s="2991">
        <f t="shared" si="34"/>
        <v>0</v>
      </c>
      <c r="BT30" s="2995">
        <f t="shared" si="35"/>
        <v>0</v>
      </c>
    </row>
    <row r="31" spans="1:72" s="2996" customFormat="1" ht="14.5">
      <c r="A31" s="3025" t="s">
        <v>3374</v>
      </c>
      <c r="B31" s="2998"/>
      <c r="C31" s="2998" t="s">
        <v>3392</v>
      </c>
      <c r="D31" s="2999" t="s">
        <v>3056</v>
      </c>
      <c r="E31" s="3000">
        <f t="shared" si="7"/>
        <v>2017.93</v>
      </c>
      <c r="F31" s="3001"/>
      <c r="G31" s="3002">
        <f t="shared" si="8"/>
        <v>4107.43</v>
      </c>
      <c r="H31" s="3003">
        <f t="shared" si="9"/>
        <v>4107.43</v>
      </c>
      <c r="I31" s="3004">
        <v>4107.43</v>
      </c>
      <c r="J31" s="3004">
        <f>已售清单!J6</f>
        <v>681.8900000000001</v>
      </c>
      <c r="K31" s="3004"/>
      <c r="L31" s="3004"/>
      <c r="M31" s="3004"/>
      <c r="N31" s="3004"/>
      <c r="O31" s="3004"/>
      <c r="P31" s="3004"/>
      <c r="Q31" s="3004"/>
      <c r="R31" s="3004"/>
      <c r="S31" s="3004"/>
      <c r="T31" s="3004"/>
      <c r="U31" s="3004"/>
      <c r="V31" s="3004"/>
      <c r="W31" s="3004"/>
      <c r="X31" s="3004"/>
      <c r="Y31" s="3004"/>
      <c r="Z31" s="3004"/>
      <c r="AA31" s="3004"/>
      <c r="AB31" s="3004"/>
      <c r="AC31" s="3000">
        <f t="shared" si="10"/>
        <v>0</v>
      </c>
      <c r="AD31" s="3005"/>
      <c r="AE31" s="3005"/>
      <c r="AF31" s="3005"/>
      <c r="AG31" s="3005"/>
      <c r="AH31" s="3005"/>
      <c r="AI31" s="3005"/>
      <c r="AJ31" s="3005"/>
      <c r="AK31" s="3005"/>
      <c r="AL31" s="3005"/>
      <c r="AM31" s="3005"/>
      <c r="AN31" s="3005"/>
      <c r="AO31" s="3005"/>
      <c r="AP31" s="3005"/>
      <c r="AQ31" s="3005"/>
      <c r="AR31" s="3005"/>
      <c r="AS31" s="3005"/>
      <c r="AT31" s="3006"/>
      <c r="AU31" s="2992"/>
      <c r="AV31" s="2993" t="str">
        <f t="shared" si="11"/>
        <v>测绘报告</v>
      </c>
      <c r="AW31" s="2993">
        <f t="shared" si="12"/>
        <v>0</v>
      </c>
      <c r="AX31" s="2993" t="str">
        <f t="shared" si="13"/>
        <v>33#住宅</v>
      </c>
      <c r="AY31" s="2994">
        <f t="shared" si="14"/>
        <v>1682.93</v>
      </c>
      <c r="AZ31" s="2991">
        <f t="shared" si="15"/>
        <v>3425.54</v>
      </c>
      <c r="BA31" s="2991">
        <f t="shared" si="16"/>
        <v>3425.54</v>
      </c>
      <c r="BB31" s="2991">
        <f t="shared" si="17"/>
        <v>3425.54</v>
      </c>
      <c r="BC31" s="2991">
        <f t="shared" si="18"/>
        <v>0</v>
      </c>
      <c r="BD31" s="2991">
        <f t="shared" si="19"/>
        <v>0</v>
      </c>
      <c r="BE31" s="2991">
        <f t="shared" si="20"/>
        <v>0</v>
      </c>
      <c r="BF31" s="2991">
        <f t="shared" si="21"/>
        <v>0</v>
      </c>
      <c r="BG31" s="2991">
        <f t="shared" si="22"/>
        <v>0</v>
      </c>
      <c r="BH31" s="2991">
        <f t="shared" si="23"/>
        <v>0</v>
      </c>
      <c r="BI31" s="2991">
        <f t="shared" si="24"/>
        <v>0</v>
      </c>
      <c r="BJ31" s="2991">
        <f t="shared" si="25"/>
        <v>0</v>
      </c>
      <c r="BK31" s="2991">
        <f t="shared" si="26"/>
        <v>0</v>
      </c>
      <c r="BL31" s="2991">
        <f t="shared" si="27"/>
        <v>0</v>
      </c>
      <c r="BM31" s="2991">
        <f t="shared" si="28"/>
        <v>0</v>
      </c>
      <c r="BN31" s="2991">
        <f t="shared" si="29"/>
        <v>0</v>
      </c>
      <c r="BO31" s="2991">
        <f t="shared" si="30"/>
        <v>0</v>
      </c>
      <c r="BP31" s="2991">
        <f t="shared" si="31"/>
        <v>0</v>
      </c>
      <c r="BQ31" s="2991">
        <f t="shared" si="32"/>
        <v>0</v>
      </c>
      <c r="BR31" s="2991">
        <f t="shared" si="33"/>
        <v>0</v>
      </c>
      <c r="BS31" s="2991">
        <f t="shared" si="34"/>
        <v>0</v>
      </c>
      <c r="BT31" s="2995">
        <f t="shared" si="35"/>
        <v>0</v>
      </c>
    </row>
    <row r="32" spans="1:72" s="2996" customFormat="1" ht="14.5">
      <c r="A32" s="3025" t="s">
        <v>3374</v>
      </c>
      <c r="B32" s="2998"/>
      <c r="C32" s="2998" t="s">
        <v>3393</v>
      </c>
      <c r="D32" s="2999" t="s">
        <v>3056</v>
      </c>
      <c r="E32" s="3000">
        <f t="shared" si="7"/>
        <v>4527.7</v>
      </c>
      <c r="F32" s="3001"/>
      <c r="G32" s="3002">
        <f t="shared" si="8"/>
        <v>9215.99</v>
      </c>
      <c r="H32" s="3003">
        <f t="shared" si="9"/>
        <v>9215.99</v>
      </c>
      <c r="I32" s="3004">
        <v>9215.99</v>
      </c>
      <c r="J32" s="3004">
        <f>已售清单!J7</f>
        <v>2526.15</v>
      </c>
      <c r="K32" s="3004"/>
      <c r="L32" s="3004"/>
      <c r="M32" s="3004"/>
      <c r="N32" s="3004"/>
      <c r="O32" s="3004"/>
      <c r="P32" s="3004"/>
      <c r="Q32" s="3004"/>
      <c r="R32" s="3004"/>
      <c r="S32" s="3004"/>
      <c r="T32" s="3004"/>
      <c r="U32" s="3004"/>
      <c r="V32" s="3004"/>
      <c r="W32" s="3004"/>
      <c r="X32" s="3004"/>
      <c r="Y32" s="3004"/>
      <c r="Z32" s="3004"/>
      <c r="AA32" s="3004"/>
      <c r="AB32" s="3004"/>
      <c r="AC32" s="3000">
        <f t="shared" si="10"/>
        <v>0</v>
      </c>
      <c r="AD32" s="3005"/>
      <c r="AE32" s="3005"/>
      <c r="AF32" s="3005"/>
      <c r="AG32" s="3005"/>
      <c r="AH32" s="3005"/>
      <c r="AI32" s="3005"/>
      <c r="AJ32" s="3005"/>
      <c r="AK32" s="3005"/>
      <c r="AL32" s="3005"/>
      <c r="AM32" s="3005"/>
      <c r="AN32" s="3005"/>
      <c r="AO32" s="3005"/>
      <c r="AP32" s="3005"/>
      <c r="AQ32" s="3005"/>
      <c r="AR32" s="3005"/>
      <c r="AS32" s="3005"/>
      <c r="AT32" s="3006"/>
      <c r="AU32" s="2992"/>
      <c r="AV32" s="2993" t="str">
        <f t="shared" si="11"/>
        <v>测绘报告</v>
      </c>
      <c r="AW32" s="2993">
        <f t="shared" si="12"/>
        <v>0</v>
      </c>
      <c r="AX32" s="2993" t="str">
        <f t="shared" si="13"/>
        <v>34#住宅</v>
      </c>
      <c r="AY32" s="2994">
        <f t="shared" si="14"/>
        <v>3286.64</v>
      </c>
      <c r="AZ32" s="2991">
        <f t="shared" si="15"/>
        <v>6689.84</v>
      </c>
      <c r="BA32" s="2991">
        <f t="shared" si="16"/>
        <v>6689.84</v>
      </c>
      <c r="BB32" s="2991">
        <f t="shared" si="17"/>
        <v>6689.84</v>
      </c>
      <c r="BC32" s="2991">
        <f t="shared" si="18"/>
        <v>0</v>
      </c>
      <c r="BD32" s="2991">
        <f t="shared" si="19"/>
        <v>0</v>
      </c>
      <c r="BE32" s="2991">
        <f t="shared" si="20"/>
        <v>0</v>
      </c>
      <c r="BF32" s="2991">
        <f t="shared" si="21"/>
        <v>0</v>
      </c>
      <c r="BG32" s="2991">
        <f t="shared" si="22"/>
        <v>0</v>
      </c>
      <c r="BH32" s="2991">
        <f t="shared" si="23"/>
        <v>0</v>
      </c>
      <c r="BI32" s="2991">
        <f t="shared" si="24"/>
        <v>0</v>
      </c>
      <c r="BJ32" s="2991">
        <f t="shared" si="25"/>
        <v>0</v>
      </c>
      <c r="BK32" s="2991">
        <f t="shared" si="26"/>
        <v>0</v>
      </c>
      <c r="BL32" s="2991">
        <f t="shared" si="27"/>
        <v>0</v>
      </c>
      <c r="BM32" s="2991">
        <f t="shared" si="28"/>
        <v>0</v>
      </c>
      <c r="BN32" s="2991">
        <f t="shared" si="29"/>
        <v>0</v>
      </c>
      <c r="BO32" s="2991">
        <f t="shared" si="30"/>
        <v>0</v>
      </c>
      <c r="BP32" s="2991">
        <f t="shared" si="31"/>
        <v>0</v>
      </c>
      <c r="BQ32" s="2991">
        <f t="shared" si="32"/>
        <v>0</v>
      </c>
      <c r="BR32" s="2991">
        <f t="shared" si="33"/>
        <v>0</v>
      </c>
      <c r="BS32" s="2991">
        <f t="shared" si="34"/>
        <v>0</v>
      </c>
      <c r="BT32" s="2995">
        <f t="shared" si="35"/>
        <v>0</v>
      </c>
    </row>
    <row r="33" spans="1:72" s="2996" customFormat="1" ht="14.5">
      <c r="A33" s="3025" t="s">
        <v>3373</v>
      </c>
      <c r="B33" s="3038" t="s">
        <v>3074</v>
      </c>
      <c r="C33" s="2998" t="s">
        <v>3394</v>
      </c>
      <c r="D33" s="2999" t="s">
        <v>3056</v>
      </c>
      <c r="E33" s="3000">
        <f t="shared" si="7"/>
        <v>577.1</v>
      </c>
      <c r="F33" s="3001"/>
      <c r="G33" s="3002">
        <f t="shared" si="8"/>
        <v>1174.6600000000001</v>
      </c>
      <c r="H33" s="3003">
        <f t="shared" si="9"/>
        <v>1102.72</v>
      </c>
      <c r="I33" s="3004">
        <v>836.81</v>
      </c>
      <c r="J33" s="3004"/>
      <c r="K33" s="3004"/>
      <c r="L33" s="3004"/>
      <c r="M33" s="3004">
        <v>265.91000000000003</v>
      </c>
      <c r="N33" s="3004"/>
      <c r="O33" s="3004"/>
      <c r="P33" s="3004"/>
      <c r="Q33" s="3004"/>
      <c r="R33" s="3004"/>
      <c r="S33" s="3004"/>
      <c r="T33" s="3004"/>
      <c r="U33" s="3004"/>
      <c r="V33" s="3004"/>
      <c r="W33" s="3004"/>
      <c r="X33" s="3004"/>
      <c r="Y33" s="3004"/>
      <c r="Z33" s="3004"/>
      <c r="AA33" s="3004"/>
      <c r="AB33" s="3004"/>
      <c r="AC33" s="3000">
        <f t="shared" si="10"/>
        <v>71.94</v>
      </c>
      <c r="AD33" s="3005"/>
      <c r="AE33" s="3005"/>
      <c r="AF33" s="3005"/>
      <c r="AG33" s="3005"/>
      <c r="AH33" s="3005"/>
      <c r="AI33" s="3005"/>
      <c r="AJ33" s="3005"/>
      <c r="AK33" s="3005"/>
      <c r="AL33" s="3005"/>
      <c r="AM33" s="3005"/>
      <c r="AN33" s="3005">
        <v>71.94</v>
      </c>
      <c r="AO33" s="3005"/>
      <c r="AP33" s="3005"/>
      <c r="AQ33" s="3005"/>
      <c r="AR33" s="3005"/>
      <c r="AS33" s="3005"/>
      <c r="AT33" s="3006"/>
      <c r="AU33" s="2992"/>
      <c r="AV33" s="2993" t="str">
        <f t="shared" si="11"/>
        <v>规证</v>
      </c>
      <c r="AW33" s="2993" t="str">
        <f t="shared" si="12"/>
        <v>二期</v>
      </c>
      <c r="AX33" s="2993" t="str">
        <f t="shared" si="13"/>
        <v>1#住宅</v>
      </c>
      <c r="AY33" s="2994">
        <f t="shared" si="14"/>
        <v>577.1</v>
      </c>
      <c r="AZ33" s="2991">
        <f t="shared" si="15"/>
        <v>1174.6600000000001</v>
      </c>
      <c r="BA33" s="2991">
        <f t="shared" si="16"/>
        <v>1102.72</v>
      </c>
      <c r="BB33" s="2991">
        <f t="shared" si="17"/>
        <v>836.81</v>
      </c>
      <c r="BC33" s="2991">
        <f t="shared" si="18"/>
        <v>0</v>
      </c>
      <c r="BD33" s="2991">
        <f t="shared" si="19"/>
        <v>265.91000000000003</v>
      </c>
      <c r="BE33" s="2991">
        <f t="shared" si="20"/>
        <v>0</v>
      </c>
      <c r="BF33" s="2991">
        <f t="shared" si="21"/>
        <v>0</v>
      </c>
      <c r="BG33" s="2991">
        <f t="shared" si="22"/>
        <v>0</v>
      </c>
      <c r="BH33" s="2991">
        <f t="shared" si="23"/>
        <v>0</v>
      </c>
      <c r="BI33" s="2991">
        <f t="shared" si="24"/>
        <v>0</v>
      </c>
      <c r="BJ33" s="2991">
        <f t="shared" si="25"/>
        <v>0</v>
      </c>
      <c r="BK33" s="2991">
        <f t="shared" si="26"/>
        <v>0</v>
      </c>
      <c r="BL33" s="2991">
        <f t="shared" si="27"/>
        <v>71.94</v>
      </c>
      <c r="BM33" s="2991">
        <f t="shared" si="28"/>
        <v>0</v>
      </c>
      <c r="BN33" s="2991">
        <f t="shared" si="29"/>
        <v>0</v>
      </c>
      <c r="BO33" s="2991">
        <f t="shared" si="30"/>
        <v>0</v>
      </c>
      <c r="BP33" s="2991">
        <f t="shared" si="31"/>
        <v>0</v>
      </c>
      <c r="BQ33" s="2991">
        <f t="shared" si="32"/>
        <v>0</v>
      </c>
      <c r="BR33" s="2991">
        <f t="shared" si="33"/>
        <v>71.94</v>
      </c>
      <c r="BS33" s="2991">
        <f t="shared" si="34"/>
        <v>0</v>
      </c>
      <c r="BT33" s="2995">
        <f t="shared" si="35"/>
        <v>0</v>
      </c>
    </row>
    <row r="34" spans="1:72" s="2996" customFormat="1" ht="14.5">
      <c r="A34" s="2997"/>
      <c r="B34" s="2998"/>
      <c r="C34" s="2998" t="s">
        <v>3395</v>
      </c>
      <c r="D34" s="2999" t="s">
        <v>3056</v>
      </c>
      <c r="E34" s="3000">
        <f t="shared" si="7"/>
        <v>1137.3399999999999</v>
      </c>
      <c r="F34" s="3001"/>
      <c r="G34" s="3002">
        <f t="shared" si="8"/>
        <v>2315.02</v>
      </c>
      <c r="H34" s="3003">
        <f t="shared" si="9"/>
        <v>2167.59</v>
      </c>
      <c r="I34" s="3004">
        <v>1644.34</v>
      </c>
      <c r="J34" s="3004"/>
      <c r="K34" s="3004"/>
      <c r="L34" s="3004"/>
      <c r="M34" s="3004">
        <v>523.25</v>
      </c>
      <c r="N34" s="3004"/>
      <c r="O34" s="3004"/>
      <c r="P34" s="3004"/>
      <c r="Q34" s="3004"/>
      <c r="R34" s="3004"/>
      <c r="S34" s="3004"/>
      <c r="T34" s="3004"/>
      <c r="U34" s="3004"/>
      <c r="V34" s="3004"/>
      <c r="W34" s="3004"/>
      <c r="X34" s="3004"/>
      <c r="Y34" s="3004"/>
      <c r="Z34" s="3004"/>
      <c r="AA34" s="3004"/>
      <c r="AB34" s="3004"/>
      <c r="AC34" s="3000">
        <f t="shared" si="10"/>
        <v>147.43</v>
      </c>
      <c r="AD34" s="3005"/>
      <c r="AE34" s="3005"/>
      <c r="AF34" s="3005"/>
      <c r="AG34" s="3005"/>
      <c r="AH34" s="3005"/>
      <c r="AI34" s="3005"/>
      <c r="AJ34" s="3005"/>
      <c r="AK34" s="3005"/>
      <c r="AL34" s="3005">
        <v>3.75</v>
      </c>
      <c r="AM34" s="3005"/>
      <c r="AN34" s="3005">
        <v>143.68</v>
      </c>
      <c r="AO34" s="3005"/>
      <c r="AP34" s="3005"/>
      <c r="AQ34" s="3005"/>
      <c r="AR34" s="3005"/>
      <c r="AS34" s="3005"/>
      <c r="AT34" s="3006"/>
      <c r="AU34" s="2992"/>
      <c r="AV34" s="2993">
        <f t="shared" si="11"/>
        <v>0</v>
      </c>
      <c r="AW34" s="2993">
        <f t="shared" si="12"/>
        <v>0</v>
      </c>
      <c r="AX34" s="2993" t="str">
        <f t="shared" si="13"/>
        <v>2#住宅</v>
      </c>
      <c r="AY34" s="2994">
        <f t="shared" si="14"/>
        <v>1137.3399999999999</v>
      </c>
      <c r="AZ34" s="2991">
        <f t="shared" si="15"/>
        <v>2315.02</v>
      </c>
      <c r="BA34" s="2991">
        <f t="shared" si="16"/>
        <v>2167.59</v>
      </c>
      <c r="BB34" s="2991">
        <f t="shared" si="17"/>
        <v>1644.34</v>
      </c>
      <c r="BC34" s="2991">
        <f t="shared" si="18"/>
        <v>0</v>
      </c>
      <c r="BD34" s="2991">
        <f t="shared" si="19"/>
        <v>523.25</v>
      </c>
      <c r="BE34" s="2991">
        <f t="shared" si="20"/>
        <v>0</v>
      </c>
      <c r="BF34" s="2991">
        <f t="shared" si="21"/>
        <v>0</v>
      </c>
      <c r="BG34" s="2991">
        <f t="shared" si="22"/>
        <v>0</v>
      </c>
      <c r="BH34" s="2991">
        <f t="shared" si="23"/>
        <v>0</v>
      </c>
      <c r="BI34" s="2991">
        <f t="shared" si="24"/>
        <v>0</v>
      </c>
      <c r="BJ34" s="2991">
        <f t="shared" si="25"/>
        <v>0</v>
      </c>
      <c r="BK34" s="2991">
        <f t="shared" si="26"/>
        <v>0</v>
      </c>
      <c r="BL34" s="2991">
        <f t="shared" si="27"/>
        <v>147.43</v>
      </c>
      <c r="BM34" s="2991">
        <f t="shared" si="28"/>
        <v>0</v>
      </c>
      <c r="BN34" s="2991">
        <f t="shared" si="29"/>
        <v>0</v>
      </c>
      <c r="BO34" s="2991">
        <f t="shared" si="30"/>
        <v>0</v>
      </c>
      <c r="BP34" s="2991">
        <f t="shared" si="31"/>
        <v>0</v>
      </c>
      <c r="BQ34" s="2991">
        <f t="shared" si="32"/>
        <v>3.75</v>
      </c>
      <c r="BR34" s="2991">
        <f t="shared" si="33"/>
        <v>143.68</v>
      </c>
      <c r="BS34" s="2991">
        <f t="shared" si="34"/>
        <v>0</v>
      </c>
      <c r="BT34" s="2995">
        <f t="shared" si="35"/>
        <v>0</v>
      </c>
    </row>
    <row r="35" spans="1:72" s="2996" customFormat="1" ht="14.5">
      <c r="A35" s="2997"/>
      <c r="B35" s="2998"/>
      <c r="C35" s="2998" t="s">
        <v>3396</v>
      </c>
      <c r="D35" s="2999" t="s">
        <v>3056</v>
      </c>
      <c r="E35" s="3000">
        <f t="shared" si="7"/>
        <v>1134.51</v>
      </c>
      <c r="F35" s="3001"/>
      <c r="G35" s="3002">
        <f t="shared" si="8"/>
        <v>2309.2499999999995</v>
      </c>
      <c r="H35" s="3003">
        <f t="shared" si="9"/>
        <v>2165.5699999999997</v>
      </c>
      <c r="I35" s="3004">
        <v>1644.34</v>
      </c>
      <c r="J35" s="3004"/>
      <c r="K35" s="3004"/>
      <c r="L35" s="3004"/>
      <c r="M35" s="3004">
        <v>521.23</v>
      </c>
      <c r="N35" s="3004"/>
      <c r="O35" s="3004"/>
      <c r="P35" s="3004"/>
      <c r="Q35" s="3004"/>
      <c r="R35" s="3004"/>
      <c r="S35" s="3004"/>
      <c r="T35" s="3004"/>
      <c r="U35" s="3004"/>
      <c r="V35" s="3004"/>
      <c r="W35" s="3004"/>
      <c r="X35" s="3004"/>
      <c r="Y35" s="3004"/>
      <c r="Z35" s="3004"/>
      <c r="AA35" s="3004"/>
      <c r="AB35" s="3004"/>
      <c r="AC35" s="3000">
        <f t="shared" si="10"/>
        <v>143.68</v>
      </c>
      <c r="AD35" s="3005"/>
      <c r="AE35" s="3005"/>
      <c r="AF35" s="3005"/>
      <c r="AG35" s="3005"/>
      <c r="AH35" s="3005"/>
      <c r="AI35" s="3005"/>
      <c r="AJ35" s="3005"/>
      <c r="AK35" s="3005"/>
      <c r="AL35" s="3005"/>
      <c r="AM35" s="3005"/>
      <c r="AN35" s="3005">
        <v>143.68</v>
      </c>
      <c r="AO35" s="3005"/>
      <c r="AP35" s="3005"/>
      <c r="AQ35" s="3005"/>
      <c r="AR35" s="3005"/>
      <c r="AS35" s="3005"/>
      <c r="AT35" s="3006"/>
      <c r="AU35" s="2992"/>
      <c r="AV35" s="2993">
        <f t="shared" si="11"/>
        <v>0</v>
      </c>
      <c r="AW35" s="2993">
        <f t="shared" si="12"/>
        <v>0</v>
      </c>
      <c r="AX35" s="2993" t="str">
        <f t="shared" si="13"/>
        <v>3#住宅</v>
      </c>
      <c r="AY35" s="2994">
        <f t="shared" si="14"/>
        <v>1134.51</v>
      </c>
      <c r="AZ35" s="2991">
        <f t="shared" si="15"/>
        <v>2309.2499999999995</v>
      </c>
      <c r="BA35" s="2991">
        <f t="shared" si="16"/>
        <v>2165.5699999999997</v>
      </c>
      <c r="BB35" s="2991">
        <f t="shared" si="17"/>
        <v>1644.34</v>
      </c>
      <c r="BC35" s="2991">
        <f t="shared" si="18"/>
        <v>0</v>
      </c>
      <c r="BD35" s="2991">
        <f t="shared" si="19"/>
        <v>521.23</v>
      </c>
      <c r="BE35" s="2991">
        <f t="shared" si="20"/>
        <v>0</v>
      </c>
      <c r="BF35" s="2991">
        <f t="shared" si="21"/>
        <v>0</v>
      </c>
      <c r="BG35" s="2991">
        <f t="shared" si="22"/>
        <v>0</v>
      </c>
      <c r="BH35" s="2991">
        <f t="shared" si="23"/>
        <v>0</v>
      </c>
      <c r="BI35" s="2991">
        <f t="shared" si="24"/>
        <v>0</v>
      </c>
      <c r="BJ35" s="2991">
        <f t="shared" si="25"/>
        <v>0</v>
      </c>
      <c r="BK35" s="2991">
        <f t="shared" si="26"/>
        <v>0</v>
      </c>
      <c r="BL35" s="2991">
        <f t="shared" si="27"/>
        <v>143.68</v>
      </c>
      <c r="BM35" s="2991">
        <f t="shared" si="28"/>
        <v>0</v>
      </c>
      <c r="BN35" s="2991">
        <f t="shared" si="29"/>
        <v>0</v>
      </c>
      <c r="BO35" s="2991">
        <f t="shared" si="30"/>
        <v>0</v>
      </c>
      <c r="BP35" s="2991">
        <f t="shared" si="31"/>
        <v>0</v>
      </c>
      <c r="BQ35" s="2991">
        <f t="shared" si="32"/>
        <v>0</v>
      </c>
      <c r="BR35" s="2991">
        <f t="shared" si="33"/>
        <v>143.68</v>
      </c>
      <c r="BS35" s="2991">
        <f t="shared" si="34"/>
        <v>0</v>
      </c>
      <c r="BT35" s="2995">
        <f t="shared" si="35"/>
        <v>0</v>
      </c>
    </row>
    <row r="36" spans="1:72" s="2996" customFormat="1" ht="14.5">
      <c r="A36" s="2997"/>
      <c r="B36" s="2998"/>
      <c r="C36" s="2998" t="s">
        <v>3397</v>
      </c>
      <c r="D36" s="2999" t="s">
        <v>3056</v>
      </c>
      <c r="E36" s="3000">
        <f t="shared" si="7"/>
        <v>747.07</v>
      </c>
      <c r="F36" s="3001"/>
      <c r="G36" s="3002">
        <f t="shared" si="8"/>
        <v>1520.63</v>
      </c>
      <c r="H36" s="3003">
        <f t="shared" si="9"/>
        <v>1516.68</v>
      </c>
      <c r="I36" s="3004">
        <v>1008.99</v>
      </c>
      <c r="J36" s="3004"/>
      <c r="K36" s="3004"/>
      <c r="L36" s="3004"/>
      <c r="M36" s="3004">
        <v>507.69</v>
      </c>
      <c r="N36" s="3004"/>
      <c r="O36" s="3004"/>
      <c r="P36" s="3004"/>
      <c r="Q36" s="3004"/>
      <c r="R36" s="3004"/>
      <c r="S36" s="3004"/>
      <c r="T36" s="3004"/>
      <c r="U36" s="3004"/>
      <c r="V36" s="3004"/>
      <c r="W36" s="3004"/>
      <c r="X36" s="3004"/>
      <c r="Y36" s="3004"/>
      <c r="Z36" s="3004"/>
      <c r="AA36" s="3004"/>
      <c r="AB36" s="3004"/>
      <c r="AC36" s="3000">
        <f t="shared" si="10"/>
        <v>3.95</v>
      </c>
      <c r="AD36" s="3005"/>
      <c r="AE36" s="3005"/>
      <c r="AF36" s="3005"/>
      <c r="AG36" s="3005"/>
      <c r="AH36" s="3005"/>
      <c r="AI36" s="3005"/>
      <c r="AJ36" s="3005"/>
      <c r="AK36" s="3005"/>
      <c r="AL36" s="3005">
        <v>3.95</v>
      </c>
      <c r="AM36" s="3005"/>
      <c r="AN36" s="3005"/>
      <c r="AO36" s="3005"/>
      <c r="AP36" s="3005"/>
      <c r="AQ36" s="3005"/>
      <c r="AR36" s="3005"/>
      <c r="AS36" s="3005"/>
      <c r="AT36" s="3006"/>
      <c r="AU36" s="2992"/>
      <c r="AV36" s="2993">
        <f t="shared" si="11"/>
        <v>0</v>
      </c>
      <c r="AW36" s="2993">
        <f t="shared" si="12"/>
        <v>0</v>
      </c>
      <c r="AX36" s="2993" t="str">
        <f t="shared" si="13"/>
        <v>4#住宅</v>
      </c>
      <c r="AY36" s="2994">
        <f t="shared" si="14"/>
        <v>747.07</v>
      </c>
      <c r="AZ36" s="2991">
        <f t="shared" si="15"/>
        <v>1520.63</v>
      </c>
      <c r="BA36" s="2991">
        <f t="shared" si="16"/>
        <v>1516.68</v>
      </c>
      <c r="BB36" s="2991">
        <f t="shared" si="17"/>
        <v>1008.99</v>
      </c>
      <c r="BC36" s="2991">
        <f t="shared" si="18"/>
        <v>0</v>
      </c>
      <c r="BD36" s="2991">
        <f t="shared" si="19"/>
        <v>507.69</v>
      </c>
      <c r="BE36" s="2991">
        <f t="shared" si="20"/>
        <v>0</v>
      </c>
      <c r="BF36" s="2991">
        <f t="shared" si="21"/>
        <v>0</v>
      </c>
      <c r="BG36" s="2991">
        <f t="shared" si="22"/>
        <v>0</v>
      </c>
      <c r="BH36" s="2991">
        <f t="shared" si="23"/>
        <v>0</v>
      </c>
      <c r="BI36" s="2991">
        <f t="shared" si="24"/>
        <v>0</v>
      </c>
      <c r="BJ36" s="2991">
        <f t="shared" si="25"/>
        <v>0</v>
      </c>
      <c r="BK36" s="2991">
        <f t="shared" si="26"/>
        <v>0</v>
      </c>
      <c r="BL36" s="2991">
        <f t="shared" si="27"/>
        <v>3.95</v>
      </c>
      <c r="BM36" s="2991">
        <f t="shared" si="28"/>
        <v>0</v>
      </c>
      <c r="BN36" s="2991">
        <f t="shared" si="29"/>
        <v>0</v>
      </c>
      <c r="BO36" s="2991">
        <f t="shared" si="30"/>
        <v>0</v>
      </c>
      <c r="BP36" s="2991">
        <f t="shared" si="31"/>
        <v>0</v>
      </c>
      <c r="BQ36" s="2991">
        <f t="shared" si="32"/>
        <v>3.95</v>
      </c>
      <c r="BR36" s="2991">
        <f t="shared" si="33"/>
        <v>0</v>
      </c>
      <c r="BS36" s="2991">
        <f t="shared" si="34"/>
        <v>0</v>
      </c>
      <c r="BT36" s="2995">
        <f t="shared" si="35"/>
        <v>0</v>
      </c>
    </row>
    <row r="37" spans="1:72" s="2996" customFormat="1" ht="14.5">
      <c r="A37" s="2997"/>
      <c r="B37" s="2998"/>
      <c r="C37" s="2998" t="s">
        <v>3398</v>
      </c>
      <c r="D37" s="2999" t="s">
        <v>3056</v>
      </c>
      <c r="E37" s="3000">
        <f t="shared" si="7"/>
        <v>1133.0999999999999</v>
      </c>
      <c r="F37" s="3001"/>
      <c r="G37" s="3002">
        <f t="shared" si="8"/>
        <v>2306.39</v>
      </c>
      <c r="H37" s="3003">
        <f t="shared" si="9"/>
        <v>2162.71</v>
      </c>
      <c r="I37" s="3004">
        <v>1644.34</v>
      </c>
      <c r="J37" s="3004"/>
      <c r="K37" s="3004"/>
      <c r="L37" s="3004"/>
      <c r="M37" s="3004">
        <v>518.37</v>
      </c>
      <c r="N37" s="3004"/>
      <c r="O37" s="3004"/>
      <c r="P37" s="3004"/>
      <c r="Q37" s="3004"/>
      <c r="R37" s="3004"/>
      <c r="S37" s="3004"/>
      <c r="T37" s="3004"/>
      <c r="U37" s="3004"/>
      <c r="V37" s="3004"/>
      <c r="W37" s="3004"/>
      <c r="X37" s="3004"/>
      <c r="Y37" s="3004"/>
      <c r="Z37" s="3004"/>
      <c r="AA37" s="3004"/>
      <c r="AB37" s="3004"/>
      <c r="AC37" s="3000">
        <f t="shared" si="10"/>
        <v>143.68</v>
      </c>
      <c r="AD37" s="3005"/>
      <c r="AE37" s="3005"/>
      <c r="AF37" s="3005"/>
      <c r="AG37" s="3005"/>
      <c r="AH37" s="3005"/>
      <c r="AI37" s="3005"/>
      <c r="AJ37" s="3005"/>
      <c r="AK37" s="3005"/>
      <c r="AL37" s="3005"/>
      <c r="AM37" s="3005"/>
      <c r="AN37" s="3005">
        <v>143.68</v>
      </c>
      <c r="AO37" s="3005"/>
      <c r="AP37" s="3005"/>
      <c r="AQ37" s="3005"/>
      <c r="AR37" s="3005"/>
      <c r="AS37" s="3005"/>
      <c r="AT37" s="3006"/>
      <c r="AU37" s="2992"/>
      <c r="AV37" s="2993">
        <f t="shared" si="11"/>
        <v>0</v>
      </c>
      <c r="AW37" s="2993">
        <f t="shared" si="12"/>
        <v>0</v>
      </c>
      <c r="AX37" s="2993" t="str">
        <f t="shared" si="13"/>
        <v>5#住宅</v>
      </c>
      <c r="AY37" s="2994">
        <f t="shared" si="14"/>
        <v>1133.0999999999999</v>
      </c>
      <c r="AZ37" s="2991">
        <f t="shared" si="15"/>
        <v>2306.39</v>
      </c>
      <c r="BA37" s="2991">
        <f t="shared" si="16"/>
        <v>2162.71</v>
      </c>
      <c r="BB37" s="2991">
        <f t="shared" si="17"/>
        <v>1644.34</v>
      </c>
      <c r="BC37" s="2991">
        <f t="shared" si="18"/>
        <v>0</v>
      </c>
      <c r="BD37" s="2991">
        <f t="shared" si="19"/>
        <v>518.37</v>
      </c>
      <c r="BE37" s="2991">
        <f t="shared" si="20"/>
        <v>0</v>
      </c>
      <c r="BF37" s="2991">
        <f t="shared" si="21"/>
        <v>0</v>
      </c>
      <c r="BG37" s="2991">
        <f t="shared" si="22"/>
        <v>0</v>
      </c>
      <c r="BH37" s="2991">
        <f t="shared" si="23"/>
        <v>0</v>
      </c>
      <c r="BI37" s="2991">
        <f t="shared" si="24"/>
        <v>0</v>
      </c>
      <c r="BJ37" s="2991">
        <f t="shared" si="25"/>
        <v>0</v>
      </c>
      <c r="BK37" s="2991">
        <f t="shared" si="26"/>
        <v>0</v>
      </c>
      <c r="BL37" s="2991">
        <f t="shared" si="27"/>
        <v>143.68</v>
      </c>
      <c r="BM37" s="2991">
        <f t="shared" si="28"/>
        <v>0</v>
      </c>
      <c r="BN37" s="2991">
        <f t="shared" si="29"/>
        <v>0</v>
      </c>
      <c r="BO37" s="2991">
        <f t="shared" si="30"/>
        <v>0</v>
      </c>
      <c r="BP37" s="2991">
        <f t="shared" si="31"/>
        <v>0</v>
      </c>
      <c r="BQ37" s="2991">
        <f t="shared" si="32"/>
        <v>0</v>
      </c>
      <c r="BR37" s="2991">
        <f t="shared" si="33"/>
        <v>143.68</v>
      </c>
      <c r="BS37" s="2991">
        <f t="shared" si="34"/>
        <v>0</v>
      </c>
      <c r="BT37" s="2995">
        <f t="shared" si="35"/>
        <v>0</v>
      </c>
    </row>
    <row r="38" spans="1:72" s="2996" customFormat="1" ht="14.5">
      <c r="A38" s="2997"/>
      <c r="B38" s="2998"/>
      <c r="C38" s="2998" t="s">
        <v>3399</v>
      </c>
      <c r="D38" s="2999" t="s">
        <v>3056</v>
      </c>
      <c r="E38" s="3000">
        <f t="shared" si="7"/>
        <v>1136.93</v>
      </c>
      <c r="F38" s="3001"/>
      <c r="G38" s="3002">
        <f t="shared" si="8"/>
        <v>2314.1899999999996</v>
      </c>
      <c r="H38" s="3003">
        <f t="shared" si="9"/>
        <v>2170.5099999999998</v>
      </c>
      <c r="I38" s="3004">
        <v>1644.34</v>
      </c>
      <c r="J38" s="3004"/>
      <c r="K38" s="3004"/>
      <c r="L38" s="3004"/>
      <c r="M38" s="3004">
        <v>526.16999999999996</v>
      </c>
      <c r="N38" s="3004"/>
      <c r="O38" s="3004"/>
      <c r="P38" s="3004"/>
      <c r="Q38" s="3004"/>
      <c r="R38" s="3004"/>
      <c r="S38" s="3004"/>
      <c r="T38" s="3004"/>
      <c r="U38" s="3004"/>
      <c r="V38" s="3004"/>
      <c r="W38" s="3004"/>
      <c r="X38" s="3004"/>
      <c r="Y38" s="3004"/>
      <c r="Z38" s="3004"/>
      <c r="AA38" s="3004"/>
      <c r="AB38" s="3004"/>
      <c r="AC38" s="3000">
        <f t="shared" si="10"/>
        <v>143.68</v>
      </c>
      <c r="AD38" s="3005"/>
      <c r="AE38" s="3005"/>
      <c r="AF38" s="3005"/>
      <c r="AG38" s="3005"/>
      <c r="AH38" s="3005"/>
      <c r="AI38" s="3005"/>
      <c r="AJ38" s="3005"/>
      <c r="AK38" s="3005"/>
      <c r="AL38" s="3005"/>
      <c r="AM38" s="3005"/>
      <c r="AN38" s="3005">
        <v>143.68</v>
      </c>
      <c r="AO38" s="3005"/>
      <c r="AP38" s="3005"/>
      <c r="AQ38" s="3005"/>
      <c r="AR38" s="3005"/>
      <c r="AS38" s="3005"/>
      <c r="AT38" s="3006"/>
      <c r="AU38" s="2992"/>
      <c r="AV38" s="2993">
        <f t="shared" si="11"/>
        <v>0</v>
      </c>
      <c r="AW38" s="2993">
        <f t="shared" si="12"/>
        <v>0</v>
      </c>
      <c r="AX38" s="2993" t="str">
        <f t="shared" si="13"/>
        <v>6#住宅</v>
      </c>
      <c r="AY38" s="2994">
        <f t="shared" si="14"/>
        <v>1136.93</v>
      </c>
      <c r="AZ38" s="2991">
        <f t="shared" si="15"/>
        <v>2314.1899999999996</v>
      </c>
      <c r="BA38" s="2991">
        <f t="shared" si="16"/>
        <v>2170.5099999999998</v>
      </c>
      <c r="BB38" s="2991">
        <f t="shared" si="17"/>
        <v>1644.34</v>
      </c>
      <c r="BC38" s="2991">
        <f t="shared" si="18"/>
        <v>0</v>
      </c>
      <c r="BD38" s="2991">
        <f t="shared" si="19"/>
        <v>526.16999999999996</v>
      </c>
      <c r="BE38" s="2991">
        <f t="shared" si="20"/>
        <v>0</v>
      </c>
      <c r="BF38" s="2991">
        <f t="shared" si="21"/>
        <v>0</v>
      </c>
      <c r="BG38" s="2991">
        <f t="shared" si="22"/>
        <v>0</v>
      </c>
      <c r="BH38" s="2991">
        <f t="shared" si="23"/>
        <v>0</v>
      </c>
      <c r="BI38" s="2991">
        <f t="shared" si="24"/>
        <v>0</v>
      </c>
      <c r="BJ38" s="2991">
        <f t="shared" si="25"/>
        <v>0</v>
      </c>
      <c r="BK38" s="2991">
        <f t="shared" si="26"/>
        <v>0</v>
      </c>
      <c r="BL38" s="2991">
        <f t="shared" si="27"/>
        <v>143.68</v>
      </c>
      <c r="BM38" s="2991">
        <f t="shared" si="28"/>
        <v>0</v>
      </c>
      <c r="BN38" s="2991">
        <f t="shared" si="29"/>
        <v>0</v>
      </c>
      <c r="BO38" s="2991">
        <f t="shared" si="30"/>
        <v>0</v>
      </c>
      <c r="BP38" s="2991">
        <f t="shared" si="31"/>
        <v>0</v>
      </c>
      <c r="BQ38" s="2991">
        <f t="shared" si="32"/>
        <v>0</v>
      </c>
      <c r="BR38" s="2991">
        <f t="shared" si="33"/>
        <v>143.68</v>
      </c>
      <c r="BS38" s="2991">
        <f t="shared" si="34"/>
        <v>0</v>
      </c>
      <c r="BT38" s="2995">
        <f t="shared" si="35"/>
        <v>0</v>
      </c>
    </row>
    <row r="39" spans="1:72" s="2996" customFormat="1" ht="14.5">
      <c r="A39" s="2997"/>
      <c r="B39" s="2998"/>
      <c r="C39" s="2998" t="s">
        <v>3400</v>
      </c>
      <c r="D39" s="2999" t="s">
        <v>3056</v>
      </c>
      <c r="E39" s="3000">
        <f t="shared" si="7"/>
        <v>1135.4000000000001</v>
      </c>
      <c r="F39" s="3001"/>
      <c r="G39" s="3002">
        <f t="shared" si="8"/>
        <v>2311.0699999999997</v>
      </c>
      <c r="H39" s="3003">
        <f t="shared" si="9"/>
        <v>2167.39</v>
      </c>
      <c r="I39" s="3004">
        <v>1644.34</v>
      </c>
      <c r="J39" s="3004"/>
      <c r="K39" s="3004"/>
      <c r="L39" s="3004"/>
      <c r="M39" s="3004">
        <v>523.04999999999995</v>
      </c>
      <c r="N39" s="3004"/>
      <c r="O39" s="3004"/>
      <c r="P39" s="3004"/>
      <c r="Q39" s="3004"/>
      <c r="R39" s="3004"/>
      <c r="S39" s="3004"/>
      <c r="T39" s="3004"/>
      <c r="U39" s="3004"/>
      <c r="V39" s="3004"/>
      <c r="W39" s="3004"/>
      <c r="X39" s="3004"/>
      <c r="Y39" s="3004"/>
      <c r="Z39" s="3004"/>
      <c r="AA39" s="3004"/>
      <c r="AB39" s="3004"/>
      <c r="AC39" s="3000">
        <f t="shared" si="10"/>
        <v>143.68</v>
      </c>
      <c r="AD39" s="3005"/>
      <c r="AE39" s="3005"/>
      <c r="AF39" s="3005"/>
      <c r="AG39" s="3005"/>
      <c r="AH39" s="3005"/>
      <c r="AI39" s="3005"/>
      <c r="AJ39" s="3005"/>
      <c r="AK39" s="3005"/>
      <c r="AL39" s="3005"/>
      <c r="AM39" s="3005"/>
      <c r="AN39" s="3005">
        <v>143.68</v>
      </c>
      <c r="AO39" s="3005"/>
      <c r="AP39" s="3005"/>
      <c r="AQ39" s="3005"/>
      <c r="AR39" s="3005"/>
      <c r="AS39" s="3005"/>
      <c r="AT39" s="3006"/>
      <c r="AU39" s="2992"/>
      <c r="AV39" s="2993">
        <f t="shared" si="11"/>
        <v>0</v>
      </c>
      <c r="AW39" s="2993">
        <f t="shared" si="12"/>
        <v>0</v>
      </c>
      <c r="AX39" s="2993" t="str">
        <f t="shared" si="13"/>
        <v>7#住宅</v>
      </c>
      <c r="AY39" s="2994">
        <f t="shared" si="14"/>
        <v>1135.4000000000001</v>
      </c>
      <c r="AZ39" s="2991">
        <f t="shared" si="15"/>
        <v>2311.0699999999997</v>
      </c>
      <c r="BA39" s="2991">
        <f t="shared" si="16"/>
        <v>2167.39</v>
      </c>
      <c r="BB39" s="2991">
        <f t="shared" si="17"/>
        <v>1644.34</v>
      </c>
      <c r="BC39" s="2991">
        <f t="shared" si="18"/>
        <v>0</v>
      </c>
      <c r="BD39" s="2991">
        <f t="shared" si="19"/>
        <v>523.04999999999995</v>
      </c>
      <c r="BE39" s="2991">
        <f t="shared" si="20"/>
        <v>0</v>
      </c>
      <c r="BF39" s="2991">
        <f t="shared" si="21"/>
        <v>0</v>
      </c>
      <c r="BG39" s="2991">
        <f t="shared" si="22"/>
        <v>0</v>
      </c>
      <c r="BH39" s="2991">
        <f t="shared" si="23"/>
        <v>0</v>
      </c>
      <c r="BI39" s="2991">
        <f t="shared" si="24"/>
        <v>0</v>
      </c>
      <c r="BJ39" s="2991">
        <f t="shared" si="25"/>
        <v>0</v>
      </c>
      <c r="BK39" s="2991">
        <f t="shared" si="26"/>
        <v>0</v>
      </c>
      <c r="BL39" s="2991">
        <f t="shared" si="27"/>
        <v>143.68</v>
      </c>
      <c r="BM39" s="2991">
        <f t="shared" si="28"/>
        <v>0</v>
      </c>
      <c r="BN39" s="2991">
        <f t="shared" si="29"/>
        <v>0</v>
      </c>
      <c r="BO39" s="2991">
        <f t="shared" si="30"/>
        <v>0</v>
      </c>
      <c r="BP39" s="2991">
        <f t="shared" si="31"/>
        <v>0</v>
      </c>
      <c r="BQ39" s="2991">
        <f t="shared" si="32"/>
        <v>0</v>
      </c>
      <c r="BR39" s="2991">
        <f t="shared" si="33"/>
        <v>143.68</v>
      </c>
      <c r="BS39" s="2991">
        <f t="shared" si="34"/>
        <v>0</v>
      </c>
      <c r="BT39" s="2995">
        <f t="shared" si="35"/>
        <v>0</v>
      </c>
    </row>
    <row r="40" spans="1:72" s="2996" customFormat="1" ht="14.5">
      <c r="A40" s="2997"/>
      <c r="B40" s="2998"/>
      <c r="C40" s="2998" t="s">
        <v>3401</v>
      </c>
      <c r="D40" s="2999" t="s">
        <v>3056</v>
      </c>
      <c r="E40" s="3000">
        <f t="shared" si="7"/>
        <v>1137.19</v>
      </c>
      <c r="F40" s="3001"/>
      <c r="G40" s="3002">
        <f t="shared" si="8"/>
        <v>2314.7099999999996</v>
      </c>
      <c r="H40" s="3003">
        <f t="shared" si="9"/>
        <v>2171.0299999999997</v>
      </c>
      <c r="I40" s="3004">
        <v>1644.34</v>
      </c>
      <c r="J40" s="3004"/>
      <c r="K40" s="3004"/>
      <c r="L40" s="3004"/>
      <c r="M40" s="3004">
        <v>526.69000000000005</v>
      </c>
      <c r="N40" s="3004"/>
      <c r="O40" s="3004"/>
      <c r="P40" s="3004"/>
      <c r="Q40" s="3004"/>
      <c r="R40" s="3004"/>
      <c r="S40" s="3004"/>
      <c r="T40" s="3004"/>
      <c r="U40" s="3004"/>
      <c r="V40" s="3004"/>
      <c r="W40" s="3004"/>
      <c r="X40" s="3004"/>
      <c r="Y40" s="3004"/>
      <c r="Z40" s="3004"/>
      <c r="AA40" s="3004"/>
      <c r="AB40" s="3004"/>
      <c r="AC40" s="3000">
        <f t="shared" si="10"/>
        <v>143.68</v>
      </c>
      <c r="AD40" s="3005"/>
      <c r="AE40" s="3005"/>
      <c r="AF40" s="3005"/>
      <c r="AG40" s="3005"/>
      <c r="AH40" s="3005"/>
      <c r="AI40" s="3005"/>
      <c r="AJ40" s="3005"/>
      <c r="AK40" s="3005"/>
      <c r="AL40" s="3005"/>
      <c r="AM40" s="3005"/>
      <c r="AN40" s="3005">
        <v>143.68</v>
      </c>
      <c r="AO40" s="3005"/>
      <c r="AP40" s="3005"/>
      <c r="AQ40" s="3005"/>
      <c r="AR40" s="3005"/>
      <c r="AS40" s="3005"/>
      <c r="AT40" s="3006"/>
      <c r="AU40" s="2992"/>
      <c r="AV40" s="2993">
        <f t="shared" si="11"/>
        <v>0</v>
      </c>
      <c r="AW40" s="2993">
        <f t="shared" si="12"/>
        <v>0</v>
      </c>
      <c r="AX40" s="2993" t="str">
        <f t="shared" si="13"/>
        <v>8#住宅</v>
      </c>
      <c r="AY40" s="2994">
        <f t="shared" si="14"/>
        <v>1137.19</v>
      </c>
      <c r="AZ40" s="2991">
        <f t="shared" si="15"/>
        <v>2314.7099999999996</v>
      </c>
      <c r="BA40" s="2991">
        <f t="shared" si="16"/>
        <v>2171.0299999999997</v>
      </c>
      <c r="BB40" s="2991">
        <f t="shared" si="17"/>
        <v>1644.34</v>
      </c>
      <c r="BC40" s="2991">
        <f t="shared" si="18"/>
        <v>0</v>
      </c>
      <c r="BD40" s="2991">
        <f t="shared" si="19"/>
        <v>526.69000000000005</v>
      </c>
      <c r="BE40" s="2991">
        <f t="shared" si="20"/>
        <v>0</v>
      </c>
      <c r="BF40" s="2991">
        <f t="shared" si="21"/>
        <v>0</v>
      </c>
      <c r="BG40" s="2991">
        <f t="shared" si="22"/>
        <v>0</v>
      </c>
      <c r="BH40" s="2991">
        <f t="shared" si="23"/>
        <v>0</v>
      </c>
      <c r="BI40" s="2991">
        <f t="shared" si="24"/>
        <v>0</v>
      </c>
      <c r="BJ40" s="2991">
        <f t="shared" si="25"/>
        <v>0</v>
      </c>
      <c r="BK40" s="2991">
        <f t="shared" si="26"/>
        <v>0</v>
      </c>
      <c r="BL40" s="2991">
        <f t="shared" si="27"/>
        <v>143.68</v>
      </c>
      <c r="BM40" s="2991">
        <f t="shared" si="28"/>
        <v>0</v>
      </c>
      <c r="BN40" s="2991">
        <f t="shared" si="29"/>
        <v>0</v>
      </c>
      <c r="BO40" s="2991">
        <f t="shared" si="30"/>
        <v>0</v>
      </c>
      <c r="BP40" s="2991">
        <f t="shared" si="31"/>
        <v>0</v>
      </c>
      <c r="BQ40" s="2991">
        <f t="shared" si="32"/>
        <v>0</v>
      </c>
      <c r="BR40" s="2991">
        <f t="shared" si="33"/>
        <v>143.68</v>
      </c>
      <c r="BS40" s="2991">
        <f t="shared" si="34"/>
        <v>0</v>
      </c>
      <c r="BT40" s="2995">
        <f t="shared" si="35"/>
        <v>0</v>
      </c>
    </row>
    <row r="41" spans="1:72" s="2996" customFormat="1" ht="14.5">
      <c r="A41" s="2997"/>
      <c r="B41" s="2998"/>
      <c r="C41" s="2998" t="s">
        <v>3402</v>
      </c>
      <c r="D41" s="2999" t="s">
        <v>3056</v>
      </c>
      <c r="E41" s="3000">
        <f t="shared" si="7"/>
        <v>745.37</v>
      </c>
      <c r="F41" s="3001"/>
      <c r="G41" s="3002">
        <f t="shared" si="8"/>
        <v>1517.18</v>
      </c>
      <c r="H41" s="3003">
        <f t="shared" si="9"/>
        <v>1517.18</v>
      </c>
      <c r="I41" s="3004">
        <v>1009.49</v>
      </c>
      <c r="J41" s="3004"/>
      <c r="K41" s="3004"/>
      <c r="L41" s="3004"/>
      <c r="M41" s="3004">
        <v>507.69</v>
      </c>
      <c r="N41" s="3004"/>
      <c r="O41" s="3004"/>
      <c r="P41" s="3004"/>
      <c r="Q41" s="3004"/>
      <c r="R41" s="3004"/>
      <c r="S41" s="3004"/>
      <c r="T41" s="3004"/>
      <c r="U41" s="3004"/>
      <c r="V41" s="3004"/>
      <c r="W41" s="3004"/>
      <c r="X41" s="3004"/>
      <c r="Y41" s="3004"/>
      <c r="Z41" s="3004"/>
      <c r="AA41" s="3004"/>
      <c r="AB41" s="3004"/>
      <c r="AC41" s="3000">
        <f t="shared" si="10"/>
        <v>0</v>
      </c>
      <c r="AD41" s="3005"/>
      <c r="AE41" s="3005"/>
      <c r="AF41" s="3005"/>
      <c r="AG41" s="3005"/>
      <c r="AH41" s="3005"/>
      <c r="AI41" s="3005"/>
      <c r="AJ41" s="3005"/>
      <c r="AK41" s="3005"/>
      <c r="AL41" s="3005"/>
      <c r="AM41" s="3005"/>
      <c r="AN41" s="3005"/>
      <c r="AO41" s="3005"/>
      <c r="AP41" s="3005"/>
      <c r="AQ41" s="3005"/>
      <c r="AR41" s="3005"/>
      <c r="AS41" s="3005"/>
      <c r="AT41" s="3006"/>
      <c r="AU41" s="2992"/>
      <c r="AV41" s="2993">
        <f t="shared" si="11"/>
        <v>0</v>
      </c>
      <c r="AW41" s="2993">
        <f t="shared" si="12"/>
        <v>0</v>
      </c>
      <c r="AX41" s="2993" t="str">
        <f t="shared" si="13"/>
        <v>9#住宅</v>
      </c>
      <c r="AY41" s="2994">
        <f t="shared" si="14"/>
        <v>745.37</v>
      </c>
      <c r="AZ41" s="2991">
        <f t="shared" si="15"/>
        <v>1517.18</v>
      </c>
      <c r="BA41" s="2991">
        <f t="shared" si="16"/>
        <v>1517.18</v>
      </c>
      <c r="BB41" s="2991">
        <f t="shared" si="17"/>
        <v>1009.49</v>
      </c>
      <c r="BC41" s="2991">
        <f t="shared" si="18"/>
        <v>0</v>
      </c>
      <c r="BD41" s="2991">
        <f t="shared" si="19"/>
        <v>507.69</v>
      </c>
      <c r="BE41" s="2991">
        <f t="shared" si="20"/>
        <v>0</v>
      </c>
      <c r="BF41" s="2991">
        <f t="shared" si="21"/>
        <v>0</v>
      </c>
      <c r="BG41" s="2991">
        <f t="shared" si="22"/>
        <v>0</v>
      </c>
      <c r="BH41" s="2991">
        <f t="shared" si="23"/>
        <v>0</v>
      </c>
      <c r="BI41" s="2991">
        <f t="shared" si="24"/>
        <v>0</v>
      </c>
      <c r="BJ41" s="2991">
        <f t="shared" si="25"/>
        <v>0</v>
      </c>
      <c r="BK41" s="2991">
        <f t="shared" si="26"/>
        <v>0</v>
      </c>
      <c r="BL41" s="2991">
        <f t="shared" si="27"/>
        <v>0</v>
      </c>
      <c r="BM41" s="2991">
        <f t="shared" si="28"/>
        <v>0</v>
      </c>
      <c r="BN41" s="2991">
        <f t="shared" si="29"/>
        <v>0</v>
      </c>
      <c r="BO41" s="2991">
        <f t="shared" si="30"/>
        <v>0</v>
      </c>
      <c r="BP41" s="2991">
        <f t="shared" si="31"/>
        <v>0</v>
      </c>
      <c r="BQ41" s="2991">
        <f t="shared" si="32"/>
        <v>0</v>
      </c>
      <c r="BR41" s="2991">
        <f t="shared" si="33"/>
        <v>0</v>
      </c>
      <c r="BS41" s="2991">
        <f t="shared" si="34"/>
        <v>0</v>
      </c>
      <c r="BT41" s="2995">
        <f t="shared" si="35"/>
        <v>0</v>
      </c>
    </row>
    <row r="42" spans="1:72" s="2996" customFormat="1" ht="14.5">
      <c r="A42" s="2997"/>
      <c r="B42" s="2998"/>
      <c r="C42" s="2998" t="s">
        <v>3403</v>
      </c>
      <c r="D42" s="2999" t="s">
        <v>3056</v>
      </c>
      <c r="E42" s="3000">
        <f t="shared" si="7"/>
        <v>1134.1600000000001</v>
      </c>
      <c r="F42" s="3001"/>
      <c r="G42" s="3002">
        <f t="shared" si="8"/>
        <v>2308.54</v>
      </c>
      <c r="H42" s="3003">
        <f t="shared" si="9"/>
        <v>2300.08</v>
      </c>
      <c r="I42" s="3004">
        <v>1644.34</v>
      </c>
      <c r="J42" s="3004"/>
      <c r="K42" s="3004"/>
      <c r="L42" s="3004"/>
      <c r="M42" s="3004">
        <v>655.74</v>
      </c>
      <c r="N42" s="3004"/>
      <c r="O42" s="3004"/>
      <c r="P42" s="3004"/>
      <c r="Q42" s="3004"/>
      <c r="R42" s="3004"/>
      <c r="S42" s="3004"/>
      <c r="T42" s="3004"/>
      <c r="U42" s="3004"/>
      <c r="V42" s="3004"/>
      <c r="W42" s="3004"/>
      <c r="X42" s="3004"/>
      <c r="Y42" s="3004"/>
      <c r="Z42" s="3004"/>
      <c r="AA42" s="3004"/>
      <c r="AB42" s="3004"/>
      <c r="AC42" s="3000">
        <f t="shared" si="10"/>
        <v>8.4600000000000009</v>
      </c>
      <c r="AD42" s="3005"/>
      <c r="AE42" s="3005"/>
      <c r="AF42" s="3005"/>
      <c r="AG42" s="3005"/>
      <c r="AH42" s="3005"/>
      <c r="AI42" s="3005"/>
      <c r="AJ42" s="3005"/>
      <c r="AK42" s="3005"/>
      <c r="AL42" s="3005">
        <v>8.4600000000000009</v>
      </c>
      <c r="AM42" s="3005"/>
      <c r="AN42" s="3005"/>
      <c r="AO42" s="3005"/>
      <c r="AP42" s="3005"/>
      <c r="AQ42" s="3005"/>
      <c r="AR42" s="3005"/>
      <c r="AS42" s="3005"/>
      <c r="AT42" s="3006"/>
      <c r="AU42" s="2992"/>
      <c r="AV42" s="2993">
        <f t="shared" si="11"/>
        <v>0</v>
      </c>
      <c r="AW42" s="2993">
        <f t="shared" si="12"/>
        <v>0</v>
      </c>
      <c r="AX42" s="2993" t="str">
        <f t="shared" si="13"/>
        <v>10#住宅</v>
      </c>
      <c r="AY42" s="2994">
        <f t="shared" si="14"/>
        <v>1134.1600000000001</v>
      </c>
      <c r="AZ42" s="2991">
        <f t="shared" si="15"/>
        <v>2308.54</v>
      </c>
      <c r="BA42" s="2991">
        <f t="shared" si="16"/>
        <v>2300.08</v>
      </c>
      <c r="BB42" s="2991">
        <f t="shared" si="17"/>
        <v>1644.34</v>
      </c>
      <c r="BC42" s="2991">
        <f t="shared" si="18"/>
        <v>0</v>
      </c>
      <c r="BD42" s="2991">
        <f t="shared" si="19"/>
        <v>655.74</v>
      </c>
      <c r="BE42" s="2991">
        <f t="shared" si="20"/>
        <v>0</v>
      </c>
      <c r="BF42" s="2991">
        <f t="shared" si="21"/>
        <v>0</v>
      </c>
      <c r="BG42" s="2991">
        <f t="shared" si="22"/>
        <v>0</v>
      </c>
      <c r="BH42" s="2991">
        <f t="shared" si="23"/>
        <v>0</v>
      </c>
      <c r="BI42" s="2991">
        <f t="shared" si="24"/>
        <v>0</v>
      </c>
      <c r="BJ42" s="2991">
        <f t="shared" si="25"/>
        <v>0</v>
      </c>
      <c r="BK42" s="2991">
        <f t="shared" si="26"/>
        <v>0</v>
      </c>
      <c r="BL42" s="2991">
        <f t="shared" si="27"/>
        <v>8.4600000000000009</v>
      </c>
      <c r="BM42" s="2991">
        <f t="shared" si="28"/>
        <v>0</v>
      </c>
      <c r="BN42" s="2991">
        <f t="shared" si="29"/>
        <v>0</v>
      </c>
      <c r="BO42" s="2991">
        <f t="shared" si="30"/>
        <v>0</v>
      </c>
      <c r="BP42" s="2991">
        <f t="shared" si="31"/>
        <v>0</v>
      </c>
      <c r="BQ42" s="2991">
        <f t="shared" si="32"/>
        <v>8.4600000000000009</v>
      </c>
      <c r="BR42" s="2991">
        <f t="shared" si="33"/>
        <v>0</v>
      </c>
      <c r="BS42" s="2991">
        <f t="shared" si="34"/>
        <v>0</v>
      </c>
      <c r="BT42" s="2995">
        <f t="shared" si="35"/>
        <v>0</v>
      </c>
    </row>
    <row r="43" spans="1:72" s="2996" customFormat="1" ht="14.5">
      <c r="A43" s="2997"/>
      <c r="B43" s="2998"/>
      <c r="C43" s="2998" t="s">
        <v>3404</v>
      </c>
      <c r="D43" s="2999" t="s">
        <v>3056</v>
      </c>
      <c r="E43" s="3000">
        <f t="shared" si="7"/>
        <v>1672.54</v>
      </c>
      <c r="F43" s="3001"/>
      <c r="G43" s="3002">
        <f t="shared" si="8"/>
        <v>3404.41</v>
      </c>
      <c r="H43" s="3003">
        <f t="shared" si="9"/>
        <v>3404.41</v>
      </c>
      <c r="I43" s="3004">
        <v>2420.63</v>
      </c>
      <c r="J43" s="3004"/>
      <c r="K43" s="3004"/>
      <c r="L43" s="3004"/>
      <c r="M43" s="3004">
        <v>983.78</v>
      </c>
      <c r="N43" s="3004"/>
      <c r="O43" s="3004"/>
      <c r="P43" s="3004"/>
      <c r="Q43" s="3004"/>
      <c r="R43" s="3004"/>
      <c r="S43" s="3004"/>
      <c r="T43" s="3004"/>
      <c r="U43" s="3004"/>
      <c r="V43" s="3004"/>
      <c r="W43" s="3004"/>
      <c r="X43" s="3004"/>
      <c r="Y43" s="3004"/>
      <c r="Z43" s="3004"/>
      <c r="AA43" s="3004"/>
      <c r="AB43" s="3004"/>
      <c r="AC43" s="3000">
        <f t="shared" si="10"/>
        <v>0</v>
      </c>
      <c r="AD43" s="3005"/>
      <c r="AE43" s="3005"/>
      <c r="AF43" s="3005"/>
      <c r="AG43" s="3005"/>
      <c r="AH43" s="3005"/>
      <c r="AI43" s="3005"/>
      <c r="AJ43" s="3005"/>
      <c r="AK43" s="3005"/>
      <c r="AL43" s="3005"/>
      <c r="AM43" s="3005"/>
      <c r="AN43" s="3005"/>
      <c r="AO43" s="3005"/>
      <c r="AP43" s="3005"/>
      <c r="AQ43" s="3005"/>
      <c r="AR43" s="3005"/>
      <c r="AS43" s="3005"/>
      <c r="AT43" s="3006"/>
      <c r="AU43" s="2992"/>
      <c r="AV43" s="2993">
        <f t="shared" si="11"/>
        <v>0</v>
      </c>
      <c r="AW43" s="2993">
        <f t="shared" si="12"/>
        <v>0</v>
      </c>
      <c r="AX43" s="2993" t="str">
        <f t="shared" si="13"/>
        <v>11#住宅</v>
      </c>
      <c r="AY43" s="2994">
        <f t="shared" si="14"/>
        <v>1672.54</v>
      </c>
      <c r="AZ43" s="2991">
        <f t="shared" si="15"/>
        <v>3404.41</v>
      </c>
      <c r="BA43" s="2991">
        <f t="shared" si="16"/>
        <v>3404.41</v>
      </c>
      <c r="BB43" s="2991">
        <f t="shared" si="17"/>
        <v>2420.63</v>
      </c>
      <c r="BC43" s="2991">
        <f t="shared" si="18"/>
        <v>0</v>
      </c>
      <c r="BD43" s="2991">
        <f t="shared" si="19"/>
        <v>983.78</v>
      </c>
      <c r="BE43" s="2991">
        <f t="shared" si="20"/>
        <v>0</v>
      </c>
      <c r="BF43" s="2991">
        <f t="shared" si="21"/>
        <v>0</v>
      </c>
      <c r="BG43" s="2991">
        <f t="shared" si="22"/>
        <v>0</v>
      </c>
      <c r="BH43" s="2991">
        <f t="shared" si="23"/>
        <v>0</v>
      </c>
      <c r="BI43" s="2991">
        <f t="shared" si="24"/>
        <v>0</v>
      </c>
      <c r="BJ43" s="2991">
        <f t="shared" si="25"/>
        <v>0</v>
      </c>
      <c r="BK43" s="2991">
        <f t="shared" si="26"/>
        <v>0</v>
      </c>
      <c r="BL43" s="2991">
        <f t="shared" si="27"/>
        <v>0</v>
      </c>
      <c r="BM43" s="2991">
        <f t="shared" si="28"/>
        <v>0</v>
      </c>
      <c r="BN43" s="2991">
        <f t="shared" si="29"/>
        <v>0</v>
      </c>
      <c r="BO43" s="2991">
        <f t="shared" si="30"/>
        <v>0</v>
      </c>
      <c r="BP43" s="2991">
        <f t="shared" si="31"/>
        <v>0</v>
      </c>
      <c r="BQ43" s="2991">
        <f t="shared" si="32"/>
        <v>0</v>
      </c>
      <c r="BR43" s="2991">
        <f t="shared" si="33"/>
        <v>0</v>
      </c>
      <c r="BS43" s="2991">
        <f t="shared" si="34"/>
        <v>0</v>
      </c>
      <c r="BT43" s="2995">
        <f t="shared" si="35"/>
        <v>0</v>
      </c>
    </row>
    <row r="44" spans="1:72" s="2996" customFormat="1" ht="14.5">
      <c r="A44" s="2997"/>
      <c r="B44" s="2998"/>
      <c r="C44" s="2998" t="s">
        <v>3405</v>
      </c>
      <c r="D44" s="2999" t="s">
        <v>3056</v>
      </c>
      <c r="E44" s="3000">
        <f t="shared" si="7"/>
        <v>1666.27</v>
      </c>
      <c r="F44" s="3001"/>
      <c r="G44" s="3002">
        <f t="shared" si="8"/>
        <v>3391.63</v>
      </c>
      <c r="H44" s="3003">
        <f t="shared" si="9"/>
        <v>3380.65</v>
      </c>
      <c r="I44" s="3004">
        <v>2420.63</v>
      </c>
      <c r="J44" s="3004"/>
      <c r="K44" s="3004"/>
      <c r="L44" s="3004"/>
      <c r="M44" s="3004">
        <v>960.02</v>
      </c>
      <c r="N44" s="3004"/>
      <c r="O44" s="3004"/>
      <c r="P44" s="3004"/>
      <c r="Q44" s="3004"/>
      <c r="R44" s="3004"/>
      <c r="S44" s="3004"/>
      <c r="T44" s="3004"/>
      <c r="U44" s="3004"/>
      <c r="V44" s="3004"/>
      <c r="W44" s="3004"/>
      <c r="X44" s="3004"/>
      <c r="Y44" s="3004"/>
      <c r="Z44" s="3004"/>
      <c r="AA44" s="3004"/>
      <c r="AB44" s="3004"/>
      <c r="AC44" s="3000">
        <f t="shared" si="10"/>
        <v>10.98</v>
      </c>
      <c r="AD44" s="3005"/>
      <c r="AE44" s="3005"/>
      <c r="AF44" s="3005"/>
      <c r="AG44" s="3005"/>
      <c r="AH44" s="3005"/>
      <c r="AI44" s="3005"/>
      <c r="AJ44" s="3005"/>
      <c r="AK44" s="3005"/>
      <c r="AL44" s="3005">
        <v>10.98</v>
      </c>
      <c r="AM44" s="3005"/>
      <c r="AN44" s="3005"/>
      <c r="AO44" s="3005"/>
      <c r="AP44" s="3005"/>
      <c r="AQ44" s="3005"/>
      <c r="AR44" s="3005"/>
      <c r="AS44" s="3005"/>
      <c r="AT44" s="3006"/>
      <c r="AU44" s="2992"/>
      <c r="AV44" s="2993">
        <f t="shared" si="11"/>
        <v>0</v>
      </c>
      <c r="AW44" s="2993">
        <f t="shared" si="12"/>
        <v>0</v>
      </c>
      <c r="AX44" s="2993" t="str">
        <f t="shared" si="13"/>
        <v>12#住宅</v>
      </c>
      <c r="AY44" s="2994">
        <f t="shared" si="14"/>
        <v>1666.27</v>
      </c>
      <c r="AZ44" s="2991">
        <f t="shared" si="15"/>
        <v>3391.63</v>
      </c>
      <c r="BA44" s="2991">
        <f t="shared" si="16"/>
        <v>3380.65</v>
      </c>
      <c r="BB44" s="2991">
        <f t="shared" si="17"/>
        <v>2420.63</v>
      </c>
      <c r="BC44" s="2991">
        <f t="shared" si="18"/>
        <v>0</v>
      </c>
      <c r="BD44" s="2991">
        <f t="shared" si="19"/>
        <v>960.02</v>
      </c>
      <c r="BE44" s="2991">
        <f t="shared" si="20"/>
        <v>0</v>
      </c>
      <c r="BF44" s="2991">
        <f t="shared" si="21"/>
        <v>0</v>
      </c>
      <c r="BG44" s="2991">
        <f t="shared" si="22"/>
        <v>0</v>
      </c>
      <c r="BH44" s="2991">
        <f t="shared" si="23"/>
        <v>0</v>
      </c>
      <c r="BI44" s="2991">
        <f t="shared" si="24"/>
        <v>0</v>
      </c>
      <c r="BJ44" s="2991">
        <f t="shared" si="25"/>
        <v>0</v>
      </c>
      <c r="BK44" s="2991">
        <f t="shared" si="26"/>
        <v>0</v>
      </c>
      <c r="BL44" s="2991">
        <f t="shared" si="27"/>
        <v>10.98</v>
      </c>
      <c r="BM44" s="2991">
        <f t="shared" si="28"/>
        <v>0</v>
      </c>
      <c r="BN44" s="2991">
        <f t="shared" si="29"/>
        <v>0</v>
      </c>
      <c r="BO44" s="2991">
        <f t="shared" si="30"/>
        <v>0</v>
      </c>
      <c r="BP44" s="2991">
        <f t="shared" si="31"/>
        <v>0</v>
      </c>
      <c r="BQ44" s="2991">
        <f t="shared" si="32"/>
        <v>10.98</v>
      </c>
      <c r="BR44" s="2991">
        <f t="shared" si="33"/>
        <v>0</v>
      </c>
      <c r="BS44" s="2991">
        <f t="shared" si="34"/>
        <v>0</v>
      </c>
      <c r="BT44" s="2995">
        <f t="shared" si="35"/>
        <v>0</v>
      </c>
    </row>
    <row r="45" spans="1:72" s="2996" customFormat="1" ht="14.5">
      <c r="A45" s="2997"/>
      <c r="B45" s="2998"/>
      <c r="C45" s="2998" t="s">
        <v>3406</v>
      </c>
      <c r="D45" s="2999" t="s">
        <v>3056</v>
      </c>
      <c r="E45" s="3000">
        <f t="shared" si="7"/>
        <v>1132.77</v>
      </c>
      <c r="F45" s="3001"/>
      <c r="G45" s="3002">
        <f t="shared" si="8"/>
        <v>2305.7199999999998</v>
      </c>
      <c r="H45" s="3003">
        <f t="shared" si="9"/>
        <v>2294.7399999999998</v>
      </c>
      <c r="I45" s="3004">
        <v>1644.33</v>
      </c>
      <c r="J45" s="3004"/>
      <c r="K45" s="3004"/>
      <c r="L45" s="3004"/>
      <c r="M45" s="3004">
        <v>650.41</v>
      </c>
      <c r="N45" s="3004"/>
      <c r="O45" s="3004"/>
      <c r="P45" s="3004"/>
      <c r="Q45" s="3004"/>
      <c r="R45" s="3004"/>
      <c r="S45" s="3004"/>
      <c r="T45" s="3004"/>
      <c r="U45" s="3004"/>
      <c r="V45" s="3004"/>
      <c r="W45" s="3004"/>
      <c r="X45" s="3004"/>
      <c r="Y45" s="3004"/>
      <c r="Z45" s="3004"/>
      <c r="AA45" s="3004"/>
      <c r="AB45" s="3004"/>
      <c r="AC45" s="3000">
        <f t="shared" si="10"/>
        <v>10.98</v>
      </c>
      <c r="AD45" s="3005"/>
      <c r="AE45" s="3005"/>
      <c r="AF45" s="3005"/>
      <c r="AG45" s="3005"/>
      <c r="AH45" s="3005"/>
      <c r="AI45" s="3005"/>
      <c r="AJ45" s="3005"/>
      <c r="AK45" s="3005"/>
      <c r="AL45" s="3005">
        <v>10.98</v>
      </c>
      <c r="AM45" s="3005"/>
      <c r="AN45" s="3005"/>
      <c r="AO45" s="3005"/>
      <c r="AP45" s="3005"/>
      <c r="AQ45" s="3005"/>
      <c r="AR45" s="3005"/>
      <c r="AS45" s="3005"/>
      <c r="AT45" s="3006"/>
      <c r="AU45" s="2992"/>
      <c r="AV45" s="2993">
        <f t="shared" si="11"/>
        <v>0</v>
      </c>
      <c r="AW45" s="2993">
        <f t="shared" si="12"/>
        <v>0</v>
      </c>
      <c r="AX45" s="2993" t="str">
        <f t="shared" si="13"/>
        <v>13#住宅</v>
      </c>
      <c r="AY45" s="2994">
        <f t="shared" si="14"/>
        <v>1132.77</v>
      </c>
      <c r="AZ45" s="2991">
        <f t="shared" si="15"/>
        <v>2305.7199999999998</v>
      </c>
      <c r="BA45" s="2991">
        <f t="shared" si="16"/>
        <v>2294.7399999999998</v>
      </c>
      <c r="BB45" s="2991">
        <f t="shared" si="17"/>
        <v>1644.33</v>
      </c>
      <c r="BC45" s="2991">
        <f t="shared" si="18"/>
        <v>0</v>
      </c>
      <c r="BD45" s="2991">
        <f t="shared" si="19"/>
        <v>650.41</v>
      </c>
      <c r="BE45" s="2991">
        <f t="shared" si="20"/>
        <v>0</v>
      </c>
      <c r="BF45" s="2991">
        <f t="shared" si="21"/>
        <v>0</v>
      </c>
      <c r="BG45" s="2991">
        <f t="shared" si="22"/>
        <v>0</v>
      </c>
      <c r="BH45" s="2991">
        <f t="shared" si="23"/>
        <v>0</v>
      </c>
      <c r="BI45" s="2991">
        <f t="shared" si="24"/>
        <v>0</v>
      </c>
      <c r="BJ45" s="2991">
        <f t="shared" si="25"/>
        <v>0</v>
      </c>
      <c r="BK45" s="2991">
        <f t="shared" si="26"/>
        <v>0</v>
      </c>
      <c r="BL45" s="2991">
        <f t="shared" si="27"/>
        <v>10.98</v>
      </c>
      <c r="BM45" s="2991">
        <f t="shared" si="28"/>
        <v>0</v>
      </c>
      <c r="BN45" s="2991">
        <f t="shared" si="29"/>
        <v>0</v>
      </c>
      <c r="BO45" s="2991">
        <f t="shared" si="30"/>
        <v>0</v>
      </c>
      <c r="BP45" s="2991">
        <f t="shared" si="31"/>
        <v>0</v>
      </c>
      <c r="BQ45" s="2991">
        <f t="shared" si="32"/>
        <v>10.98</v>
      </c>
      <c r="BR45" s="2991">
        <f t="shared" si="33"/>
        <v>0</v>
      </c>
      <c r="BS45" s="2991">
        <f t="shared" si="34"/>
        <v>0</v>
      </c>
      <c r="BT45" s="2995">
        <f t="shared" si="35"/>
        <v>0</v>
      </c>
    </row>
    <row r="46" spans="1:72" s="2996" customFormat="1" ht="14.5">
      <c r="A46" s="2997"/>
      <c r="B46" s="2998"/>
      <c r="C46" s="2998" t="s">
        <v>3407</v>
      </c>
      <c r="D46" s="2999" t="s">
        <v>3056</v>
      </c>
      <c r="E46" s="3000">
        <f t="shared" si="7"/>
        <v>1326.71</v>
      </c>
      <c r="F46" s="3001"/>
      <c r="G46" s="3002">
        <f t="shared" si="8"/>
        <v>2700.47</v>
      </c>
      <c r="H46" s="3003">
        <f t="shared" si="9"/>
        <v>1520.1</v>
      </c>
      <c r="I46" s="3004">
        <v>1000.68</v>
      </c>
      <c r="J46" s="3004"/>
      <c r="K46" s="3004">
        <v>519.41999999999996</v>
      </c>
      <c r="L46" s="3004"/>
      <c r="M46" s="3004"/>
      <c r="N46" s="3004"/>
      <c r="O46" s="3004"/>
      <c r="P46" s="3004"/>
      <c r="Q46" s="3004"/>
      <c r="R46" s="3004"/>
      <c r="S46" s="3004"/>
      <c r="T46" s="3004"/>
      <c r="U46" s="3004"/>
      <c r="V46" s="3004"/>
      <c r="W46" s="3004"/>
      <c r="X46" s="3004"/>
      <c r="Y46" s="3004"/>
      <c r="Z46" s="3004"/>
      <c r="AA46" s="3004"/>
      <c r="AB46" s="3004"/>
      <c r="AC46" s="3000">
        <f t="shared" si="10"/>
        <v>1180.3699999999999</v>
      </c>
      <c r="AD46" s="3005"/>
      <c r="AE46" s="3005"/>
      <c r="AF46" s="3005"/>
      <c r="AG46" s="3005"/>
      <c r="AH46" s="3005"/>
      <c r="AI46" s="3005"/>
      <c r="AJ46" s="3005"/>
      <c r="AK46" s="3005"/>
      <c r="AL46" s="3005">
        <v>3.36</v>
      </c>
      <c r="AM46" s="3005"/>
      <c r="AN46" s="3005">
        <v>1177.01</v>
      </c>
      <c r="AO46" s="3005"/>
      <c r="AP46" s="3005"/>
      <c r="AQ46" s="3005"/>
      <c r="AR46" s="3005"/>
      <c r="AS46" s="3005"/>
      <c r="AT46" s="3006"/>
      <c r="AU46" s="2992"/>
      <c r="AV46" s="2993">
        <f t="shared" si="11"/>
        <v>0</v>
      </c>
      <c r="AW46" s="2993">
        <f t="shared" si="12"/>
        <v>0</v>
      </c>
      <c r="AX46" s="2993" t="str">
        <f t="shared" si="13"/>
        <v>14#住宅</v>
      </c>
      <c r="AY46" s="2994">
        <f t="shared" si="14"/>
        <v>1326.71</v>
      </c>
      <c r="AZ46" s="2991">
        <f t="shared" si="15"/>
        <v>2700.47</v>
      </c>
      <c r="BA46" s="2991">
        <f t="shared" si="16"/>
        <v>1520.1</v>
      </c>
      <c r="BB46" s="2991">
        <f t="shared" si="17"/>
        <v>1000.68</v>
      </c>
      <c r="BC46" s="2991">
        <f t="shared" si="18"/>
        <v>519.41999999999996</v>
      </c>
      <c r="BD46" s="2991">
        <f t="shared" si="19"/>
        <v>0</v>
      </c>
      <c r="BE46" s="2991">
        <f t="shared" si="20"/>
        <v>0</v>
      </c>
      <c r="BF46" s="2991">
        <f t="shared" si="21"/>
        <v>0</v>
      </c>
      <c r="BG46" s="2991">
        <f t="shared" si="22"/>
        <v>0</v>
      </c>
      <c r="BH46" s="2991">
        <f t="shared" si="23"/>
        <v>0</v>
      </c>
      <c r="BI46" s="2991">
        <f t="shared" si="24"/>
        <v>0</v>
      </c>
      <c r="BJ46" s="2991">
        <f t="shared" si="25"/>
        <v>0</v>
      </c>
      <c r="BK46" s="2991">
        <f t="shared" si="26"/>
        <v>0</v>
      </c>
      <c r="BL46" s="2991">
        <f t="shared" si="27"/>
        <v>1180.3699999999999</v>
      </c>
      <c r="BM46" s="2991">
        <f t="shared" si="28"/>
        <v>0</v>
      </c>
      <c r="BN46" s="2991">
        <f t="shared" si="29"/>
        <v>0</v>
      </c>
      <c r="BO46" s="2991">
        <f t="shared" si="30"/>
        <v>0</v>
      </c>
      <c r="BP46" s="2991">
        <f t="shared" si="31"/>
        <v>0</v>
      </c>
      <c r="BQ46" s="2991">
        <f t="shared" si="32"/>
        <v>3.36</v>
      </c>
      <c r="BR46" s="2991">
        <f t="shared" si="33"/>
        <v>1177.01</v>
      </c>
      <c r="BS46" s="2991">
        <f t="shared" si="34"/>
        <v>0</v>
      </c>
      <c r="BT46" s="2995">
        <f t="shared" si="35"/>
        <v>0</v>
      </c>
    </row>
    <row r="47" spans="1:72" s="2996" customFormat="1" ht="14.5">
      <c r="A47" s="2997"/>
      <c r="B47" s="2998"/>
      <c r="C47" s="2998" t="s">
        <v>3408</v>
      </c>
      <c r="D47" s="2999" t="s">
        <v>3056</v>
      </c>
      <c r="E47" s="3000">
        <f t="shared" si="7"/>
        <v>2222.9899999999998</v>
      </c>
      <c r="F47" s="3001"/>
      <c r="G47" s="3002">
        <f t="shared" si="8"/>
        <v>4524.82</v>
      </c>
      <c r="H47" s="3003">
        <f t="shared" si="9"/>
        <v>2595.46</v>
      </c>
      <c r="I47" s="3004">
        <v>2595.46</v>
      </c>
      <c r="J47" s="3004"/>
      <c r="K47" s="3004"/>
      <c r="L47" s="3004"/>
      <c r="M47" s="3004"/>
      <c r="N47" s="3004"/>
      <c r="O47" s="3004"/>
      <c r="P47" s="3004"/>
      <c r="Q47" s="3004"/>
      <c r="R47" s="3004"/>
      <c r="S47" s="3004"/>
      <c r="T47" s="3004"/>
      <c r="U47" s="3004"/>
      <c r="V47" s="3004"/>
      <c r="W47" s="3004"/>
      <c r="X47" s="3004"/>
      <c r="Y47" s="3004"/>
      <c r="Z47" s="3004"/>
      <c r="AA47" s="3004"/>
      <c r="AB47" s="3004"/>
      <c r="AC47" s="3000">
        <f t="shared" si="10"/>
        <v>1929.3599999999997</v>
      </c>
      <c r="AD47" s="3005"/>
      <c r="AE47" s="3005"/>
      <c r="AF47" s="3005"/>
      <c r="AG47" s="3005"/>
      <c r="AH47" s="3005"/>
      <c r="AI47" s="3005"/>
      <c r="AJ47" s="3005"/>
      <c r="AK47" s="3005"/>
      <c r="AL47" s="3005">
        <v>9.1199999999999992</v>
      </c>
      <c r="AM47" s="3005"/>
      <c r="AN47" s="3005">
        <f>676.94+1065.56+78.11+50.57+49.06</f>
        <v>1920.2399999999998</v>
      </c>
      <c r="AO47" s="3005"/>
      <c r="AP47" s="3005"/>
      <c r="AQ47" s="3005"/>
      <c r="AR47" s="3005"/>
      <c r="AS47" s="3005"/>
      <c r="AT47" s="3006"/>
      <c r="AU47" s="2992"/>
      <c r="AV47" s="2993">
        <f t="shared" si="11"/>
        <v>0</v>
      </c>
      <c r="AW47" s="2993">
        <f t="shared" si="12"/>
        <v>0</v>
      </c>
      <c r="AX47" s="2993" t="str">
        <f t="shared" si="13"/>
        <v>15#住宅</v>
      </c>
      <c r="AY47" s="2994">
        <f t="shared" si="14"/>
        <v>2222.9899999999998</v>
      </c>
      <c r="AZ47" s="2991">
        <f t="shared" si="15"/>
        <v>4524.82</v>
      </c>
      <c r="BA47" s="2991">
        <f t="shared" si="16"/>
        <v>2595.46</v>
      </c>
      <c r="BB47" s="2991">
        <f t="shared" si="17"/>
        <v>2595.46</v>
      </c>
      <c r="BC47" s="2991">
        <f t="shared" si="18"/>
        <v>0</v>
      </c>
      <c r="BD47" s="2991">
        <f t="shared" si="19"/>
        <v>0</v>
      </c>
      <c r="BE47" s="2991">
        <f t="shared" si="20"/>
        <v>0</v>
      </c>
      <c r="BF47" s="2991">
        <f t="shared" si="21"/>
        <v>0</v>
      </c>
      <c r="BG47" s="2991">
        <f t="shared" si="22"/>
        <v>0</v>
      </c>
      <c r="BH47" s="2991">
        <f t="shared" si="23"/>
        <v>0</v>
      </c>
      <c r="BI47" s="2991">
        <f t="shared" si="24"/>
        <v>0</v>
      </c>
      <c r="BJ47" s="2991">
        <f t="shared" si="25"/>
        <v>0</v>
      </c>
      <c r="BK47" s="2991">
        <f t="shared" si="26"/>
        <v>0</v>
      </c>
      <c r="BL47" s="2991">
        <f t="shared" si="27"/>
        <v>1929.3599999999997</v>
      </c>
      <c r="BM47" s="2991">
        <f t="shared" si="28"/>
        <v>0</v>
      </c>
      <c r="BN47" s="2991">
        <f t="shared" si="29"/>
        <v>0</v>
      </c>
      <c r="BO47" s="2991">
        <f t="shared" si="30"/>
        <v>0</v>
      </c>
      <c r="BP47" s="2991">
        <f t="shared" si="31"/>
        <v>0</v>
      </c>
      <c r="BQ47" s="2991">
        <f t="shared" si="32"/>
        <v>9.1199999999999992</v>
      </c>
      <c r="BR47" s="2991">
        <f t="shared" si="33"/>
        <v>1920.2399999999998</v>
      </c>
      <c r="BS47" s="2991">
        <f t="shared" si="34"/>
        <v>0</v>
      </c>
      <c r="BT47" s="2995">
        <f t="shared" si="35"/>
        <v>0</v>
      </c>
    </row>
    <row r="48" spans="1:72" s="2996" customFormat="1" ht="14.5">
      <c r="A48" s="2997"/>
      <c r="B48" s="2998"/>
      <c r="C48" s="2998" t="s">
        <v>3409</v>
      </c>
      <c r="D48" s="2999" t="s">
        <v>3056</v>
      </c>
      <c r="E48" s="3000">
        <f t="shared" si="7"/>
        <v>2519.62</v>
      </c>
      <c r="F48" s="3001"/>
      <c r="G48" s="3002">
        <f t="shared" si="8"/>
        <v>5128.6099999999997</v>
      </c>
      <c r="H48" s="3003">
        <f t="shared" si="9"/>
        <v>3233.29</v>
      </c>
      <c r="I48" s="3004">
        <v>3233.29</v>
      </c>
      <c r="J48" s="3004"/>
      <c r="K48" s="3004"/>
      <c r="L48" s="3004"/>
      <c r="M48" s="3004"/>
      <c r="N48" s="3004"/>
      <c r="O48" s="3004"/>
      <c r="P48" s="3004"/>
      <c r="Q48" s="3004"/>
      <c r="R48" s="3004"/>
      <c r="S48" s="3004"/>
      <c r="T48" s="3004"/>
      <c r="U48" s="3004"/>
      <c r="V48" s="3004"/>
      <c r="W48" s="3004"/>
      <c r="X48" s="3004"/>
      <c r="Y48" s="3004"/>
      <c r="Z48" s="3004"/>
      <c r="AA48" s="3004"/>
      <c r="AB48" s="3004"/>
      <c r="AC48" s="3000">
        <f t="shared" si="10"/>
        <v>1863.83</v>
      </c>
      <c r="AD48" s="3005"/>
      <c r="AE48" s="3005"/>
      <c r="AF48" s="3005"/>
      <c r="AG48" s="3005"/>
      <c r="AH48" s="3005"/>
      <c r="AI48" s="3005"/>
      <c r="AJ48" s="3005"/>
      <c r="AK48" s="3005"/>
      <c r="AL48" s="3005"/>
      <c r="AM48" s="3005"/>
      <c r="AN48" s="3005">
        <f>604.11+1259.72</f>
        <v>1863.83</v>
      </c>
      <c r="AO48" s="3005"/>
      <c r="AP48" s="3005"/>
      <c r="AQ48" s="3005"/>
      <c r="AR48" s="3005"/>
      <c r="AS48" s="3005"/>
      <c r="AT48" s="3006">
        <v>31.49</v>
      </c>
      <c r="AU48" s="2992"/>
      <c r="AV48" s="2993">
        <f t="shared" si="11"/>
        <v>0</v>
      </c>
      <c r="AW48" s="2993">
        <f t="shared" si="12"/>
        <v>0</v>
      </c>
      <c r="AX48" s="2993" t="str">
        <f t="shared" si="13"/>
        <v>16#住宅</v>
      </c>
      <c r="AY48" s="2994">
        <f t="shared" si="14"/>
        <v>2504.15</v>
      </c>
      <c r="AZ48" s="2991">
        <f t="shared" si="15"/>
        <v>5097.12</v>
      </c>
      <c r="BA48" s="2991">
        <f t="shared" si="16"/>
        <v>3233.29</v>
      </c>
      <c r="BB48" s="2991">
        <f t="shared" si="17"/>
        <v>3233.29</v>
      </c>
      <c r="BC48" s="2991">
        <f t="shared" si="18"/>
        <v>0</v>
      </c>
      <c r="BD48" s="2991">
        <f t="shared" si="19"/>
        <v>0</v>
      </c>
      <c r="BE48" s="2991">
        <f t="shared" si="20"/>
        <v>0</v>
      </c>
      <c r="BF48" s="2991">
        <f t="shared" si="21"/>
        <v>0</v>
      </c>
      <c r="BG48" s="2991">
        <f t="shared" si="22"/>
        <v>0</v>
      </c>
      <c r="BH48" s="2991">
        <f t="shared" si="23"/>
        <v>0</v>
      </c>
      <c r="BI48" s="2991">
        <f t="shared" si="24"/>
        <v>0</v>
      </c>
      <c r="BJ48" s="2991">
        <f t="shared" si="25"/>
        <v>0</v>
      </c>
      <c r="BK48" s="2991">
        <f t="shared" si="26"/>
        <v>0</v>
      </c>
      <c r="BL48" s="2991">
        <f t="shared" si="27"/>
        <v>1863.83</v>
      </c>
      <c r="BM48" s="2991">
        <f t="shared" si="28"/>
        <v>0</v>
      </c>
      <c r="BN48" s="2991">
        <f t="shared" si="29"/>
        <v>0</v>
      </c>
      <c r="BO48" s="2991">
        <f t="shared" si="30"/>
        <v>0</v>
      </c>
      <c r="BP48" s="2991">
        <f t="shared" si="31"/>
        <v>0</v>
      </c>
      <c r="BQ48" s="2991">
        <f t="shared" si="32"/>
        <v>0</v>
      </c>
      <c r="BR48" s="2991">
        <f t="shared" si="33"/>
        <v>1863.83</v>
      </c>
      <c r="BS48" s="2991">
        <f t="shared" si="34"/>
        <v>0</v>
      </c>
      <c r="BT48" s="2995">
        <f t="shared" si="35"/>
        <v>0</v>
      </c>
    </row>
    <row r="49" spans="1:72" s="2996" customFormat="1" ht="14.5">
      <c r="A49" s="2997"/>
      <c r="B49" s="2998"/>
      <c r="C49" s="2998" t="s">
        <v>3410</v>
      </c>
      <c r="D49" s="2999" t="s">
        <v>3056</v>
      </c>
      <c r="E49" s="3000">
        <f t="shared" si="7"/>
        <v>2317.23</v>
      </c>
      <c r="F49" s="3001"/>
      <c r="G49" s="3002">
        <f t="shared" si="8"/>
        <v>4716.6499999999996</v>
      </c>
      <c r="H49" s="3003">
        <f t="shared" si="9"/>
        <v>2956.92</v>
      </c>
      <c r="I49" s="3004">
        <v>2956.92</v>
      </c>
      <c r="J49" s="3004"/>
      <c r="K49" s="3004"/>
      <c r="L49" s="3004"/>
      <c r="M49" s="3004"/>
      <c r="N49" s="3004"/>
      <c r="O49" s="3004"/>
      <c r="P49" s="3004"/>
      <c r="Q49" s="3004"/>
      <c r="R49" s="3004"/>
      <c r="S49" s="3004"/>
      <c r="T49" s="3004"/>
      <c r="U49" s="3004"/>
      <c r="V49" s="3004"/>
      <c r="W49" s="3004"/>
      <c r="X49" s="3004"/>
      <c r="Y49" s="3004"/>
      <c r="Z49" s="3004"/>
      <c r="AA49" s="3004"/>
      <c r="AB49" s="3004"/>
      <c r="AC49" s="3000">
        <f t="shared" si="10"/>
        <v>1759.73</v>
      </c>
      <c r="AD49" s="3005"/>
      <c r="AE49" s="3005"/>
      <c r="AF49" s="3005"/>
      <c r="AG49" s="3005"/>
      <c r="AH49" s="3005"/>
      <c r="AI49" s="3005"/>
      <c r="AJ49" s="3005"/>
      <c r="AK49" s="3005"/>
      <c r="AL49" s="3005"/>
      <c r="AM49" s="3005"/>
      <c r="AN49" s="3005">
        <f>662.1+1097.63</f>
        <v>1759.73</v>
      </c>
      <c r="AO49" s="3005"/>
      <c r="AP49" s="3005"/>
      <c r="AQ49" s="3005"/>
      <c r="AR49" s="3005"/>
      <c r="AS49" s="3005"/>
      <c r="AT49" s="3006"/>
      <c r="AU49" s="2992"/>
      <c r="AV49" s="2993">
        <f t="shared" si="11"/>
        <v>0</v>
      </c>
      <c r="AW49" s="2993">
        <f t="shared" si="12"/>
        <v>0</v>
      </c>
      <c r="AX49" s="2993" t="str">
        <f t="shared" si="13"/>
        <v>17#住宅</v>
      </c>
      <c r="AY49" s="2994">
        <f t="shared" si="14"/>
        <v>2317.23</v>
      </c>
      <c r="AZ49" s="2991">
        <f t="shared" si="15"/>
        <v>4716.6499999999996</v>
      </c>
      <c r="BA49" s="2991">
        <f t="shared" si="16"/>
        <v>2956.92</v>
      </c>
      <c r="BB49" s="2991">
        <f t="shared" si="17"/>
        <v>2956.92</v>
      </c>
      <c r="BC49" s="2991">
        <f t="shared" si="18"/>
        <v>0</v>
      </c>
      <c r="BD49" s="2991">
        <f t="shared" si="19"/>
        <v>0</v>
      </c>
      <c r="BE49" s="2991">
        <f t="shared" si="20"/>
        <v>0</v>
      </c>
      <c r="BF49" s="2991">
        <f t="shared" si="21"/>
        <v>0</v>
      </c>
      <c r="BG49" s="2991">
        <f t="shared" si="22"/>
        <v>0</v>
      </c>
      <c r="BH49" s="2991">
        <f t="shared" si="23"/>
        <v>0</v>
      </c>
      <c r="BI49" s="2991">
        <f t="shared" si="24"/>
        <v>0</v>
      </c>
      <c r="BJ49" s="2991">
        <f t="shared" si="25"/>
        <v>0</v>
      </c>
      <c r="BK49" s="2991">
        <f t="shared" si="26"/>
        <v>0</v>
      </c>
      <c r="BL49" s="2991">
        <f t="shared" si="27"/>
        <v>1759.73</v>
      </c>
      <c r="BM49" s="2991">
        <f t="shared" si="28"/>
        <v>0</v>
      </c>
      <c r="BN49" s="2991">
        <f t="shared" si="29"/>
        <v>0</v>
      </c>
      <c r="BO49" s="2991">
        <f t="shared" si="30"/>
        <v>0</v>
      </c>
      <c r="BP49" s="2991">
        <f t="shared" si="31"/>
        <v>0</v>
      </c>
      <c r="BQ49" s="2991">
        <f t="shared" si="32"/>
        <v>0</v>
      </c>
      <c r="BR49" s="2991">
        <f t="shared" si="33"/>
        <v>1759.73</v>
      </c>
      <c r="BS49" s="2991">
        <f t="shared" si="34"/>
        <v>0</v>
      </c>
      <c r="BT49" s="2995">
        <f t="shared" si="35"/>
        <v>0</v>
      </c>
    </row>
    <row r="50" spans="1:72" s="2996" customFormat="1" ht="14.5">
      <c r="A50" s="2997"/>
      <c r="B50" s="2998"/>
      <c r="C50" s="2998" t="s">
        <v>3411</v>
      </c>
      <c r="D50" s="2999" t="s">
        <v>3056</v>
      </c>
      <c r="E50" s="3000">
        <f t="shared" si="7"/>
        <v>1915.79</v>
      </c>
      <c r="F50" s="3001"/>
      <c r="G50" s="3002">
        <f t="shared" si="8"/>
        <v>3899.5200000000004</v>
      </c>
      <c r="H50" s="3003">
        <f t="shared" si="9"/>
        <v>2679.09</v>
      </c>
      <c r="I50" s="3004">
        <v>2090.06</v>
      </c>
      <c r="J50" s="3004"/>
      <c r="K50" s="3004">
        <v>589.03</v>
      </c>
      <c r="L50" s="3004"/>
      <c r="M50" s="3004"/>
      <c r="N50" s="3004"/>
      <c r="O50" s="3004"/>
      <c r="P50" s="3004"/>
      <c r="Q50" s="3004"/>
      <c r="R50" s="3004"/>
      <c r="S50" s="3004"/>
      <c r="T50" s="3004"/>
      <c r="U50" s="3004"/>
      <c r="V50" s="3004"/>
      <c r="W50" s="3004"/>
      <c r="X50" s="3004"/>
      <c r="Y50" s="3004"/>
      <c r="Z50" s="3004"/>
      <c r="AA50" s="3004"/>
      <c r="AB50" s="3004"/>
      <c r="AC50" s="3000">
        <f t="shared" si="10"/>
        <v>1220.43</v>
      </c>
      <c r="AD50" s="3005"/>
      <c r="AE50" s="3005"/>
      <c r="AF50" s="3005"/>
      <c r="AG50" s="3005"/>
      <c r="AH50" s="3005"/>
      <c r="AI50" s="3005"/>
      <c r="AJ50" s="3005"/>
      <c r="AK50" s="3005"/>
      <c r="AL50" s="3005">
        <v>8.6999999999999993</v>
      </c>
      <c r="AM50" s="3005"/>
      <c r="AN50" s="3005">
        <f>636.34+575.39</f>
        <v>1211.73</v>
      </c>
      <c r="AO50" s="3005"/>
      <c r="AP50" s="3005"/>
      <c r="AQ50" s="3005"/>
      <c r="AR50" s="3005"/>
      <c r="AS50" s="3005"/>
      <c r="AT50" s="3006"/>
      <c r="AU50" s="2992"/>
      <c r="AV50" s="2993">
        <f t="shared" si="11"/>
        <v>0</v>
      </c>
      <c r="AW50" s="2993">
        <f t="shared" si="12"/>
        <v>0</v>
      </c>
      <c r="AX50" s="2993" t="str">
        <f t="shared" si="13"/>
        <v>18#住宅</v>
      </c>
      <c r="AY50" s="2994">
        <f t="shared" si="14"/>
        <v>1915.79</v>
      </c>
      <c r="AZ50" s="2991">
        <f t="shared" si="15"/>
        <v>3899.5200000000004</v>
      </c>
      <c r="BA50" s="2991">
        <f t="shared" si="16"/>
        <v>2679.09</v>
      </c>
      <c r="BB50" s="2991">
        <f t="shared" si="17"/>
        <v>2090.06</v>
      </c>
      <c r="BC50" s="2991">
        <f t="shared" si="18"/>
        <v>589.03</v>
      </c>
      <c r="BD50" s="2991">
        <f t="shared" si="19"/>
        <v>0</v>
      </c>
      <c r="BE50" s="2991">
        <f t="shared" si="20"/>
        <v>0</v>
      </c>
      <c r="BF50" s="2991">
        <f t="shared" si="21"/>
        <v>0</v>
      </c>
      <c r="BG50" s="2991">
        <f t="shared" si="22"/>
        <v>0</v>
      </c>
      <c r="BH50" s="2991">
        <f t="shared" si="23"/>
        <v>0</v>
      </c>
      <c r="BI50" s="2991">
        <f t="shared" si="24"/>
        <v>0</v>
      </c>
      <c r="BJ50" s="2991">
        <f t="shared" si="25"/>
        <v>0</v>
      </c>
      <c r="BK50" s="2991">
        <f t="shared" si="26"/>
        <v>0</v>
      </c>
      <c r="BL50" s="2991">
        <f t="shared" si="27"/>
        <v>1220.43</v>
      </c>
      <c r="BM50" s="2991">
        <f t="shared" si="28"/>
        <v>0</v>
      </c>
      <c r="BN50" s="2991">
        <f t="shared" si="29"/>
        <v>0</v>
      </c>
      <c r="BO50" s="2991">
        <f t="shared" si="30"/>
        <v>0</v>
      </c>
      <c r="BP50" s="2991">
        <f t="shared" si="31"/>
        <v>0</v>
      </c>
      <c r="BQ50" s="2991">
        <f t="shared" si="32"/>
        <v>8.6999999999999993</v>
      </c>
      <c r="BR50" s="2991">
        <f t="shared" si="33"/>
        <v>1211.73</v>
      </c>
      <c r="BS50" s="2991">
        <f t="shared" si="34"/>
        <v>0</v>
      </c>
      <c r="BT50" s="2995">
        <f t="shared" si="35"/>
        <v>0</v>
      </c>
    </row>
    <row r="51" spans="1:72" s="2996" customFormat="1" ht="14.5">
      <c r="A51" s="2997"/>
      <c r="B51" s="2998"/>
      <c r="C51" s="2998" t="s">
        <v>3412</v>
      </c>
      <c r="D51" s="2999" t="s">
        <v>3056</v>
      </c>
      <c r="E51" s="3000">
        <f t="shared" si="7"/>
        <v>1967.66</v>
      </c>
      <c r="F51" s="3001"/>
      <c r="G51" s="3002">
        <f t="shared" si="8"/>
        <v>4005.1000000000004</v>
      </c>
      <c r="H51" s="3003">
        <f t="shared" si="9"/>
        <v>2250.3000000000002</v>
      </c>
      <c r="I51" s="3004">
        <v>1492</v>
      </c>
      <c r="J51" s="3004"/>
      <c r="K51" s="3004">
        <v>758.3</v>
      </c>
      <c r="L51" s="3004"/>
      <c r="M51" s="3004"/>
      <c r="N51" s="3004"/>
      <c r="O51" s="3004"/>
      <c r="P51" s="3004"/>
      <c r="Q51" s="3004"/>
      <c r="R51" s="3004"/>
      <c r="S51" s="3004"/>
      <c r="T51" s="3004"/>
      <c r="U51" s="3004"/>
      <c r="V51" s="3004"/>
      <c r="W51" s="3004"/>
      <c r="X51" s="3004"/>
      <c r="Y51" s="3004"/>
      <c r="Z51" s="3004"/>
      <c r="AA51" s="3004"/>
      <c r="AB51" s="3004"/>
      <c r="AC51" s="3000">
        <f t="shared" si="10"/>
        <v>1754.8000000000002</v>
      </c>
      <c r="AD51" s="3005"/>
      <c r="AE51" s="3005"/>
      <c r="AF51" s="3005"/>
      <c r="AG51" s="3005"/>
      <c r="AH51" s="3005"/>
      <c r="AI51" s="3005"/>
      <c r="AJ51" s="3005"/>
      <c r="AK51" s="3005"/>
      <c r="AL51" s="3005">
        <v>4.42</v>
      </c>
      <c r="AM51" s="3005"/>
      <c r="AN51" s="3005">
        <v>1750.38</v>
      </c>
      <c r="AO51" s="3005"/>
      <c r="AP51" s="3005"/>
      <c r="AQ51" s="3005"/>
      <c r="AR51" s="3005"/>
      <c r="AS51" s="3005"/>
      <c r="AT51" s="3006"/>
      <c r="AU51" s="2992"/>
      <c r="AV51" s="2993">
        <f t="shared" si="11"/>
        <v>0</v>
      </c>
      <c r="AW51" s="2993">
        <f t="shared" si="12"/>
        <v>0</v>
      </c>
      <c r="AX51" s="2993" t="str">
        <f t="shared" si="13"/>
        <v>19#住宅</v>
      </c>
      <c r="AY51" s="2994">
        <f t="shared" si="14"/>
        <v>1967.66</v>
      </c>
      <c r="AZ51" s="2991">
        <f t="shared" si="15"/>
        <v>4005.1000000000004</v>
      </c>
      <c r="BA51" s="2991">
        <f t="shared" si="16"/>
        <v>2250.3000000000002</v>
      </c>
      <c r="BB51" s="2991">
        <f t="shared" si="17"/>
        <v>1492</v>
      </c>
      <c r="BC51" s="2991">
        <f t="shared" si="18"/>
        <v>758.3</v>
      </c>
      <c r="BD51" s="2991">
        <f t="shared" si="19"/>
        <v>0</v>
      </c>
      <c r="BE51" s="2991">
        <f t="shared" si="20"/>
        <v>0</v>
      </c>
      <c r="BF51" s="2991">
        <f t="shared" si="21"/>
        <v>0</v>
      </c>
      <c r="BG51" s="2991">
        <f t="shared" si="22"/>
        <v>0</v>
      </c>
      <c r="BH51" s="2991">
        <f t="shared" si="23"/>
        <v>0</v>
      </c>
      <c r="BI51" s="2991">
        <f t="shared" si="24"/>
        <v>0</v>
      </c>
      <c r="BJ51" s="2991">
        <f t="shared" si="25"/>
        <v>0</v>
      </c>
      <c r="BK51" s="2991">
        <f t="shared" si="26"/>
        <v>0</v>
      </c>
      <c r="BL51" s="2991">
        <f t="shared" si="27"/>
        <v>1754.8000000000002</v>
      </c>
      <c r="BM51" s="2991">
        <f t="shared" si="28"/>
        <v>0</v>
      </c>
      <c r="BN51" s="2991">
        <f t="shared" si="29"/>
        <v>0</v>
      </c>
      <c r="BO51" s="2991">
        <f t="shared" si="30"/>
        <v>0</v>
      </c>
      <c r="BP51" s="2991">
        <f t="shared" si="31"/>
        <v>0</v>
      </c>
      <c r="BQ51" s="2991">
        <f t="shared" si="32"/>
        <v>4.42</v>
      </c>
      <c r="BR51" s="2991">
        <f t="shared" si="33"/>
        <v>1750.38</v>
      </c>
      <c r="BS51" s="2991">
        <f t="shared" si="34"/>
        <v>0</v>
      </c>
      <c r="BT51" s="2995">
        <f t="shared" si="35"/>
        <v>0</v>
      </c>
    </row>
    <row r="52" spans="1:72" s="2996" customFormat="1" ht="14.5">
      <c r="A52" s="2997"/>
      <c r="B52" s="2998"/>
      <c r="C52" s="2998" t="s">
        <v>3413</v>
      </c>
      <c r="D52" s="2999" t="s">
        <v>3056</v>
      </c>
      <c r="E52" s="3000">
        <f t="shared" si="7"/>
        <v>2055.16</v>
      </c>
      <c r="F52" s="3001"/>
      <c r="G52" s="3002">
        <f t="shared" si="8"/>
        <v>4183.21</v>
      </c>
      <c r="H52" s="3003">
        <f t="shared" si="9"/>
        <v>2720.63</v>
      </c>
      <c r="I52" s="3004">
        <v>2112.1</v>
      </c>
      <c r="J52" s="3004"/>
      <c r="K52" s="3004">
        <v>608.53</v>
      </c>
      <c r="L52" s="3004"/>
      <c r="M52" s="3004"/>
      <c r="N52" s="3004"/>
      <c r="O52" s="3004"/>
      <c r="P52" s="3004"/>
      <c r="Q52" s="3004"/>
      <c r="R52" s="3004"/>
      <c r="S52" s="3004"/>
      <c r="T52" s="3004"/>
      <c r="U52" s="3004"/>
      <c r="V52" s="3004"/>
      <c r="W52" s="3004"/>
      <c r="X52" s="3004"/>
      <c r="Y52" s="3004"/>
      <c r="Z52" s="3004"/>
      <c r="AA52" s="3004"/>
      <c r="AB52" s="3004"/>
      <c r="AC52" s="3000">
        <f t="shared" si="10"/>
        <v>1462.58</v>
      </c>
      <c r="AD52" s="3005"/>
      <c r="AE52" s="3005"/>
      <c r="AF52" s="3005"/>
      <c r="AG52" s="3005"/>
      <c r="AH52" s="3005"/>
      <c r="AI52" s="3005"/>
      <c r="AJ52" s="3005"/>
      <c r="AK52" s="3005"/>
      <c r="AL52" s="3005"/>
      <c r="AM52" s="3005"/>
      <c r="AN52" s="3005">
        <f>601.62+860.96</f>
        <v>1462.58</v>
      </c>
      <c r="AO52" s="3005"/>
      <c r="AP52" s="3005"/>
      <c r="AQ52" s="3005"/>
      <c r="AR52" s="3005"/>
      <c r="AS52" s="3005"/>
      <c r="AT52" s="3006"/>
      <c r="AU52" s="2992"/>
      <c r="AV52" s="2993">
        <f t="shared" si="11"/>
        <v>0</v>
      </c>
      <c r="AW52" s="2993">
        <f t="shared" si="12"/>
        <v>0</v>
      </c>
      <c r="AX52" s="2993" t="str">
        <f t="shared" si="13"/>
        <v>20#住宅</v>
      </c>
      <c r="AY52" s="2994">
        <f t="shared" si="14"/>
        <v>2055.16</v>
      </c>
      <c r="AZ52" s="2991">
        <f t="shared" si="15"/>
        <v>4183.21</v>
      </c>
      <c r="BA52" s="2991">
        <f t="shared" si="16"/>
        <v>2720.63</v>
      </c>
      <c r="BB52" s="2991">
        <f t="shared" si="17"/>
        <v>2112.1</v>
      </c>
      <c r="BC52" s="2991">
        <f t="shared" si="18"/>
        <v>608.53</v>
      </c>
      <c r="BD52" s="2991">
        <f t="shared" si="19"/>
        <v>0</v>
      </c>
      <c r="BE52" s="2991">
        <f t="shared" si="20"/>
        <v>0</v>
      </c>
      <c r="BF52" s="2991">
        <f t="shared" si="21"/>
        <v>0</v>
      </c>
      <c r="BG52" s="2991">
        <f t="shared" si="22"/>
        <v>0</v>
      </c>
      <c r="BH52" s="2991">
        <f t="shared" si="23"/>
        <v>0</v>
      </c>
      <c r="BI52" s="2991">
        <f t="shared" si="24"/>
        <v>0</v>
      </c>
      <c r="BJ52" s="2991">
        <f t="shared" si="25"/>
        <v>0</v>
      </c>
      <c r="BK52" s="2991">
        <f t="shared" si="26"/>
        <v>0</v>
      </c>
      <c r="BL52" s="2991">
        <f t="shared" si="27"/>
        <v>1462.58</v>
      </c>
      <c r="BM52" s="2991">
        <f t="shared" si="28"/>
        <v>0</v>
      </c>
      <c r="BN52" s="2991">
        <f t="shared" si="29"/>
        <v>0</v>
      </c>
      <c r="BO52" s="2991">
        <f t="shared" si="30"/>
        <v>0</v>
      </c>
      <c r="BP52" s="2991">
        <f t="shared" si="31"/>
        <v>0</v>
      </c>
      <c r="BQ52" s="2991">
        <f t="shared" si="32"/>
        <v>0</v>
      </c>
      <c r="BR52" s="2991">
        <f t="shared" si="33"/>
        <v>1462.58</v>
      </c>
      <c r="BS52" s="2991">
        <f t="shared" si="34"/>
        <v>0</v>
      </c>
      <c r="BT52" s="2995">
        <f t="shared" si="35"/>
        <v>0</v>
      </c>
    </row>
    <row r="53" spans="1:72" s="2996" customFormat="1" ht="14.5">
      <c r="A53" s="2997"/>
      <c r="B53" s="2998"/>
      <c r="C53" s="2998" t="s">
        <v>3414</v>
      </c>
      <c r="D53" s="2999" t="s">
        <v>3056</v>
      </c>
      <c r="E53" s="3000">
        <f t="shared" si="7"/>
        <v>2791.71</v>
      </c>
      <c r="F53" s="3001"/>
      <c r="G53" s="3002">
        <f t="shared" si="8"/>
        <v>5682.43</v>
      </c>
      <c r="H53" s="3003">
        <f t="shared" si="9"/>
        <v>3645.85</v>
      </c>
      <c r="I53" s="3004">
        <v>3645.85</v>
      </c>
      <c r="J53" s="3004"/>
      <c r="K53" s="3004"/>
      <c r="L53" s="3004"/>
      <c r="M53" s="3004"/>
      <c r="N53" s="3004"/>
      <c r="O53" s="3004"/>
      <c r="P53" s="3004"/>
      <c r="Q53" s="3004"/>
      <c r="R53" s="3004"/>
      <c r="S53" s="3004"/>
      <c r="T53" s="3004"/>
      <c r="U53" s="3004"/>
      <c r="V53" s="3004"/>
      <c r="W53" s="3004"/>
      <c r="X53" s="3004"/>
      <c r="Y53" s="3004"/>
      <c r="Z53" s="3004"/>
      <c r="AA53" s="3004"/>
      <c r="AB53" s="3004"/>
      <c r="AC53" s="3000">
        <f t="shared" si="10"/>
        <v>2036.58</v>
      </c>
      <c r="AD53" s="3005"/>
      <c r="AE53" s="3005"/>
      <c r="AF53" s="3005"/>
      <c r="AG53" s="3005"/>
      <c r="AH53" s="3005"/>
      <c r="AI53" s="3005"/>
      <c r="AJ53" s="3005"/>
      <c r="AK53" s="3005"/>
      <c r="AL53" s="3005"/>
      <c r="AM53" s="3005"/>
      <c r="AN53" s="3005">
        <v>2036.58</v>
      </c>
      <c r="AO53" s="3005"/>
      <c r="AP53" s="3005"/>
      <c r="AQ53" s="3005"/>
      <c r="AR53" s="3005"/>
      <c r="AS53" s="3005"/>
      <c r="AT53" s="3006"/>
      <c r="AU53" s="2992"/>
      <c r="AV53" s="2993">
        <f t="shared" si="11"/>
        <v>0</v>
      </c>
      <c r="AW53" s="2993">
        <f t="shared" si="12"/>
        <v>0</v>
      </c>
      <c r="AX53" s="2993" t="str">
        <f t="shared" si="13"/>
        <v>21#住宅</v>
      </c>
      <c r="AY53" s="2994">
        <f t="shared" si="14"/>
        <v>2791.71</v>
      </c>
      <c r="AZ53" s="2991">
        <f t="shared" si="15"/>
        <v>5682.43</v>
      </c>
      <c r="BA53" s="2991">
        <f t="shared" si="16"/>
        <v>3645.85</v>
      </c>
      <c r="BB53" s="2991">
        <f t="shared" si="17"/>
        <v>3645.85</v>
      </c>
      <c r="BC53" s="2991">
        <f t="shared" si="18"/>
        <v>0</v>
      </c>
      <c r="BD53" s="2991">
        <f t="shared" si="19"/>
        <v>0</v>
      </c>
      <c r="BE53" s="2991">
        <f t="shared" si="20"/>
        <v>0</v>
      </c>
      <c r="BF53" s="2991">
        <f t="shared" si="21"/>
        <v>0</v>
      </c>
      <c r="BG53" s="2991">
        <f t="shared" si="22"/>
        <v>0</v>
      </c>
      <c r="BH53" s="2991">
        <f t="shared" si="23"/>
        <v>0</v>
      </c>
      <c r="BI53" s="2991">
        <f t="shared" si="24"/>
        <v>0</v>
      </c>
      <c r="BJ53" s="2991">
        <f t="shared" si="25"/>
        <v>0</v>
      </c>
      <c r="BK53" s="2991">
        <f t="shared" si="26"/>
        <v>0</v>
      </c>
      <c r="BL53" s="2991">
        <f t="shared" si="27"/>
        <v>2036.58</v>
      </c>
      <c r="BM53" s="2991">
        <f t="shared" si="28"/>
        <v>0</v>
      </c>
      <c r="BN53" s="2991">
        <f t="shared" si="29"/>
        <v>0</v>
      </c>
      <c r="BO53" s="2991">
        <f t="shared" si="30"/>
        <v>0</v>
      </c>
      <c r="BP53" s="2991">
        <f t="shared" si="31"/>
        <v>0</v>
      </c>
      <c r="BQ53" s="2991">
        <f t="shared" si="32"/>
        <v>0</v>
      </c>
      <c r="BR53" s="2991">
        <f t="shared" si="33"/>
        <v>2036.58</v>
      </c>
      <c r="BS53" s="2991">
        <f t="shared" si="34"/>
        <v>0</v>
      </c>
      <c r="BT53" s="2995">
        <f t="shared" si="35"/>
        <v>0</v>
      </c>
    </row>
    <row r="54" spans="1:72" s="2996" customFormat="1" ht="14.5">
      <c r="A54" s="2997"/>
      <c r="B54" s="2998"/>
      <c r="C54" s="2998" t="s">
        <v>3415</v>
      </c>
      <c r="D54" s="2999" t="s">
        <v>3056</v>
      </c>
      <c r="E54" s="3000">
        <f t="shared" si="7"/>
        <v>4341.99</v>
      </c>
      <c r="F54" s="3001"/>
      <c r="G54" s="3002">
        <f t="shared" si="8"/>
        <v>8837.98</v>
      </c>
      <c r="H54" s="3003">
        <f t="shared" si="9"/>
        <v>5710.81</v>
      </c>
      <c r="I54" s="3004">
        <v>5710.81</v>
      </c>
      <c r="J54" s="3004"/>
      <c r="K54" s="3004"/>
      <c r="L54" s="3004"/>
      <c r="M54" s="3004"/>
      <c r="N54" s="3004"/>
      <c r="O54" s="3004"/>
      <c r="P54" s="3004"/>
      <c r="Q54" s="3004"/>
      <c r="R54" s="3004"/>
      <c r="S54" s="3004"/>
      <c r="T54" s="3004"/>
      <c r="U54" s="3004"/>
      <c r="V54" s="3004"/>
      <c r="W54" s="3004"/>
      <c r="X54" s="3004"/>
      <c r="Y54" s="3004"/>
      <c r="Z54" s="3004"/>
      <c r="AA54" s="3004"/>
      <c r="AB54" s="3004"/>
      <c r="AC54" s="3000">
        <f t="shared" si="10"/>
        <v>3127.17</v>
      </c>
      <c r="AD54" s="3005"/>
      <c r="AE54" s="3005"/>
      <c r="AF54" s="3005"/>
      <c r="AG54" s="3005"/>
      <c r="AH54" s="3005"/>
      <c r="AI54" s="3005"/>
      <c r="AJ54" s="3005"/>
      <c r="AK54" s="3005"/>
      <c r="AL54" s="3005">
        <v>6.75</v>
      </c>
      <c r="AM54" s="3005"/>
      <c r="AN54" s="3005">
        <f>1031.9+2088.52</f>
        <v>3120.42</v>
      </c>
      <c r="AO54" s="3005"/>
      <c r="AP54" s="3005"/>
      <c r="AQ54" s="3005"/>
      <c r="AR54" s="3005"/>
      <c r="AS54" s="3005"/>
      <c r="AT54" s="3006"/>
      <c r="AU54" s="2992"/>
      <c r="AV54" s="2993">
        <f t="shared" si="11"/>
        <v>0</v>
      </c>
      <c r="AW54" s="2993">
        <f t="shared" si="12"/>
        <v>0</v>
      </c>
      <c r="AX54" s="2993" t="str">
        <f t="shared" si="13"/>
        <v>22#住宅</v>
      </c>
      <c r="AY54" s="2994">
        <f t="shared" si="14"/>
        <v>4341.99</v>
      </c>
      <c r="AZ54" s="2991">
        <f t="shared" si="15"/>
        <v>8837.98</v>
      </c>
      <c r="BA54" s="2991">
        <f t="shared" si="16"/>
        <v>5710.81</v>
      </c>
      <c r="BB54" s="2991">
        <f t="shared" si="17"/>
        <v>5710.81</v>
      </c>
      <c r="BC54" s="2991">
        <f t="shared" si="18"/>
        <v>0</v>
      </c>
      <c r="BD54" s="2991">
        <f t="shared" si="19"/>
        <v>0</v>
      </c>
      <c r="BE54" s="2991">
        <f t="shared" si="20"/>
        <v>0</v>
      </c>
      <c r="BF54" s="2991">
        <f t="shared" si="21"/>
        <v>0</v>
      </c>
      <c r="BG54" s="2991">
        <f t="shared" si="22"/>
        <v>0</v>
      </c>
      <c r="BH54" s="2991">
        <f t="shared" si="23"/>
        <v>0</v>
      </c>
      <c r="BI54" s="2991">
        <f t="shared" si="24"/>
        <v>0</v>
      </c>
      <c r="BJ54" s="2991">
        <f t="shared" si="25"/>
        <v>0</v>
      </c>
      <c r="BK54" s="2991">
        <f t="shared" si="26"/>
        <v>0</v>
      </c>
      <c r="BL54" s="2991">
        <f t="shared" si="27"/>
        <v>3127.17</v>
      </c>
      <c r="BM54" s="2991">
        <f t="shared" si="28"/>
        <v>0</v>
      </c>
      <c r="BN54" s="2991">
        <f t="shared" si="29"/>
        <v>0</v>
      </c>
      <c r="BO54" s="2991">
        <f t="shared" si="30"/>
        <v>0</v>
      </c>
      <c r="BP54" s="2991">
        <f t="shared" si="31"/>
        <v>0</v>
      </c>
      <c r="BQ54" s="2991">
        <f t="shared" si="32"/>
        <v>6.75</v>
      </c>
      <c r="BR54" s="2991">
        <f t="shared" si="33"/>
        <v>3120.42</v>
      </c>
      <c r="BS54" s="2991">
        <f t="shared" si="34"/>
        <v>0</v>
      </c>
      <c r="BT54" s="2995">
        <f t="shared" si="35"/>
        <v>0</v>
      </c>
    </row>
    <row r="55" spans="1:72" s="2996" customFormat="1" ht="14.5">
      <c r="A55" s="2997"/>
      <c r="B55" s="2998"/>
      <c r="C55" s="2998" t="s">
        <v>3416</v>
      </c>
      <c r="D55" s="2999" t="s">
        <v>3056</v>
      </c>
      <c r="E55" s="3000">
        <f t="shared" si="7"/>
        <v>1389.04</v>
      </c>
      <c r="F55" s="3001"/>
      <c r="G55" s="3002">
        <f t="shared" si="8"/>
        <v>2827.34</v>
      </c>
      <c r="H55" s="3003">
        <f t="shared" si="9"/>
        <v>1623.56</v>
      </c>
      <c r="I55" s="3004">
        <v>1000.68</v>
      </c>
      <c r="J55" s="3004"/>
      <c r="K55" s="3004">
        <v>622.88</v>
      </c>
      <c r="L55" s="3004"/>
      <c r="M55" s="3004"/>
      <c r="N55" s="3004"/>
      <c r="O55" s="3004"/>
      <c r="P55" s="3004"/>
      <c r="Q55" s="3004"/>
      <c r="R55" s="3004"/>
      <c r="S55" s="3004"/>
      <c r="T55" s="3004"/>
      <c r="U55" s="3004"/>
      <c r="V55" s="3004"/>
      <c r="W55" s="3004"/>
      <c r="X55" s="3004"/>
      <c r="Y55" s="3004"/>
      <c r="Z55" s="3004"/>
      <c r="AA55" s="3004"/>
      <c r="AB55" s="3004"/>
      <c r="AC55" s="3000">
        <f t="shared" si="10"/>
        <v>1203.78</v>
      </c>
      <c r="AD55" s="3005">
        <v>35.33</v>
      </c>
      <c r="AE55" s="3005"/>
      <c r="AF55" s="3005"/>
      <c r="AG55" s="3005"/>
      <c r="AH55" s="3005"/>
      <c r="AI55" s="3005"/>
      <c r="AJ55" s="3005"/>
      <c r="AK55" s="3005"/>
      <c r="AL55" s="3005">
        <v>3.36</v>
      </c>
      <c r="AM55" s="3005"/>
      <c r="AN55" s="3005">
        <v>1165.0899999999999</v>
      </c>
      <c r="AO55" s="3005"/>
      <c r="AP55" s="3005"/>
      <c r="AQ55" s="3005"/>
      <c r="AR55" s="3005"/>
      <c r="AS55" s="3005"/>
      <c r="AT55" s="3006"/>
      <c r="AU55" s="2992"/>
      <c r="AV55" s="2993">
        <f t="shared" si="11"/>
        <v>0</v>
      </c>
      <c r="AW55" s="2993">
        <f t="shared" si="12"/>
        <v>0</v>
      </c>
      <c r="AX55" s="2993" t="str">
        <f t="shared" si="13"/>
        <v>24#住宅</v>
      </c>
      <c r="AY55" s="2994">
        <f t="shared" si="14"/>
        <v>1389.04</v>
      </c>
      <c r="AZ55" s="2991">
        <f t="shared" si="15"/>
        <v>2827.34</v>
      </c>
      <c r="BA55" s="2991">
        <f t="shared" si="16"/>
        <v>1623.56</v>
      </c>
      <c r="BB55" s="2991">
        <f t="shared" si="17"/>
        <v>1000.68</v>
      </c>
      <c r="BC55" s="2991">
        <f t="shared" si="18"/>
        <v>622.88</v>
      </c>
      <c r="BD55" s="2991">
        <f t="shared" si="19"/>
        <v>0</v>
      </c>
      <c r="BE55" s="2991">
        <f t="shared" si="20"/>
        <v>0</v>
      </c>
      <c r="BF55" s="2991">
        <f t="shared" si="21"/>
        <v>0</v>
      </c>
      <c r="BG55" s="2991">
        <f t="shared" si="22"/>
        <v>0</v>
      </c>
      <c r="BH55" s="2991">
        <f t="shared" si="23"/>
        <v>0</v>
      </c>
      <c r="BI55" s="2991">
        <f t="shared" si="24"/>
        <v>0</v>
      </c>
      <c r="BJ55" s="2991">
        <f t="shared" si="25"/>
        <v>0</v>
      </c>
      <c r="BK55" s="2991">
        <f t="shared" si="26"/>
        <v>0</v>
      </c>
      <c r="BL55" s="2991">
        <f t="shared" si="27"/>
        <v>1203.78</v>
      </c>
      <c r="BM55" s="2991">
        <f t="shared" si="28"/>
        <v>35.33</v>
      </c>
      <c r="BN55" s="2991">
        <f t="shared" si="29"/>
        <v>0</v>
      </c>
      <c r="BO55" s="2991">
        <f t="shared" si="30"/>
        <v>0</v>
      </c>
      <c r="BP55" s="2991">
        <f t="shared" si="31"/>
        <v>0</v>
      </c>
      <c r="BQ55" s="2991">
        <f t="shared" si="32"/>
        <v>3.36</v>
      </c>
      <c r="BR55" s="2991">
        <f t="shared" si="33"/>
        <v>1165.0899999999999</v>
      </c>
      <c r="BS55" s="2991">
        <f t="shared" si="34"/>
        <v>0</v>
      </c>
      <c r="BT55" s="2995">
        <f t="shared" si="35"/>
        <v>0</v>
      </c>
    </row>
    <row r="56" spans="1:72" s="2996" customFormat="1" ht="14.5">
      <c r="A56" s="2997"/>
      <c r="B56" s="2998"/>
      <c r="C56" s="2998" t="s">
        <v>3417</v>
      </c>
      <c r="D56" s="2999" t="s">
        <v>3056</v>
      </c>
      <c r="E56" s="3000">
        <f t="shared" si="7"/>
        <v>2759.86</v>
      </c>
      <c r="F56" s="3001"/>
      <c r="G56" s="3002">
        <f t="shared" si="8"/>
        <v>5617.6</v>
      </c>
      <c r="H56" s="3003">
        <f t="shared" si="9"/>
        <v>3645.76</v>
      </c>
      <c r="I56" s="3004">
        <v>3645.76</v>
      </c>
      <c r="J56" s="3004"/>
      <c r="K56" s="3004"/>
      <c r="L56" s="3004"/>
      <c r="M56" s="3004"/>
      <c r="N56" s="3004"/>
      <c r="O56" s="3004"/>
      <c r="P56" s="3004"/>
      <c r="Q56" s="3004"/>
      <c r="R56" s="3004"/>
      <c r="S56" s="3004"/>
      <c r="T56" s="3004"/>
      <c r="U56" s="3004"/>
      <c r="V56" s="3004"/>
      <c r="W56" s="3004"/>
      <c r="X56" s="3004"/>
      <c r="Y56" s="3004"/>
      <c r="Z56" s="3004"/>
      <c r="AA56" s="3004"/>
      <c r="AB56" s="3004"/>
      <c r="AC56" s="3000">
        <f t="shared" si="10"/>
        <v>1971.84</v>
      </c>
      <c r="AD56" s="3005"/>
      <c r="AE56" s="3005"/>
      <c r="AF56" s="3005"/>
      <c r="AG56" s="3005"/>
      <c r="AH56" s="3005"/>
      <c r="AI56" s="3005"/>
      <c r="AJ56" s="3005"/>
      <c r="AK56" s="3005"/>
      <c r="AL56" s="3005"/>
      <c r="AM56" s="3005"/>
      <c r="AN56" s="3005">
        <v>1971.84</v>
      </c>
      <c r="AO56" s="3005"/>
      <c r="AP56" s="3005"/>
      <c r="AQ56" s="3005"/>
      <c r="AR56" s="3005"/>
      <c r="AS56" s="3005"/>
      <c r="AT56" s="3006"/>
      <c r="AU56" s="2992"/>
      <c r="AV56" s="2993">
        <f t="shared" si="11"/>
        <v>0</v>
      </c>
      <c r="AW56" s="2993">
        <f t="shared" si="12"/>
        <v>0</v>
      </c>
      <c r="AX56" s="2993" t="str">
        <f t="shared" si="13"/>
        <v>27#住宅</v>
      </c>
      <c r="AY56" s="2994">
        <f t="shared" si="14"/>
        <v>2759.86</v>
      </c>
      <c r="AZ56" s="2991">
        <f t="shared" si="15"/>
        <v>5617.6</v>
      </c>
      <c r="BA56" s="2991">
        <f t="shared" si="16"/>
        <v>3645.76</v>
      </c>
      <c r="BB56" s="2991">
        <f t="shared" si="17"/>
        <v>3645.76</v>
      </c>
      <c r="BC56" s="2991">
        <f t="shared" si="18"/>
        <v>0</v>
      </c>
      <c r="BD56" s="2991">
        <f t="shared" si="19"/>
        <v>0</v>
      </c>
      <c r="BE56" s="2991">
        <f t="shared" si="20"/>
        <v>0</v>
      </c>
      <c r="BF56" s="2991">
        <f t="shared" si="21"/>
        <v>0</v>
      </c>
      <c r="BG56" s="2991">
        <f t="shared" si="22"/>
        <v>0</v>
      </c>
      <c r="BH56" s="2991">
        <f t="shared" si="23"/>
        <v>0</v>
      </c>
      <c r="BI56" s="2991">
        <f t="shared" si="24"/>
        <v>0</v>
      </c>
      <c r="BJ56" s="2991">
        <f t="shared" si="25"/>
        <v>0</v>
      </c>
      <c r="BK56" s="2991">
        <f t="shared" si="26"/>
        <v>0</v>
      </c>
      <c r="BL56" s="2991">
        <f t="shared" si="27"/>
        <v>1971.84</v>
      </c>
      <c r="BM56" s="2991">
        <f t="shared" si="28"/>
        <v>0</v>
      </c>
      <c r="BN56" s="2991">
        <f t="shared" si="29"/>
        <v>0</v>
      </c>
      <c r="BO56" s="2991">
        <f t="shared" si="30"/>
        <v>0</v>
      </c>
      <c r="BP56" s="2991">
        <f t="shared" si="31"/>
        <v>0</v>
      </c>
      <c r="BQ56" s="2991">
        <f t="shared" si="32"/>
        <v>0</v>
      </c>
      <c r="BR56" s="2991">
        <f t="shared" si="33"/>
        <v>1971.84</v>
      </c>
      <c r="BS56" s="2991">
        <f t="shared" si="34"/>
        <v>0</v>
      </c>
      <c r="BT56" s="2995">
        <f t="shared" si="35"/>
        <v>0</v>
      </c>
    </row>
    <row r="57" spans="1:72" s="2996" customFormat="1" ht="14.5">
      <c r="A57" s="2997"/>
      <c r="B57" s="2998"/>
      <c r="C57" s="2998" t="s">
        <v>3418</v>
      </c>
      <c r="D57" s="2999" t="s">
        <v>3056</v>
      </c>
      <c r="E57" s="3000">
        <f t="shared" si="7"/>
        <v>3811.6</v>
      </c>
      <c r="F57" s="3001"/>
      <c r="G57" s="3002">
        <f t="shared" si="8"/>
        <v>7758.3899999999994</v>
      </c>
      <c r="H57" s="3003">
        <f t="shared" si="9"/>
        <v>4911.83</v>
      </c>
      <c r="I57" s="3004">
        <v>4911.83</v>
      </c>
      <c r="J57" s="3004"/>
      <c r="K57" s="3004"/>
      <c r="L57" s="3004"/>
      <c r="M57" s="3004"/>
      <c r="N57" s="3004"/>
      <c r="O57" s="3004"/>
      <c r="P57" s="3004"/>
      <c r="Q57" s="3004"/>
      <c r="R57" s="3004"/>
      <c r="S57" s="3004"/>
      <c r="T57" s="3004"/>
      <c r="U57" s="3004"/>
      <c r="V57" s="3004"/>
      <c r="W57" s="3004"/>
      <c r="X57" s="3004"/>
      <c r="Y57" s="3004"/>
      <c r="Z57" s="3004"/>
      <c r="AA57" s="3004"/>
      <c r="AB57" s="3004"/>
      <c r="AC57" s="3000">
        <f t="shared" si="10"/>
        <v>2846.56</v>
      </c>
      <c r="AD57" s="3005"/>
      <c r="AE57" s="3005"/>
      <c r="AF57" s="3005"/>
      <c r="AG57" s="3005"/>
      <c r="AH57" s="3005"/>
      <c r="AI57" s="3005"/>
      <c r="AJ57" s="3005"/>
      <c r="AK57" s="3005"/>
      <c r="AL57" s="3005">
        <v>3.66</v>
      </c>
      <c r="AM57" s="3005"/>
      <c r="AN57" s="3005">
        <f>929.07+1913.83</f>
        <v>2842.9</v>
      </c>
      <c r="AO57" s="3005"/>
      <c r="AP57" s="3005"/>
      <c r="AQ57" s="3005"/>
      <c r="AR57" s="3005"/>
      <c r="AS57" s="3005"/>
      <c r="AT57" s="3006"/>
      <c r="AU57" s="2992"/>
      <c r="AV57" s="2993">
        <f t="shared" si="11"/>
        <v>0</v>
      </c>
      <c r="AW57" s="2993">
        <f t="shared" si="12"/>
        <v>0</v>
      </c>
      <c r="AX57" s="2993" t="str">
        <f t="shared" si="13"/>
        <v>28#住宅</v>
      </c>
      <c r="AY57" s="2994">
        <f t="shared" si="14"/>
        <v>3811.6</v>
      </c>
      <c r="AZ57" s="2991">
        <f t="shared" si="15"/>
        <v>7758.3899999999994</v>
      </c>
      <c r="BA57" s="2991">
        <f t="shared" si="16"/>
        <v>4911.83</v>
      </c>
      <c r="BB57" s="2991">
        <f t="shared" si="17"/>
        <v>4911.83</v>
      </c>
      <c r="BC57" s="2991">
        <f t="shared" si="18"/>
        <v>0</v>
      </c>
      <c r="BD57" s="2991">
        <f t="shared" si="19"/>
        <v>0</v>
      </c>
      <c r="BE57" s="2991">
        <f t="shared" si="20"/>
        <v>0</v>
      </c>
      <c r="BF57" s="2991">
        <f t="shared" si="21"/>
        <v>0</v>
      </c>
      <c r="BG57" s="2991">
        <f t="shared" si="22"/>
        <v>0</v>
      </c>
      <c r="BH57" s="2991">
        <f t="shared" si="23"/>
        <v>0</v>
      </c>
      <c r="BI57" s="2991">
        <f t="shared" si="24"/>
        <v>0</v>
      </c>
      <c r="BJ57" s="2991">
        <f t="shared" si="25"/>
        <v>0</v>
      </c>
      <c r="BK57" s="2991">
        <f t="shared" si="26"/>
        <v>0</v>
      </c>
      <c r="BL57" s="2991">
        <f t="shared" si="27"/>
        <v>2846.56</v>
      </c>
      <c r="BM57" s="2991">
        <f t="shared" si="28"/>
        <v>0</v>
      </c>
      <c r="BN57" s="2991">
        <f t="shared" si="29"/>
        <v>0</v>
      </c>
      <c r="BO57" s="2991">
        <f t="shared" si="30"/>
        <v>0</v>
      </c>
      <c r="BP57" s="2991">
        <f t="shared" si="31"/>
        <v>0</v>
      </c>
      <c r="BQ57" s="2991">
        <f t="shared" si="32"/>
        <v>3.66</v>
      </c>
      <c r="BR57" s="2991">
        <f t="shared" si="33"/>
        <v>2842.9</v>
      </c>
      <c r="BS57" s="2991">
        <f t="shared" si="34"/>
        <v>0</v>
      </c>
      <c r="BT57" s="2995">
        <f t="shared" si="35"/>
        <v>0</v>
      </c>
    </row>
    <row r="58" spans="1:72" s="2996" customFormat="1" ht="42">
      <c r="A58" s="2997"/>
      <c r="B58" s="2998"/>
      <c r="C58" s="3038" t="s">
        <v>3077</v>
      </c>
      <c r="D58" s="2999" t="s">
        <v>3056</v>
      </c>
      <c r="E58" s="3000">
        <f>IF($C$3="是",ROUND($A$3*G58/$B$3,2),ROUND($A$3*(G58-AT58)/$B$3,2))</f>
        <v>34840.370000000003</v>
      </c>
      <c r="F58" s="3001"/>
      <c r="G58" s="3002">
        <f>H58+AC58+AT58</f>
        <v>70916.44</v>
      </c>
      <c r="H58" s="3003">
        <f t="shared" si="9"/>
        <v>56260.9</v>
      </c>
      <c r="I58" s="3004"/>
      <c r="J58" s="3004"/>
      <c r="K58" s="3004"/>
      <c r="L58" s="3004"/>
      <c r="M58" s="3004"/>
      <c r="N58" s="3004"/>
      <c r="O58" s="3004">
        <v>56260.9</v>
      </c>
      <c r="P58" s="3004"/>
      <c r="Q58" s="3004"/>
      <c r="R58" s="3004"/>
      <c r="S58" s="3004"/>
      <c r="T58" s="3004"/>
      <c r="U58" s="3004"/>
      <c r="V58" s="3004"/>
      <c r="W58" s="3004"/>
      <c r="X58" s="3004"/>
      <c r="Y58" s="3004"/>
      <c r="Z58" s="3004"/>
      <c r="AA58" s="3004"/>
      <c r="AB58" s="3004"/>
      <c r="AC58" s="3000">
        <f t="shared" si="10"/>
        <v>1211.1999999999998</v>
      </c>
      <c r="AD58" s="3005"/>
      <c r="AE58" s="3005"/>
      <c r="AF58" s="3005"/>
      <c r="AG58" s="3005"/>
      <c r="AH58" s="3005"/>
      <c r="AI58" s="3005"/>
      <c r="AJ58" s="3005"/>
      <c r="AK58" s="3005"/>
      <c r="AL58" s="3005">
        <v>14.85</v>
      </c>
      <c r="AM58" s="3005"/>
      <c r="AN58" s="3005">
        <v>1196.3499999999999</v>
      </c>
      <c r="AO58" s="3005"/>
      <c r="AP58" s="3005"/>
      <c r="AQ58" s="3005"/>
      <c r="AR58" s="3005"/>
      <c r="AS58" s="3005"/>
      <c r="AT58" s="3006">
        <f>13297.83+129.83+16.68</f>
        <v>13444.34</v>
      </c>
      <c r="AU58" s="2992"/>
      <c r="AV58" s="2993">
        <f t="shared" si="11"/>
        <v>0</v>
      </c>
      <c r="AW58" s="2993">
        <f t="shared" si="12"/>
        <v>0</v>
      </c>
      <c r="AX58" s="2993" t="str">
        <f t="shared" si="13"/>
        <v>地下车库及人防出入口</v>
      </c>
      <c r="AY58" s="2994">
        <f t="shared" si="14"/>
        <v>28235.33</v>
      </c>
      <c r="AZ58" s="2991">
        <f t="shared" si="15"/>
        <v>57472.1</v>
      </c>
      <c r="BA58" s="2991">
        <f t="shared" si="16"/>
        <v>56260.9</v>
      </c>
      <c r="BB58" s="2991">
        <f t="shared" si="17"/>
        <v>0</v>
      </c>
      <c r="BC58" s="2991">
        <f t="shared" si="18"/>
        <v>0</v>
      </c>
      <c r="BD58" s="2991">
        <f t="shared" si="19"/>
        <v>0</v>
      </c>
      <c r="BE58" s="2991">
        <f t="shared" si="20"/>
        <v>56260.9</v>
      </c>
      <c r="BF58" s="2991">
        <f t="shared" si="21"/>
        <v>0</v>
      </c>
      <c r="BG58" s="2991">
        <f t="shared" si="22"/>
        <v>0</v>
      </c>
      <c r="BH58" s="2991">
        <f t="shared" si="23"/>
        <v>0</v>
      </c>
      <c r="BI58" s="2991">
        <f t="shared" si="24"/>
        <v>0</v>
      </c>
      <c r="BJ58" s="2991">
        <f t="shared" si="25"/>
        <v>0</v>
      </c>
      <c r="BK58" s="2991">
        <f t="shared" si="26"/>
        <v>0</v>
      </c>
      <c r="BL58" s="2991">
        <f t="shared" si="27"/>
        <v>1211.1999999999998</v>
      </c>
      <c r="BM58" s="2991">
        <f t="shared" si="28"/>
        <v>0</v>
      </c>
      <c r="BN58" s="2991">
        <f t="shared" si="29"/>
        <v>0</v>
      </c>
      <c r="BO58" s="2991">
        <f t="shared" si="30"/>
        <v>0</v>
      </c>
      <c r="BP58" s="2991">
        <f t="shared" si="31"/>
        <v>0</v>
      </c>
      <c r="BQ58" s="2991">
        <f t="shared" si="32"/>
        <v>14.85</v>
      </c>
      <c r="BR58" s="2991">
        <f t="shared" si="33"/>
        <v>1196.3499999999999</v>
      </c>
      <c r="BS58" s="2991">
        <f>IF($D58="是",AP58-AQ58,0)</f>
        <v>0</v>
      </c>
      <c r="BT58" s="2995">
        <f t="shared" si="35"/>
        <v>0</v>
      </c>
    </row>
    <row r="59" spans="1:72" s="2996" customFormat="1" ht="28">
      <c r="A59" s="2997"/>
      <c r="B59" s="2998"/>
      <c r="C59" s="3038" t="s">
        <v>3079</v>
      </c>
      <c r="D59" s="2999" t="s">
        <v>3056</v>
      </c>
      <c r="E59" s="3000">
        <f t="shared" si="7"/>
        <v>88.43</v>
      </c>
      <c r="F59" s="3001"/>
      <c r="G59" s="3002">
        <f t="shared" si="8"/>
        <v>180</v>
      </c>
      <c r="H59" s="3003">
        <f t="shared" si="9"/>
        <v>0</v>
      </c>
      <c r="I59" s="3004"/>
      <c r="J59" s="3004"/>
      <c r="K59" s="3004"/>
      <c r="L59" s="3004"/>
      <c r="M59" s="3004"/>
      <c r="N59" s="3004"/>
      <c r="O59" s="3004"/>
      <c r="P59" s="3004"/>
      <c r="Q59" s="3004"/>
      <c r="R59" s="3004"/>
      <c r="S59" s="3004"/>
      <c r="T59" s="3004"/>
      <c r="U59" s="3004"/>
      <c r="V59" s="3004"/>
      <c r="W59" s="3004"/>
      <c r="X59" s="3004"/>
      <c r="Y59" s="3004"/>
      <c r="Z59" s="3004"/>
      <c r="AA59" s="3004"/>
      <c r="AB59" s="3004"/>
      <c r="AC59" s="3000">
        <f t="shared" si="10"/>
        <v>180</v>
      </c>
      <c r="AD59" s="3005"/>
      <c r="AE59" s="3005"/>
      <c r="AF59" s="3005"/>
      <c r="AG59" s="3005"/>
      <c r="AH59" s="3005"/>
      <c r="AI59" s="3005"/>
      <c r="AJ59" s="3005"/>
      <c r="AK59" s="3005"/>
      <c r="AL59" s="3005">
        <v>180</v>
      </c>
      <c r="AM59" s="3005"/>
      <c r="AN59" s="3005"/>
      <c r="AO59" s="3005"/>
      <c r="AP59" s="3005"/>
      <c r="AQ59" s="3005"/>
      <c r="AR59" s="3005"/>
      <c r="AS59" s="3005"/>
      <c r="AT59" s="3006"/>
      <c r="AU59" s="2992"/>
      <c r="AV59" s="2993">
        <f t="shared" si="11"/>
        <v>0</v>
      </c>
      <c r="AW59" s="2993">
        <f t="shared" si="12"/>
        <v>0</v>
      </c>
      <c r="AX59" s="2993" t="str">
        <f t="shared" si="13"/>
        <v>低基配电室</v>
      </c>
      <c r="AY59" s="2994">
        <f t="shared" si="14"/>
        <v>88.43</v>
      </c>
      <c r="AZ59" s="2991">
        <f t="shared" si="15"/>
        <v>180</v>
      </c>
      <c r="BA59" s="2991">
        <f t="shared" si="16"/>
        <v>0</v>
      </c>
      <c r="BB59" s="2991">
        <f t="shared" si="17"/>
        <v>0</v>
      </c>
      <c r="BC59" s="2991">
        <f t="shared" si="18"/>
        <v>0</v>
      </c>
      <c r="BD59" s="2991">
        <f t="shared" si="19"/>
        <v>0</v>
      </c>
      <c r="BE59" s="2991">
        <f t="shared" si="20"/>
        <v>0</v>
      </c>
      <c r="BF59" s="2991">
        <f t="shared" si="21"/>
        <v>0</v>
      </c>
      <c r="BG59" s="2991">
        <f t="shared" si="22"/>
        <v>0</v>
      </c>
      <c r="BH59" s="2991">
        <f t="shared" si="23"/>
        <v>0</v>
      </c>
      <c r="BI59" s="2991">
        <f t="shared" si="24"/>
        <v>0</v>
      </c>
      <c r="BJ59" s="2991">
        <f t="shared" si="25"/>
        <v>0</v>
      </c>
      <c r="BK59" s="2991">
        <f t="shared" si="26"/>
        <v>0</v>
      </c>
      <c r="BL59" s="2991">
        <f t="shared" si="27"/>
        <v>180</v>
      </c>
      <c r="BM59" s="2991">
        <f t="shared" si="28"/>
        <v>0</v>
      </c>
      <c r="BN59" s="2991">
        <f t="shared" si="29"/>
        <v>0</v>
      </c>
      <c r="BO59" s="2991">
        <f t="shared" si="30"/>
        <v>0</v>
      </c>
      <c r="BP59" s="2991">
        <f t="shared" si="31"/>
        <v>0</v>
      </c>
      <c r="BQ59" s="2991">
        <f t="shared" si="32"/>
        <v>180</v>
      </c>
      <c r="BR59" s="2991">
        <f t="shared" si="33"/>
        <v>0</v>
      </c>
      <c r="BS59" s="2991">
        <f t="shared" si="34"/>
        <v>0</v>
      </c>
      <c r="BT59" s="2995">
        <f t="shared" si="35"/>
        <v>0</v>
      </c>
    </row>
    <row r="60" spans="1:72">
      <c r="A60" s="2997"/>
      <c r="B60" s="2998"/>
      <c r="C60" s="2998"/>
      <c r="D60" s="2999"/>
      <c r="E60" s="3000">
        <f t="shared" si="7"/>
        <v>0</v>
      </c>
      <c r="F60" s="3001"/>
      <c r="G60" s="3002">
        <f t="shared" si="8"/>
        <v>0</v>
      </c>
      <c r="H60" s="3003">
        <f t="shared" si="9"/>
        <v>0</v>
      </c>
      <c r="I60" s="3004"/>
      <c r="J60" s="3004"/>
      <c r="K60" s="3004"/>
      <c r="L60" s="3004"/>
      <c r="M60" s="3004"/>
      <c r="N60" s="3004"/>
      <c r="O60" s="3004"/>
      <c r="P60" s="3004"/>
      <c r="Q60" s="3004"/>
      <c r="R60" s="3004"/>
      <c r="S60" s="3004"/>
      <c r="T60" s="3004"/>
      <c r="U60" s="3004"/>
      <c r="V60" s="3004"/>
      <c r="W60" s="3004"/>
      <c r="X60" s="3004"/>
      <c r="Y60" s="3004"/>
      <c r="Z60" s="3004"/>
      <c r="AA60" s="3004"/>
      <c r="AB60" s="3004"/>
      <c r="AC60" s="3000">
        <f t="shared" si="10"/>
        <v>0</v>
      </c>
      <c r="AD60" s="3005"/>
      <c r="AE60" s="3005"/>
      <c r="AF60" s="3005"/>
      <c r="AG60" s="3005"/>
      <c r="AH60" s="3005"/>
      <c r="AI60" s="3005"/>
      <c r="AJ60" s="3005"/>
      <c r="AK60" s="3005"/>
      <c r="AL60" s="3005"/>
      <c r="AM60" s="3005"/>
      <c r="AN60" s="3005"/>
      <c r="AO60" s="3005"/>
      <c r="AP60" s="3005"/>
      <c r="AQ60" s="3005"/>
      <c r="AR60" s="3005"/>
      <c r="AS60" s="3005"/>
      <c r="AT60" s="3006"/>
      <c r="AU60" s="2205"/>
      <c r="AV60" s="1790">
        <f t="shared" si="11"/>
        <v>0</v>
      </c>
      <c r="AW60" s="1790">
        <f t="shared" si="12"/>
        <v>0</v>
      </c>
      <c r="AX60" s="1790">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2"/>
      <c r="D61" s="2204"/>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205"/>
      <c r="AV61" s="1790">
        <f t="shared" si="11"/>
        <v>0</v>
      </c>
      <c r="AW61" s="1790">
        <f t="shared" si="12"/>
        <v>0</v>
      </c>
      <c r="AX61" s="1790">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s="2781" customFormat="1">
      <c r="A62" s="2997"/>
      <c r="B62" s="2998"/>
      <c r="C62" s="2998"/>
      <c r="D62" s="2999"/>
      <c r="E62" s="3000">
        <f t="shared" si="7"/>
        <v>0</v>
      </c>
      <c r="F62" s="3001"/>
      <c r="G62" s="3002">
        <f t="shared" si="8"/>
        <v>0</v>
      </c>
      <c r="H62" s="3003">
        <f t="shared" si="9"/>
        <v>0</v>
      </c>
      <c r="I62" s="3004"/>
      <c r="J62" s="3004"/>
      <c r="K62" s="3004"/>
      <c r="L62" s="3004"/>
      <c r="M62" s="3004"/>
      <c r="N62" s="3004"/>
      <c r="O62" s="3004"/>
      <c r="P62" s="3004"/>
      <c r="Q62" s="3004"/>
      <c r="R62" s="3004"/>
      <c r="S62" s="3004"/>
      <c r="T62" s="3004"/>
      <c r="U62" s="3004"/>
      <c r="V62" s="3004"/>
      <c r="W62" s="3004"/>
      <c r="X62" s="3004"/>
      <c r="Y62" s="3004"/>
      <c r="Z62" s="3004"/>
      <c r="AA62" s="3004"/>
      <c r="AB62" s="3004"/>
      <c r="AC62" s="3000">
        <f t="shared" si="10"/>
        <v>0</v>
      </c>
      <c r="AD62" s="3005"/>
      <c r="AE62" s="3005"/>
      <c r="AF62" s="3005"/>
      <c r="AG62" s="3005"/>
      <c r="AH62" s="3005"/>
      <c r="AI62" s="3005"/>
      <c r="AJ62" s="3005"/>
      <c r="AK62" s="3005"/>
      <c r="AL62" s="3005"/>
      <c r="AM62" s="3005"/>
      <c r="AN62" s="3005"/>
      <c r="AO62" s="3005"/>
      <c r="AP62" s="3005"/>
      <c r="AQ62" s="3005"/>
      <c r="AR62" s="3005"/>
      <c r="AS62" s="3005"/>
      <c r="AT62" s="3006"/>
      <c r="AU62" s="3007"/>
      <c r="AV62" s="2990">
        <f t="shared" si="11"/>
        <v>0</v>
      </c>
      <c r="AW62" s="2990">
        <f t="shared" si="12"/>
        <v>0</v>
      </c>
      <c r="AX62" s="2990">
        <f t="shared" si="13"/>
        <v>0</v>
      </c>
      <c r="AY62" s="2989">
        <f t="shared" si="14"/>
        <v>0</v>
      </c>
      <c r="AZ62" s="3000">
        <f t="shared" si="15"/>
        <v>0</v>
      </c>
      <c r="BA62" s="3000">
        <f t="shared" si="16"/>
        <v>0</v>
      </c>
      <c r="BB62" s="3000">
        <f t="shared" si="17"/>
        <v>0</v>
      </c>
      <c r="BC62" s="3000">
        <f t="shared" si="18"/>
        <v>0</v>
      </c>
      <c r="BD62" s="3000">
        <f t="shared" si="19"/>
        <v>0</v>
      </c>
      <c r="BE62" s="3000">
        <f t="shared" si="20"/>
        <v>0</v>
      </c>
      <c r="BF62" s="3000">
        <f t="shared" si="21"/>
        <v>0</v>
      </c>
      <c r="BG62" s="3000">
        <f t="shared" si="22"/>
        <v>0</v>
      </c>
      <c r="BH62" s="3000">
        <f t="shared" si="23"/>
        <v>0</v>
      </c>
      <c r="BI62" s="3000">
        <f t="shared" si="24"/>
        <v>0</v>
      </c>
      <c r="BJ62" s="3000">
        <f t="shared" si="25"/>
        <v>0</v>
      </c>
      <c r="BK62" s="3000">
        <f t="shared" si="26"/>
        <v>0</v>
      </c>
      <c r="BL62" s="3000">
        <f t="shared" si="27"/>
        <v>0</v>
      </c>
      <c r="BM62" s="3000">
        <f t="shared" si="28"/>
        <v>0</v>
      </c>
      <c r="BN62" s="3000">
        <f t="shared" si="29"/>
        <v>0</v>
      </c>
      <c r="BO62" s="3000">
        <f t="shared" si="30"/>
        <v>0</v>
      </c>
      <c r="BP62" s="3000">
        <f t="shared" si="31"/>
        <v>0</v>
      </c>
      <c r="BQ62" s="3000">
        <f t="shared" si="32"/>
        <v>0</v>
      </c>
      <c r="BR62" s="3000">
        <f t="shared" si="33"/>
        <v>0</v>
      </c>
      <c r="BS62" s="3000">
        <f t="shared" si="34"/>
        <v>0</v>
      </c>
      <c r="BT62" s="3008">
        <f t="shared" si="35"/>
        <v>0</v>
      </c>
    </row>
    <row r="63" spans="1:72">
      <c r="A63" s="9"/>
      <c r="B63" s="32"/>
      <c r="C63" s="32"/>
      <c r="D63" s="2204"/>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205"/>
      <c r="AV63" s="1790">
        <f t="shared" si="11"/>
        <v>0</v>
      </c>
      <c r="AW63" s="1790">
        <f t="shared" si="12"/>
        <v>0</v>
      </c>
      <c r="AX63" s="1790">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2204"/>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205"/>
      <c r="AV64" s="1790">
        <f t="shared" si="11"/>
        <v>0</v>
      </c>
      <c r="AW64" s="1790">
        <f t="shared" si="12"/>
        <v>0</v>
      </c>
      <c r="AX64" s="1790">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2204"/>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205"/>
      <c r="AV65" s="1790">
        <f t="shared" si="11"/>
        <v>0</v>
      </c>
      <c r="AW65" s="1790">
        <f t="shared" si="12"/>
        <v>0</v>
      </c>
      <c r="AX65" s="1790">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2204"/>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205"/>
      <c r="AV66" s="1790">
        <f t="shared" si="11"/>
        <v>0</v>
      </c>
      <c r="AW66" s="1790">
        <f t="shared" si="12"/>
        <v>0</v>
      </c>
      <c r="AX66" s="1790">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2204"/>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205"/>
      <c r="AV67" s="1790">
        <f t="shared" si="11"/>
        <v>0</v>
      </c>
      <c r="AW67" s="1790">
        <f t="shared" si="12"/>
        <v>0</v>
      </c>
      <c r="AX67" s="1790">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2204"/>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205"/>
      <c r="AV68" s="1790">
        <f t="shared" si="11"/>
        <v>0</v>
      </c>
      <c r="AW68" s="1790">
        <f t="shared" si="12"/>
        <v>0</v>
      </c>
      <c r="AX68" s="1790">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2204"/>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205"/>
      <c r="AV69" s="1790">
        <f t="shared" si="11"/>
        <v>0</v>
      </c>
      <c r="AW69" s="1790">
        <f t="shared" si="12"/>
        <v>0</v>
      </c>
      <c r="AX69" s="1790">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2204"/>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205"/>
      <c r="AV70" s="1790">
        <f t="shared" si="11"/>
        <v>0</v>
      </c>
      <c r="AW70" s="1790">
        <f t="shared" si="12"/>
        <v>0</v>
      </c>
      <c r="AX70" s="1790">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2204"/>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205"/>
      <c r="AV71" s="1790">
        <f t="shared" si="11"/>
        <v>0</v>
      </c>
      <c r="AW71" s="1790">
        <f t="shared" si="12"/>
        <v>0</v>
      </c>
      <c r="AX71" s="1790">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2204"/>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205"/>
      <c r="AV72" s="1790">
        <f t="shared" si="11"/>
        <v>0</v>
      </c>
      <c r="AW72" s="1790">
        <f t="shared" si="12"/>
        <v>0</v>
      </c>
      <c r="AX72" s="1790">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2204"/>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205"/>
      <c r="AV73" s="1790">
        <f t="shared" si="11"/>
        <v>0</v>
      </c>
      <c r="AW73" s="1790">
        <f t="shared" si="12"/>
        <v>0</v>
      </c>
      <c r="AX73" s="1790">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2204"/>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205"/>
      <c r="AV74" s="1790">
        <f t="shared" si="11"/>
        <v>0</v>
      </c>
      <c r="AW74" s="1790">
        <f t="shared" si="12"/>
        <v>0</v>
      </c>
      <c r="AX74" s="1790">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2204"/>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205"/>
      <c r="AV75" s="1790">
        <f t="shared" si="11"/>
        <v>0</v>
      </c>
      <c r="AW75" s="1790">
        <f t="shared" si="12"/>
        <v>0</v>
      </c>
      <c r="AX75" s="1790">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2204"/>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205"/>
      <c r="AV76" s="1790">
        <f t="shared" si="11"/>
        <v>0</v>
      </c>
      <c r="AW76" s="1790">
        <f t="shared" si="12"/>
        <v>0</v>
      </c>
      <c r="AX76" s="1790">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2204"/>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205"/>
      <c r="AV77" s="1790">
        <f t="shared" si="11"/>
        <v>0</v>
      </c>
      <c r="AW77" s="1790">
        <f t="shared" si="12"/>
        <v>0</v>
      </c>
      <c r="AX77" s="1790">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2204"/>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205"/>
      <c r="AV78" s="1790">
        <f t="shared" si="11"/>
        <v>0</v>
      </c>
      <c r="AW78" s="1790">
        <f t="shared" si="12"/>
        <v>0</v>
      </c>
      <c r="AX78" s="1790">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2204"/>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205"/>
      <c r="AV79" s="1790">
        <f t="shared" si="11"/>
        <v>0</v>
      </c>
      <c r="AW79" s="1790">
        <f t="shared" si="12"/>
        <v>0</v>
      </c>
      <c r="AX79" s="1790">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2204"/>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205"/>
      <c r="AV80" s="1790">
        <f t="shared" si="11"/>
        <v>0</v>
      </c>
      <c r="AW80" s="1790">
        <f t="shared" si="12"/>
        <v>0</v>
      </c>
      <c r="AX80" s="1790">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2204"/>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205"/>
      <c r="AV81" s="1790">
        <f t="shared" si="11"/>
        <v>0</v>
      </c>
      <c r="AW81" s="1790">
        <f t="shared" si="12"/>
        <v>0</v>
      </c>
      <c r="AX81" s="1790">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2204"/>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205"/>
      <c r="AV82" s="1790">
        <f t="shared" si="11"/>
        <v>0</v>
      </c>
      <c r="AW82" s="1790">
        <f t="shared" si="12"/>
        <v>0</v>
      </c>
      <c r="AX82" s="1790">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2204"/>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205"/>
      <c r="AV83" s="1790">
        <f t="shared" si="11"/>
        <v>0</v>
      </c>
      <c r="AW83" s="1790">
        <f t="shared" si="12"/>
        <v>0</v>
      </c>
      <c r="AX83" s="1790">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2204"/>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205"/>
      <c r="AV84" s="1790">
        <f t="shared" si="11"/>
        <v>0</v>
      </c>
      <c r="AW84" s="1790">
        <f t="shared" si="12"/>
        <v>0</v>
      </c>
      <c r="AX84" s="1790">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2204"/>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205"/>
      <c r="AV85" s="1790">
        <f t="shared" si="11"/>
        <v>0</v>
      </c>
      <c r="AW85" s="1790">
        <f t="shared" si="12"/>
        <v>0</v>
      </c>
      <c r="AX85" s="1790">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2204"/>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205"/>
      <c r="AV86" s="1790">
        <f t="shared" si="11"/>
        <v>0</v>
      </c>
      <c r="AW86" s="1790">
        <f t="shared" si="12"/>
        <v>0</v>
      </c>
      <c r="AX86" s="1790">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2204"/>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205"/>
      <c r="AV87" s="1790">
        <f t="shared" si="11"/>
        <v>0</v>
      </c>
      <c r="AW87" s="1790">
        <f t="shared" si="12"/>
        <v>0</v>
      </c>
      <c r="AX87" s="1790">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2204"/>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205"/>
      <c r="AV88" s="1790">
        <f t="shared" si="11"/>
        <v>0</v>
      </c>
      <c r="AW88" s="1790">
        <f t="shared" si="12"/>
        <v>0</v>
      </c>
      <c r="AX88" s="1790">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2204"/>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205"/>
      <c r="AV89" s="1790">
        <f t="shared" si="11"/>
        <v>0</v>
      </c>
      <c r="AW89" s="1790">
        <f t="shared" si="12"/>
        <v>0</v>
      </c>
      <c r="AX89" s="1790">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2204"/>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205"/>
      <c r="AV90" s="1790">
        <f t="shared" si="11"/>
        <v>0</v>
      </c>
      <c r="AW90" s="1790">
        <f t="shared" si="12"/>
        <v>0</v>
      </c>
      <c r="AX90" s="1790">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2204"/>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205"/>
      <c r="AV91" s="1790">
        <f t="shared" si="11"/>
        <v>0</v>
      </c>
      <c r="AW91" s="1790">
        <f t="shared" si="12"/>
        <v>0</v>
      </c>
      <c r="AX91" s="1790">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2204"/>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205"/>
      <c r="AV92" s="1790">
        <f t="shared" si="11"/>
        <v>0</v>
      </c>
      <c r="AW92" s="1790">
        <f t="shared" si="12"/>
        <v>0</v>
      </c>
      <c r="AX92" s="1790">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2204"/>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205"/>
      <c r="AV93" s="1790">
        <f t="shared" si="11"/>
        <v>0</v>
      </c>
      <c r="AW93" s="1790">
        <f t="shared" si="12"/>
        <v>0</v>
      </c>
      <c r="AX93" s="1790">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2204"/>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205"/>
      <c r="AV94" s="1790">
        <f t="shared" si="11"/>
        <v>0</v>
      </c>
      <c r="AW94" s="1790">
        <f t="shared" si="12"/>
        <v>0</v>
      </c>
      <c r="AX94" s="1790">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2204"/>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205"/>
      <c r="AV95" s="1790">
        <f t="shared" si="11"/>
        <v>0</v>
      </c>
      <c r="AW95" s="1790">
        <f t="shared" si="12"/>
        <v>0</v>
      </c>
      <c r="AX95" s="1790">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2204"/>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205"/>
      <c r="AV96" s="1790">
        <f t="shared" si="11"/>
        <v>0</v>
      </c>
      <c r="AW96" s="1790">
        <f t="shared" si="12"/>
        <v>0</v>
      </c>
      <c r="AX96" s="1790">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2204"/>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205"/>
      <c r="AV97" s="1790">
        <f t="shared" si="11"/>
        <v>0</v>
      </c>
      <c r="AW97" s="1790">
        <f t="shared" si="12"/>
        <v>0</v>
      </c>
      <c r="AX97" s="1790">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2204"/>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205"/>
      <c r="AV98" s="1790">
        <f t="shared" si="11"/>
        <v>0</v>
      </c>
      <c r="AW98" s="1790">
        <f t="shared" si="12"/>
        <v>0</v>
      </c>
      <c r="AX98" s="1790">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2204"/>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205"/>
      <c r="AV99" s="1790">
        <f t="shared" si="11"/>
        <v>0</v>
      </c>
      <c r="AW99" s="1790">
        <f t="shared" si="12"/>
        <v>0</v>
      </c>
      <c r="AX99" s="1790">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2204"/>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205"/>
      <c r="AV100" s="1790">
        <f t="shared" si="11"/>
        <v>0</v>
      </c>
      <c r="AW100" s="1790">
        <f t="shared" si="12"/>
        <v>0</v>
      </c>
      <c r="AX100" s="1790">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2204"/>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205"/>
      <c r="AV101" s="1790">
        <f t="shared" si="11"/>
        <v>0</v>
      </c>
      <c r="AW101" s="1790">
        <f t="shared" si="12"/>
        <v>0</v>
      </c>
      <c r="AX101" s="1790">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2204"/>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205"/>
      <c r="AV102" s="1790">
        <f t="shared" si="11"/>
        <v>0</v>
      </c>
      <c r="AW102" s="1790">
        <f t="shared" si="12"/>
        <v>0</v>
      </c>
      <c r="AX102" s="1790">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2204"/>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205"/>
      <c r="AV103" s="1790">
        <f t="shared" si="11"/>
        <v>0</v>
      </c>
      <c r="AW103" s="1790">
        <f t="shared" si="12"/>
        <v>0</v>
      </c>
      <c r="AX103" s="1790">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2204"/>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205"/>
      <c r="AV104" s="1790">
        <f t="shared" si="11"/>
        <v>0</v>
      </c>
      <c r="AW104" s="1790">
        <f t="shared" si="12"/>
        <v>0</v>
      </c>
      <c r="AX104" s="1790">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2204"/>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205"/>
      <c r="AV105" s="1790">
        <f t="shared" si="11"/>
        <v>0</v>
      </c>
      <c r="AW105" s="1790">
        <f t="shared" si="12"/>
        <v>0</v>
      </c>
      <c r="AX105" s="1790">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2204"/>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205"/>
      <c r="AV106" s="1790">
        <f t="shared" si="11"/>
        <v>0</v>
      </c>
      <c r="AW106" s="1790">
        <f t="shared" si="12"/>
        <v>0</v>
      </c>
      <c r="AX106" s="1790">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2204"/>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205"/>
      <c r="AV107" s="1790">
        <f t="shared" si="11"/>
        <v>0</v>
      </c>
      <c r="AW107" s="1790">
        <f t="shared" si="12"/>
        <v>0</v>
      </c>
      <c r="AX107" s="1790">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2204"/>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205"/>
      <c r="AV108" s="1790">
        <f t="shared" si="11"/>
        <v>0</v>
      </c>
      <c r="AW108" s="1790">
        <f t="shared" si="12"/>
        <v>0</v>
      </c>
      <c r="AX108" s="1790">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2204"/>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205"/>
      <c r="AV109" s="1790">
        <f t="shared" si="11"/>
        <v>0</v>
      </c>
      <c r="AW109" s="1790">
        <f t="shared" si="12"/>
        <v>0</v>
      </c>
      <c r="AX109" s="1790">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2204"/>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2145"/>
      <c r="AV110" s="1790">
        <f t="shared" si="11"/>
        <v>0</v>
      </c>
      <c r="AW110" s="1790">
        <f t="shared" si="12"/>
        <v>0</v>
      </c>
      <c r="AX110" s="1790">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9"/>
      <c r="C111" s="9"/>
      <c r="D111" s="2204"/>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2145"/>
      <c r="AV111" s="1790">
        <f t="shared" si="11"/>
        <v>0</v>
      </c>
      <c r="AW111" s="1790">
        <f t="shared" si="12"/>
        <v>0</v>
      </c>
      <c r="AX111" s="1790">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9"/>
      <c r="C112" s="9"/>
      <c r="D112" s="2204"/>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2145"/>
      <c r="AV112" s="1790">
        <f t="shared" si="11"/>
        <v>0</v>
      </c>
      <c r="AW112" s="1790">
        <f t="shared" si="12"/>
        <v>0</v>
      </c>
      <c r="AX112" s="1790">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32"/>
      <c r="C113" s="32"/>
      <c r="D113" s="2204"/>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2205"/>
      <c r="AV113" s="1790">
        <f t="shared" ref="AV113:AV144" si="62">A113</f>
        <v>0</v>
      </c>
      <c r="AW113" s="1790">
        <f t="shared" ref="AW113:AW144" si="63">B113</f>
        <v>0</v>
      </c>
      <c r="AX113" s="1790">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32"/>
      <c r="C114" s="32"/>
      <c r="D114" s="2204"/>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2205"/>
      <c r="AV114" s="1790">
        <f t="shared" si="62"/>
        <v>0</v>
      </c>
      <c r="AW114" s="1790">
        <f t="shared" si="63"/>
        <v>0</v>
      </c>
      <c r="AX114" s="1790">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32"/>
      <c r="C115" s="32"/>
      <c r="D115" s="2204"/>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2205"/>
      <c r="AV115" s="1790">
        <f t="shared" si="62"/>
        <v>0</v>
      </c>
      <c r="AW115" s="1790">
        <f t="shared" si="63"/>
        <v>0</v>
      </c>
      <c r="AX115" s="1790">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32"/>
      <c r="C116" s="32"/>
      <c r="D116" s="2204"/>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2205"/>
      <c r="AV116" s="1790">
        <f t="shared" si="62"/>
        <v>0</v>
      </c>
      <c r="AW116" s="1790">
        <f t="shared" si="63"/>
        <v>0</v>
      </c>
      <c r="AX116" s="1790">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32"/>
      <c r="C117" s="32"/>
      <c r="D117" s="2204"/>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2205"/>
      <c r="AV117" s="1790">
        <f t="shared" si="62"/>
        <v>0</v>
      </c>
      <c r="AW117" s="1790">
        <f t="shared" si="63"/>
        <v>0</v>
      </c>
      <c r="AX117" s="1790">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32"/>
      <c r="C118" s="32"/>
      <c r="D118" s="2204"/>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2205"/>
      <c r="AV118" s="1790">
        <f t="shared" si="62"/>
        <v>0</v>
      </c>
      <c r="AW118" s="1790">
        <f t="shared" si="63"/>
        <v>0</v>
      </c>
      <c r="AX118" s="1790">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32"/>
      <c r="C119" s="32"/>
      <c r="D119" s="2204"/>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2205"/>
      <c r="AV119" s="1790">
        <f t="shared" si="62"/>
        <v>0</v>
      </c>
      <c r="AW119" s="1790">
        <f t="shared" si="63"/>
        <v>0</v>
      </c>
      <c r="AX119" s="1790">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32"/>
      <c r="C120" s="32"/>
      <c r="D120" s="2204"/>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2205"/>
      <c r="AV120" s="1790">
        <f t="shared" si="62"/>
        <v>0</v>
      </c>
      <c r="AW120" s="1790">
        <f t="shared" si="63"/>
        <v>0</v>
      </c>
      <c r="AX120" s="1790">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32"/>
      <c r="C121" s="32"/>
      <c r="D121" s="2204"/>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2205"/>
      <c r="AV121" s="1790">
        <f t="shared" si="62"/>
        <v>0</v>
      </c>
      <c r="AW121" s="1790">
        <f t="shared" si="63"/>
        <v>0</v>
      </c>
      <c r="AX121" s="1790">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32"/>
      <c r="C122" s="32"/>
      <c r="D122" s="2204"/>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2205"/>
      <c r="AV122" s="1790">
        <f t="shared" si="62"/>
        <v>0</v>
      </c>
      <c r="AW122" s="1790">
        <f t="shared" si="63"/>
        <v>0</v>
      </c>
      <c r="AX122" s="1790">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32"/>
      <c r="C123" s="32"/>
      <c r="D123" s="2204"/>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2205"/>
      <c r="AV123" s="1790">
        <f t="shared" si="62"/>
        <v>0</v>
      </c>
      <c r="AW123" s="1790">
        <f t="shared" si="63"/>
        <v>0</v>
      </c>
      <c r="AX123" s="1790">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32"/>
      <c r="C124" s="32"/>
      <c r="D124" s="2204"/>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2205"/>
      <c r="AV124" s="1790">
        <f t="shared" si="62"/>
        <v>0</v>
      </c>
      <c r="AW124" s="1790">
        <f t="shared" si="63"/>
        <v>0</v>
      </c>
      <c r="AX124" s="1790">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32"/>
      <c r="C125" s="32"/>
      <c r="D125" s="2204"/>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2205"/>
      <c r="AV125" s="1790">
        <f t="shared" si="62"/>
        <v>0</v>
      </c>
      <c r="AW125" s="1790">
        <f t="shared" si="63"/>
        <v>0</v>
      </c>
      <c r="AX125" s="1790">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32"/>
      <c r="C126" s="32"/>
      <c r="D126" s="2204"/>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2205"/>
      <c r="AV126" s="1790">
        <f t="shared" si="62"/>
        <v>0</v>
      </c>
      <c r="AW126" s="1790">
        <f t="shared" si="63"/>
        <v>0</v>
      </c>
      <c r="AX126" s="1790">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32"/>
      <c r="C127" s="32"/>
      <c r="D127" s="2204"/>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2205"/>
      <c r="AV127" s="1790">
        <f t="shared" si="62"/>
        <v>0</v>
      </c>
      <c r="AW127" s="1790">
        <f t="shared" si="63"/>
        <v>0</v>
      </c>
      <c r="AX127" s="1790">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32"/>
      <c r="C128" s="32"/>
      <c r="D128" s="2204"/>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2205"/>
      <c r="AV128" s="1790">
        <f t="shared" si="62"/>
        <v>0</v>
      </c>
      <c r="AW128" s="1790">
        <f t="shared" si="63"/>
        <v>0</v>
      </c>
      <c r="AX128" s="1790">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32"/>
      <c r="C129" s="32"/>
      <c r="D129" s="2204"/>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2205"/>
      <c r="AV129" s="1790">
        <f t="shared" si="62"/>
        <v>0</v>
      </c>
      <c r="AW129" s="1790">
        <f t="shared" si="63"/>
        <v>0</v>
      </c>
      <c r="AX129" s="1790">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32"/>
      <c r="C130" s="32"/>
      <c r="D130" s="2204"/>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2205"/>
      <c r="AV130" s="1790">
        <f t="shared" si="62"/>
        <v>0</v>
      </c>
      <c r="AW130" s="1790">
        <f t="shared" si="63"/>
        <v>0</v>
      </c>
      <c r="AX130" s="1790">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32"/>
      <c r="C131" s="32"/>
      <c r="D131" s="2204"/>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2205"/>
      <c r="AV131" s="1790">
        <f t="shared" si="62"/>
        <v>0</v>
      </c>
      <c r="AW131" s="1790">
        <f t="shared" si="63"/>
        <v>0</v>
      </c>
      <c r="AX131" s="1790">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32"/>
      <c r="C132" s="32"/>
      <c r="D132" s="2204"/>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2205"/>
      <c r="AV132" s="1790">
        <f t="shared" si="62"/>
        <v>0</v>
      </c>
      <c r="AW132" s="1790">
        <f t="shared" si="63"/>
        <v>0</v>
      </c>
      <c r="AX132" s="1790">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32"/>
      <c r="C133" s="32"/>
      <c r="D133" s="2204"/>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2205"/>
      <c r="AV133" s="1790">
        <f t="shared" si="62"/>
        <v>0</v>
      </c>
      <c r="AW133" s="1790">
        <f t="shared" si="63"/>
        <v>0</v>
      </c>
      <c r="AX133" s="1790">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32"/>
      <c r="C134" s="32"/>
      <c r="D134" s="2204"/>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2205"/>
      <c r="AV134" s="1790">
        <f t="shared" si="62"/>
        <v>0</v>
      </c>
      <c r="AW134" s="1790">
        <f t="shared" si="63"/>
        <v>0</v>
      </c>
      <c r="AX134" s="1790">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32"/>
      <c r="C135" s="32"/>
      <c r="D135" s="2204"/>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2205"/>
      <c r="AV135" s="1790">
        <f t="shared" si="62"/>
        <v>0</v>
      </c>
      <c r="AW135" s="1790">
        <f t="shared" si="63"/>
        <v>0</v>
      </c>
      <c r="AX135" s="1790">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32"/>
      <c r="C136" s="32"/>
      <c r="D136" s="2204"/>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2205"/>
      <c r="AV136" s="1790">
        <f t="shared" si="62"/>
        <v>0</v>
      </c>
      <c r="AW136" s="1790">
        <f t="shared" si="63"/>
        <v>0</v>
      </c>
      <c r="AX136" s="1790">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32"/>
      <c r="C137" s="32"/>
      <c r="D137" s="2204"/>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2205"/>
      <c r="AV137" s="1790">
        <f t="shared" si="62"/>
        <v>0</v>
      </c>
      <c r="AW137" s="1790">
        <f t="shared" si="63"/>
        <v>0</v>
      </c>
      <c r="AX137" s="1790">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32"/>
      <c r="C138" s="32"/>
      <c r="D138" s="2204"/>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2205"/>
      <c r="AV138" s="1790">
        <f t="shared" si="62"/>
        <v>0</v>
      </c>
      <c r="AW138" s="1790">
        <f t="shared" si="63"/>
        <v>0</v>
      </c>
      <c r="AX138" s="1790">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32"/>
      <c r="C139" s="32"/>
      <c r="D139" s="2204"/>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2205"/>
      <c r="AV139" s="1790">
        <f t="shared" si="62"/>
        <v>0</v>
      </c>
      <c r="AW139" s="1790">
        <f t="shared" si="63"/>
        <v>0</v>
      </c>
      <c r="AX139" s="1790">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32"/>
      <c r="C140" s="32"/>
      <c r="D140" s="2204"/>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2205"/>
      <c r="AV140" s="1790">
        <f t="shared" si="62"/>
        <v>0</v>
      </c>
      <c r="AW140" s="1790">
        <f t="shared" si="63"/>
        <v>0</v>
      </c>
      <c r="AX140" s="1790">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32"/>
      <c r="C141" s="32"/>
      <c r="D141" s="2204"/>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2205"/>
      <c r="AV141" s="1790">
        <f t="shared" si="62"/>
        <v>0</v>
      </c>
      <c r="AW141" s="1790">
        <f t="shared" si="63"/>
        <v>0</v>
      </c>
      <c r="AX141" s="1790">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32"/>
      <c r="C142" s="32"/>
      <c r="D142" s="2204"/>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2205"/>
      <c r="AV142" s="1790">
        <f t="shared" si="62"/>
        <v>0</v>
      </c>
      <c r="AW142" s="1790">
        <f t="shared" si="63"/>
        <v>0</v>
      </c>
      <c r="AX142" s="1790">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32"/>
      <c r="C143" s="32"/>
      <c r="D143" s="2204"/>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2205"/>
      <c r="AV143" s="1790">
        <f t="shared" si="62"/>
        <v>0</v>
      </c>
      <c r="AW143" s="1790">
        <f t="shared" si="63"/>
        <v>0</v>
      </c>
      <c r="AX143" s="1790">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32"/>
      <c r="C144" s="32"/>
      <c r="D144" s="2204"/>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2205"/>
      <c r="AV144" s="1790">
        <f t="shared" si="62"/>
        <v>0</v>
      </c>
      <c r="AW144" s="1790">
        <f t="shared" si="63"/>
        <v>0</v>
      </c>
      <c r="AX144" s="1790">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32"/>
      <c r="C145" s="32"/>
      <c r="D145" s="2204"/>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2205"/>
      <c r="AV145" s="1790">
        <f t="shared" ref="AV145:AV176" si="91">A145</f>
        <v>0</v>
      </c>
      <c r="AW145" s="1790">
        <f t="shared" ref="AW145:AW176" si="92">B145</f>
        <v>0</v>
      </c>
      <c r="AX145" s="1790">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32"/>
      <c r="C146" s="32"/>
      <c r="D146" s="2204"/>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2205"/>
      <c r="AV146" s="1790">
        <f t="shared" si="91"/>
        <v>0</v>
      </c>
      <c r="AW146" s="1790">
        <f t="shared" si="92"/>
        <v>0</v>
      </c>
      <c r="AX146" s="1790">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32"/>
      <c r="C147" s="32"/>
      <c r="D147" s="2204"/>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2205"/>
      <c r="AV147" s="1790">
        <f t="shared" si="91"/>
        <v>0</v>
      </c>
      <c r="AW147" s="1790">
        <f t="shared" si="92"/>
        <v>0</v>
      </c>
      <c r="AX147" s="1790">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32"/>
      <c r="C148" s="32"/>
      <c r="D148" s="2204"/>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2205"/>
      <c r="AV148" s="1790">
        <f t="shared" si="91"/>
        <v>0</v>
      </c>
      <c r="AW148" s="1790">
        <f t="shared" si="92"/>
        <v>0</v>
      </c>
      <c r="AX148" s="1790">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32"/>
      <c r="C149" s="32"/>
      <c r="D149" s="2204"/>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2205"/>
      <c r="AV149" s="1790">
        <f t="shared" si="91"/>
        <v>0</v>
      </c>
      <c r="AW149" s="1790">
        <f t="shared" si="92"/>
        <v>0</v>
      </c>
      <c r="AX149" s="1790">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32"/>
      <c r="C150" s="32"/>
      <c r="D150" s="2204"/>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2205"/>
      <c r="AV150" s="1790">
        <f t="shared" si="91"/>
        <v>0</v>
      </c>
      <c r="AW150" s="1790">
        <f t="shared" si="92"/>
        <v>0</v>
      </c>
      <c r="AX150" s="1790">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32"/>
      <c r="C151" s="32"/>
      <c r="D151" s="2204"/>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2205"/>
      <c r="AV151" s="1790">
        <f t="shared" si="91"/>
        <v>0</v>
      </c>
      <c r="AW151" s="1790">
        <f t="shared" si="92"/>
        <v>0</v>
      </c>
      <c r="AX151" s="1790">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32"/>
      <c r="C152" s="32"/>
      <c r="D152" s="2204"/>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2205"/>
      <c r="AV152" s="1790">
        <f t="shared" si="91"/>
        <v>0</v>
      </c>
      <c r="AW152" s="1790">
        <f t="shared" si="92"/>
        <v>0</v>
      </c>
      <c r="AX152" s="1790">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32"/>
      <c r="C153" s="32"/>
      <c r="D153" s="2204"/>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2205"/>
      <c r="AV153" s="1790">
        <f t="shared" si="91"/>
        <v>0</v>
      </c>
      <c r="AW153" s="1790">
        <f t="shared" si="92"/>
        <v>0</v>
      </c>
      <c r="AX153" s="1790">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32"/>
      <c r="C154" s="32"/>
      <c r="D154" s="2204"/>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2205"/>
      <c r="AV154" s="1790">
        <f t="shared" si="91"/>
        <v>0</v>
      </c>
      <c r="AW154" s="1790">
        <f t="shared" si="92"/>
        <v>0</v>
      </c>
      <c r="AX154" s="1790">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32"/>
      <c r="C155" s="32"/>
      <c r="D155" s="2204"/>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2205"/>
      <c r="AV155" s="1790">
        <f t="shared" si="91"/>
        <v>0</v>
      </c>
      <c r="AW155" s="1790">
        <f t="shared" si="92"/>
        <v>0</v>
      </c>
      <c r="AX155" s="1790">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32"/>
      <c r="C156" s="32"/>
      <c r="D156" s="2204"/>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2205"/>
      <c r="AV156" s="1790">
        <f t="shared" si="91"/>
        <v>0</v>
      </c>
      <c r="AW156" s="1790">
        <f t="shared" si="92"/>
        <v>0</v>
      </c>
      <c r="AX156" s="1790">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32"/>
      <c r="C157" s="32"/>
      <c r="D157" s="2204"/>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2205"/>
      <c r="AV157" s="1790">
        <f t="shared" si="91"/>
        <v>0</v>
      </c>
      <c r="AW157" s="1790">
        <f t="shared" si="92"/>
        <v>0</v>
      </c>
      <c r="AX157" s="1790">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32"/>
      <c r="C158" s="32"/>
      <c r="D158" s="2204"/>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2205"/>
      <c r="AV158" s="1790">
        <f t="shared" si="91"/>
        <v>0</v>
      </c>
      <c r="AW158" s="1790">
        <f t="shared" si="92"/>
        <v>0</v>
      </c>
      <c r="AX158" s="1790">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32"/>
      <c r="C159" s="32"/>
      <c r="D159" s="2204"/>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2205"/>
      <c r="AV159" s="1790">
        <f t="shared" si="91"/>
        <v>0</v>
      </c>
      <c r="AW159" s="1790">
        <f t="shared" si="92"/>
        <v>0</v>
      </c>
      <c r="AX159" s="1790">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32"/>
      <c r="C160" s="32"/>
      <c r="D160" s="2204"/>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2205"/>
      <c r="AV160" s="1790">
        <f t="shared" si="91"/>
        <v>0</v>
      </c>
      <c r="AW160" s="1790">
        <f t="shared" si="92"/>
        <v>0</v>
      </c>
      <c r="AX160" s="1790">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32"/>
      <c r="C161" s="32"/>
      <c r="D161" s="2204"/>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2205"/>
      <c r="AV161" s="1790">
        <f t="shared" si="91"/>
        <v>0</v>
      </c>
      <c r="AW161" s="1790">
        <f t="shared" si="92"/>
        <v>0</v>
      </c>
      <c r="AX161" s="1790">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32"/>
      <c r="C162" s="32"/>
      <c r="D162" s="2204"/>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2205"/>
      <c r="AV162" s="1790">
        <f t="shared" si="91"/>
        <v>0</v>
      </c>
      <c r="AW162" s="1790">
        <f t="shared" si="92"/>
        <v>0</v>
      </c>
      <c r="AX162" s="1790">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32"/>
      <c r="C163" s="32"/>
      <c r="D163" s="2204"/>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2205"/>
      <c r="AV163" s="1790">
        <f t="shared" si="91"/>
        <v>0</v>
      </c>
      <c r="AW163" s="1790">
        <f t="shared" si="92"/>
        <v>0</v>
      </c>
      <c r="AX163" s="1790">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32"/>
      <c r="C164" s="32"/>
      <c r="D164" s="2204"/>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2205"/>
      <c r="AV164" s="1790">
        <f t="shared" si="91"/>
        <v>0</v>
      </c>
      <c r="AW164" s="1790">
        <f t="shared" si="92"/>
        <v>0</v>
      </c>
      <c r="AX164" s="1790">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32"/>
      <c r="C165" s="32"/>
      <c r="D165" s="2204"/>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2205"/>
      <c r="AV165" s="1790">
        <f t="shared" si="91"/>
        <v>0</v>
      </c>
      <c r="AW165" s="1790">
        <f t="shared" si="92"/>
        <v>0</v>
      </c>
      <c r="AX165" s="1790">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32"/>
      <c r="C166" s="32"/>
      <c r="D166" s="2204"/>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2205"/>
      <c r="AV166" s="1790">
        <f t="shared" si="91"/>
        <v>0</v>
      </c>
      <c r="AW166" s="1790">
        <f t="shared" si="92"/>
        <v>0</v>
      </c>
      <c r="AX166" s="1790">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32"/>
      <c r="C167" s="32"/>
      <c r="D167" s="2204"/>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2205"/>
      <c r="AV167" s="1790">
        <f t="shared" si="91"/>
        <v>0</v>
      </c>
      <c r="AW167" s="1790">
        <f t="shared" si="92"/>
        <v>0</v>
      </c>
      <c r="AX167" s="1790">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32"/>
      <c r="C168" s="32"/>
      <c r="D168" s="2204"/>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2205"/>
      <c r="AV168" s="1790">
        <f t="shared" si="91"/>
        <v>0</v>
      </c>
      <c r="AW168" s="1790">
        <f t="shared" si="92"/>
        <v>0</v>
      </c>
      <c r="AX168" s="1790">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32"/>
      <c r="C169" s="32"/>
      <c r="D169" s="2204"/>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2205"/>
      <c r="AV169" s="1790">
        <f t="shared" si="91"/>
        <v>0</v>
      </c>
      <c r="AW169" s="1790">
        <f t="shared" si="92"/>
        <v>0</v>
      </c>
      <c r="AX169" s="1790">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32"/>
      <c r="C170" s="32"/>
      <c r="D170" s="2204"/>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2205"/>
      <c r="AV170" s="1790">
        <f t="shared" si="91"/>
        <v>0</v>
      </c>
      <c r="AW170" s="1790">
        <f t="shared" si="92"/>
        <v>0</v>
      </c>
      <c r="AX170" s="1790">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32"/>
      <c r="C171" s="32"/>
      <c r="D171" s="2204"/>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2205"/>
      <c r="AV171" s="1790">
        <f t="shared" si="91"/>
        <v>0</v>
      </c>
      <c r="AW171" s="1790">
        <f t="shared" si="92"/>
        <v>0</v>
      </c>
      <c r="AX171" s="1790">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32"/>
      <c r="C172" s="32"/>
      <c r="D172" s="2204"/>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2205"/>
      <c r="AV172" s="1790">
        <f t="shared" si="91"/>
        <v>0</v>
      </c>
      <c r="AW172" s="1790">
        <f t="shared" si="92"/>
        <v>0</v>
      </c>
      <c r="AX172" s="1790">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32"/>
      <c r="C173" s="32"/>
      <c r="D173" s="2204"/>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2205"/>
      <c r="AV173" s="1790">
        <f t="shared" si="91"/>
        <v>0</v>
      </c>
      <c r="AW173" s="1790">
        <f t="shared" si="92"/>
        <v>0</v>
      </c>
      <c r="AX173" s="1790">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32"/>
      <c r="C174" s="32"/>
      <c r="D174" s="2204"/>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2205"/>
      <c r="AV174" s="1790">
        <f t="shared" si="91"/>
        <v>0</v>
      </c>
      <c r="AW174" s="1790">
        <f t="shared" si="92"/>
        <v>0</v>
      </c>
      <c r="AX174" s="1790">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32"/>
      <c r="C175" s="32"/>
      <c r="D175" s="2204"/>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2205"/>
      <c r="AV175" s="1790">
        <f t="shared" si="91"/>
        <v>0</v>
      </c>
      <c r="AW175" s="1790">
        <f t="shared" si="92"/>
        <v>0</v>
      </c>
      <c r="AX175" s="1790">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32"/>
      <c r="C176" s="32"/>
      <c r="D176" s="2204"/>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2205"/>
      <c r="AV176" s="1790">
        <f t="shared" si="91"/>
        <v>0</v>
      </c>
      <c r="AW176" s="1790">
        <f t="shared" si="92"/>
        <v>0</v>
      </c>
      <c r="AX176" s="1790">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32"/>
      <c r="C177" s="32"/>
      <c r="D177" s="2204"/>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2205"/>
      <c r="AV177" s="1790">
        <f t="shared" ref="AV177:AV207" si="120">A177</f>
        <v>0</v>
      </c>
      <c r="AW177" s="1790">
        <f t="shared" ref="AW177:AW207" si="121">B177</f>
        <v>0</v>
      </c>
      <c r="AX177" s="1790">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32"/>
      <c r="C178" s="32"/>
      <c r="D178" s="2204"/>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2205"/>
      <c r="AV178" s="1790">
        <f t="shared" si="120"/>
        <v>0</v>
      </c>
      <c r="AW178" s="1790">
        <f t="shared" si="121"/>
        <v>0</v>
      </c>
      <c r="AX178" s="1790">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32"/>
      <c r="C179" s="32"/>
      <c r="D179" s="2204"/>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2205"/>
      <c r="AV179" s="1790">
        <f t="shared" si="120"/>
        <v>0</v>
      </c>
      <c r="AW179" s="1790">
        <f t="shared" si="121"/>
        <v>0</v>
      </c>
      <c r="AX179" s="1790">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32"/>
      <c r="C180" s="32"/>
      <c r="D180" s="2204"/>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2205"/>
      <c r="AV180" s="1790">
        <f t="shared" si="120"/>
        <v>0</v>
      </c>
      <c r="AW180" s="1790">
        <f t="shared" si="121"/>
        <v>0</v>
      </c>
      <c r="AX180" s="1790">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32"/>
      <c r="C181" s="32"/>
      <c r="D181" s="2204"/>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2205"/>
      <c r="AV181" s="1790">
        <f t="shared" si="120"/>
        <v>0</v>
      </c>
      <c r="AW181" s="1790">
        <f t="shared" si="121"/>
        <v>0</v>
      </c>
      <c r="AX181" s="1790">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32"/>
      <c r="C182" s="32"/>
      <c r="D182" s="2204"/>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2205"/>
      <c r="AV182" s="1790">
        <f t="shared" si="120"/>
        <v>0</v>
      </c>
      <c r="AW182" s="1790">
        <f t="shared" si="121"/>
        <v>0</v>
      </c>
      <c r="AX182" s="1790">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32"/>
      <c r="C183" s="32"/>
      <c r="D183" s="2204"/>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2205"/>
      <c r="AV183" s="1790">
        <f t="shared" si="120"/>
        <v>0</v>
      </c>
      <c r="AW183" s="1790">
        <f t="shared" si="121"/>
        <v>0</v>
      </c>
      <c r="AX183" s="1790">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32"/>
      <c r="C184" s="32"/>
      <c r="D184" s="2204"/>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2205"/>
      <c r="AV184" s="1790">
        <f t="shared" si="120"/>
        <v>0</v>
      </c>
      <c r="AW184" s="1790">
        <f t="shared" si="121"/>
        <v>0</v>
      </c>
      <c r="AX184" s="1790">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32"/>
      <c r="C185" s="32"/>
      <c r="D185" s="2204"/>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2205"/>
      <c r="AV185" s="1790">
        <f t="shared" si="120"/>
        <v>0</v>
      </c>
      <c r="AW185" s="1790">
        <f t="shared" si="121"/>
        <v>0</v>
      </c>
      <c r="AX185" s="1790">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32"/>
      <c r="C186" s="32"/>
      <c r="D186" s="2204"/>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2205"/>
      <c r="AV186" s="1790">
        <f t="shared" si="120"/>
        <v>0</v>
      </c>
      <c r="AW186" s="1790">
        <f t="shared" si="121"/>
        <v>0</v>
      </c>
      <c r="AX186" s="1790">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32"/>
      <c r="C187" s="32"/>
      <c r="D187" s="2204"/>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2205"/>
      <c r="AV187" s="1790">
        <f t="shared" si="120"/>
        <v>0</v>
      </c>
      <c r="AW187" s="1790">
        <f t="shared" si="121"/>
        <v>0</v>
      </c>
      <c r="AX187" s="1790">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32"/>
      <c r="C188" s="32"/>
      <c r="D188" s="2204"/>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2205"/>
      <c r="AV188" s="1790">
        <f t="shared" si="120"/>
        <v>0</v>
      </c>
      <c r="AW188" s="1790">
        <f t="shared" si="121"/>
        <v>0</v>
      </c>
      <c r="AX188" s="1790">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32"/>
      <c r="C189" s="32"/>
      <c r="D189" s="2204"/>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2205"/>
      <c r="AV189" s="1790">
        <f t="shared" si="120"/>
        <v>0</v>
      </c>
      <c r="AW189" s="1790">
        <f t="shared" si="121"/>
        <v>0</v>
      </c>
      <c r="AX189" s="1790">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32"/>
      <c r="C190" s="32"/>
      <c r="D190" s="2204"/>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2205"/>
      <c r="AV190" s="1790">
        <f t="shared" si="120"/>
        <v>0</v>
      </c>
      <c r="AW190" s="1790">
        <f t="shared" si="121"/>
        <v>0</v>
      </c>
      <c r="AX190" s="1790">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32"/>
      <c r="C191" s="32"/>
      <c r="D191" s="2204"/>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2205"/>
      <c r="AV191" s="1790">
        <f t="shared" si="120"/>
        <v>0</v>
      </c>
      <c r="AW191" s="1790">
        <f t="shared" si="121"/>
        <v>0</v>
      </c>
      <c r="AX191" s="1790">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32"/>
      <c r="C192" s="32"/>
      <c r="D192" s="2204"/>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2205"/>
      <c r="AV192" s="1790">
        <f t="shared" si="120"/>
        <v>0</v>
      </c>
      <c r="AW192" s="1790">
        <f t="shared" si="121"/>
        <v>0</v>
      </c>
      <c r="AX192" s="1790">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32"/>
      <c r="C193" s="32"/>
      <c r="D193" s="2204"/>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2205"/>
      <c r="AV193" s="1790">
        <f t="shared" si="120"/>
        <v>0</v>
      </c>
      <c r="AW193" s="1790">
        <f t="shared" si="121"/>
        <v>0</v>
      </c>
      <c r="AX193" s="1790">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32"/>
      <c r="C194" s="32"/>
      <c r="D194" s="2204"/>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2205"/>
      <c r="AV194" s="1790">
        <f t="shared" si="120"/>
        <v>0</v>
      </c>
      <c r="AW194" s="1790">
        <f t="shared" si="121"/>
        <v>0</v>
      </c>
      <c r="AX194" s="1790">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32"/>
      <c r="C195" s="32"/>
      <c r="D195" s="2204"/>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2205"/>
      <c r="AV195" s="1790">
        <f t="shared" si="120"/>
        <v>0</v>
      </c>
      <c r="AW195" s="1790">
        <f t="shared" si="121"/>
        <v>0</v>
      </c>
      <c r="AX195" s="1790">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32"/>
      <c r="C196" s="32"/>
      <c r="D196" s="2204"/>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2205"/>
      <c r="AV196" s="1790">
        <f t="shared" si="120"/>
        <v>0</v>
      </c>
      <c r="AW196" s="1790">
        <f t="shared" si="121"/>
        <v>0</v>
      </c>
      <c r="AX196" s="1790">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32"/>
      <c r="C197" s="32"/>
      <c r="D197" s="2204"/>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2205"/>
      <c r="AV197" s="1790">
        <f t="shared" si="120"/>
        <v>0</v>
      </c>
      <c r="AW197" s="1790">
        <f t="shared" si="121"/>
        <v>0</v>
      </c>
      <c r="AX197" s="1790">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32"/>
      <c r="C198" s="32"/>
      <c r="D198" s="2204"/>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2205"/>
      <c r="AV198" s="1790">
        <f t="shared" si="120"/>
        <v>0</v>
      </c>
      <c r="AW198" s="1790">
        <f t="shared" si="121"/>
        <v>0</v>
      </c>
      <c r="AX198" s="1790">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32"/>
      <c r="C199" s="32"/>
      <c r="D199" s="2204"/>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2205"/>
      <c r="AV199" s="1790">
        <f t="shared" si="120"/>
        <v>0</v>
      </c>
      <c r="AW199" s="1790">
        <f t="shared" si="121"/>
        <v>0</v>
      </c>
      <c r="AX199" s="1790">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32"/>
      <c r="C200" s="32"/>
      <c r="D200" s="2204"/>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2205"/>
      <c r="AV200" s="1790">
        <f t="shared" si="120"/>
        <v>0</v>
      </c>
      <c r="AW200" s="1790">
        <f t="shared" si="121"/>
        <v>0</v>
      </c>
      <c r="AX200" s="1790">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32"/>
      <c r="C201" s="32"/>
      <c r="D201" s="2204"/>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2205"/>
      <c r="AV201" s="1790">
        <f t="shared" si="120"/>
        <v>0</v>
      </c>
      <c r="AW201" s="1790">
        <f t="shared" si="121"/>
        <v>0</v>
      </c>
      <c r="AX201" s="1790">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32"/>
      <c r="C202" s="32"/>
      <c r="D202" s="2204"/>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2205"/>
      <c r="AV202" s="1790">
        <f t="shared" si="120"/>
        <v>0</v>
      </c>
      <c r="AW202" s="1790">
        <f t="shared" si="121"/>
        <v>0</v>
      </c>
      <c r="AX202" s="1790">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32"/>
      <c r="C203" s="32"/>
      <c r="D203" s="2204"/>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2205"/>
      <c r="AV203" s="1790">
        <f t="shared" si="120"/>
        <v>0</v>
      </c>
      <c r="AW203" s="1790">
        <f t="shared" si="121"/>
        <v>0</v>
      </c>
      <c r="AX203" s="1790">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32"/>
      <c r="C204" s="32"/>
      <c r="D204" s="2204"/>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2205"/>
      <c r="AV204" s="1790">
        <f t="shared" si="120"/>
        <v>0</v>
      </c>
      <c r="AW204" s="1790">
        <f t="shared" si="121"/>
        <v>0</v>
      </c>
      <c r="AX204" s="1790">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9"/>
      <c r="C205" s="9"/>
      <c r="D205" s="2204"/>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2145"/>
      <c r="AV205" s="1790">
        <f t="shared" si="120"/>
        <v>0</v>
      </c>
      <c r="AW205" s="1790">
        <f t="shared" si="121"/>
        <v>0</v>
      </c>
      <c r="AX205" s="1790">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9"/>
      <c r="C206" s="9"/>
      <c r="D206" s="2204"/>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2145"/>
      <c r="AV206" s="1790">
        <f t="shared" si="120"/>
        <v>0</v>
      </c>
      <c r="AW206" s="1790">
        <f t="shared" si="121"/>
        <v>0</v>
      </c>
      <c r="AX206" s="1790">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9"/>
      <c r="C207" s="9"/>
      <c r="D207" s="2204"/>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2145"/>
      <c r="AV207" s="1790">
        <f t="shared" si="120"/>
        <v>0</v>
      </c>
      <c r="AW207" s="1790">
        <f t="shared" si="121"/>
        <v>0</v>
      </c>
      <c r="AX207" s="1790">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32"/>
      <c r="C208" s="32"/>
      <c r="D208" s="2204"/>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2205"/>
      <c r="AV208" s="1790">
        <f t="shared" ref="AV208:AV302" si="127">A208</f>
        <v>0</v>
      </c>
      <c r="AW208" s="1790">
        <f t="shared" ref="AW208:AW302" si="128">B208</f>
        <v>0</v>
      </c>
      <c r="AX208" s="1790">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32"/>
      <c r="C209" s="32"/>
      <c r="D209" s="2204"/>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2205"/>
      <c r="AV209" s="1790">
        <f t="shared" si="127"/>
        <v>0</v>
      </c>
      <c r="AW209" s="1790">
        <f t="shared" si="128"/>
        <v>0</v>
      </c>
      <c r="AX209" s="1790">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32"/>
      <c r="C210" s="32"/>
      <c r="D210" s="2204"/>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2205"/>
      <c r="AV210" s="1790">
        <f t="shared" si="127"/>
        <v>0</v>
      </c>
      <c r="AW210" s="1790">
        <f t="shared" si="128"/>
        <v>0</v>
      </c>
      <c r="AX210" s="1790">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32"/>
      <c r="C211" s="32"/>
      <c r="D211" s="2204"/>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2205"/>
      <c r="AV211" s="1790">
        <f t="shared" si="127"/>
        <v>0</v>
      </c>
      <c r="AW211" s="1790">
        <f t="shared" si="128"/>
        <v>0</v>
      </c>
      <c r="AX211" s="1790">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32"/>
      <c r="C212" s="32"/>
      <c r="D212" s="2204"/>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2205"/>
      <c r="AV212" s="1790">
        <f t="shared" si="127"/>
        <v>0</v>
      </c>
      <c r="AW212" s="1790">
        <f t="shared" si="128"/>
        <v>0</v>
      </c>
      <c r="AX212" s="1790">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32"/>
      <c r="C213" s="32"/>
      <c r="D213" s="2204"/>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2205"/>
      <c r="AV213" s="1790">
        <f t="shared" si="127"/>
        <v>0</v>
      </c>
      <c r="AW213" s="1790">
        <f t="shared" si="128"/>
        <v>0</v>
      </c>
      <c r="AX213" s="1790">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32"/>
      <c r="C214" s="32"/>
      <c r="D214" s="2204"/>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2205"/>
      <c r="AV214" s="1790">
        <f t="shared" si="127"/>
        <v>0</v>
      </c>
      <c r="AW214" s="1790">
        <f t="shared" si="128"/>
        <v>0</v>
      </c>
      <c r="AX214" s="1790">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32"/>
      <c r="C215" s="32"/>
      <c r="D215" s="2204"/>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2205"/>
      <c r="AV215" s="1790">
        <f t="shared" si="127"/>
        <v>0</v>
      </c>
      <c r="AW215" s="1790">
        <f t="shared" si="128"/>
        <v>0</v>
      </c>
      <c r="AX215" s="1790">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32"/>
      <c r="C216" s="32"/>
      <c r="D216" s="2204"/>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2205"/>
      <c r="AV216" s="1790">
        <f t="shared" si="127"/>
        <v>0</v>
      </c>
      <c r="AW216" s="1790">
        <f t="shared" si="128"/>
        <v>0</v>
      </c>
      <c r="AX216" s="1790">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32"/>
      <c r="C217" s="32"/>
      <c r="D217" s="2204"/>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2205"/>
      <c r="AV217" s="1790">
        <f t="shared" si="127"/>
        <v>0</v>
      </c>
      <c r="AW217" s="1790">
        <f t="shared" si="128"/>
        <v>0</v>
      </c>
      <c r="AX217" s="1790">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32"/>
      <c r="C218" s="32"/>
      <c r="D218" s="2204"/>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2205"/>
      <c r="AV218" s="1790">
        <f t="shared" si="127"/>
        <v>0</v>
      </c>
      <c r="AW218" s="1790">
        <f t="shared" si="128"/>
        <v>0</v>
      </c>
      <c r="AX218" s="1790">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32"/>
      <c r="C219" s="32"/>
      <c r="D219" s="2204"/>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2205"/>
      <c r="AV219" s="1790">
        <f t="shared" si="127"/>
        <v>0</v>
      </c>
      <c r="AW219" s="1790">
        <f t="shared" si="128"/>
        <v>0</v>
      </c>
      <c r="AX219" s="1790">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32"/>
      <c r="C220" s="32"/>
      <c r="D220" s="2204"/>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2205"/>
      <c r="AV220" s="1790">
        <f t="shared" si="127"/>
        <v>0</v>
      </c>
      <c r="AW220" s="1790">
        <f t="shared" si="128"/>
        <v>0</v>
      </c>
      <c r="AX220" s="1790">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32"/>
      <c r="C221" s="32"/>
      <c r="D221" s="2204"/>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2205"/>
      <c r="AV221" s="1790">
        <f t="shared" si="127"/>
        <v>0</v>
      </c>
      <c r="AW221" s="1790">
        <f t="shared" si="128"/>
        <v>0</v>
      </c>
      <c r="AX221" s="1790">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32"/>
      <c r="C222" s="32"/>
      <c r="D222" s="2204"/>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2205"/>
      <c r="AV222" s="1790">
        <f t="shared" si="127"/>
        <v>0</v>
      </c>
      <c r="AW222" s="1790">
        <f t="shared" si="128"/>
        <v>0</v>
      </c>
      <c r="AX222" s="1790">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32"/>
      <c r="C223" s="32"/>
      <c r="D223" s="2204"/>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2205"/>
      <c r="AV223" s="1790">
        <f t="shared" si="127"/>
        <v>0</v>
      </c>
      <c r="AW223" s="1790">
        <f t="shared" si="128"/>
        <v>0</v>
      </c>
      <c r="AX223" s="1790">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32"/>
      <c r="C224" s="32"/>
      <c r="D224" s="2204"/>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2205"/>
      <c r="AV224" s="1790">
        <f t="shared" si="127"/>
        <v>0</v>
      </c>
      <c r="AW224" s="1790">
        <f t="shared" si="128"/>
        <v>0</v>
      </c>
      <c r="AX224" s="1790">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32"/>
      <c r="C225" s="32"/>
      <c r="D225" s="2204"/>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2205"/>
      <c r="AV225" s="1790">
        <f t="shared" si="127"/>
        <v>0</v>
      </c>
      <c r="AW225" s="1790">
        <f t="shared" si="128"/>
        <v>0</v>
      </c>
      <c r="AX225" s="1790">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32"/>
      <c r="C226" s="32"/>
      <c r="D226" s="2204"/>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2205"/>
      <c r="AV226" s="1790">
        <f t="shared" si="127"/>
        <v>0</v>
      </c>
      <c r="AW226" s="1790">
        <f t="shared" si="128"/>
        <v>0</v>
      </c>
      <c r="AX226" s="1790">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32"/>
      <c r="C227" s="32"/>
      <c r="D227" s="2204"/>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2205"/>
      <c r="AV227" s="1790">
        <f t="shared" si="127"/>
        <v>0</v>
      </c>
      <c r="AW227" s="1790">
        <f t="shared" si="128"/>
        <v>0</v>
      </c>
      <c r="AX227" s="1790">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32"/>
      <c r="C228" s="32"/>
      <c r="D228" s="2204"/>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2205"/>
      <c r="AV228" s="1790">
        <f t="shared" si="127"/>
        <v>0</v>
      </c>
      <c r="AW228" s="1790">
        <f t="shared" si="128"/>
        <v>0</v>
      </c>
      <c r="AX228" s="1790">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32"/>
      <c r="C229" s="32"/>
      <c r="D229" s="2204"/>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2205"/>
      <c r="AV229" s="1790">
        <f t="shared" si="127"/>
        <v>0</v>
      </c>
      <c r="AW229" s="1790">
        <f t="shared" si="128"/>
        <v>0</v>
      </c>
      <c r="AX229" s="1790">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32"/>
      <c r="C230" s="32"/>
      <c r="D230" s="2204"/>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2205"/>
      <c r="AV230" s="1790">
        <f t="shared" si="127"/>
        <v>0</v>
      </c>
      <c r="AW230" s="1790">
        <f t="shared" si="128"/>
        <v>0</v>
      </c>
      <c r="AX230" s="1790">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32"/>
      <c r="C231" s="32"/>
      <c r="D231" s="2204"/>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2205"/>
      <c r="AV231" s="1790">
        <f t="shared" si="127"/>
        <v>0</v>
      </c>
      <c r="AW231" s="1790">
        <f t="shared" si="128"/>
        <v>0</v>
      </c>
      <c r="AX231" s="1790">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32"/>
      <c r="C232" s="32"/>
      <c r="D232" s="2204"/>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2205"/>
      <c r="AV232" s="1790">
        <f t="shared" si="127"/>
        <v>0</v>
      </c>
      <c r="AW232" s="1790">
        <f t="shared" si="128"/>
        <v>0</v>
      </c>
      <c r="AX232" s="1790">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32"/>
      <c r="C233" s="32"/>
      <c r="D233" s="2204"/>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2205"/>
      <c r="AV233" s="1790">
        <f t="shared" si="127"/>
        <v>0</v>
      </c>
      <c r="AW233" s="1790">
        <f t="shared" si="128"/>
        <v>0</v>
      </c>
      <c r="AX233" s="1790">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32"/>
      <c r="C234" s="32"/>
      <c r="D234" s="2204"/>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2205"/>
      <c r="AV234" s="1790">
        <f t="shared" si="127"/>
        <v>0</v>
      </c>
      <c r="AW234" s="1790">
        <f t="shared" si="128"/>
        <v>0</v>
      </c>
      <c r="AX234" s="1790">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32"/>
      <c r="C235" s="32"/>
      <c r="D235" s="2204"/>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2205"/>
      <c r="AV235" s="1790">
        <f t="shared" si="127"/>
        <v>0</v>
      </c>
      <c r="AW235" s="1790">
        <f t="shared" si="128"/>
        <v>0</v>
      </c>
      <c r="AX235" s="1790">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32"/>
      <c r="C236" s="32"/>
      <c r="D236" s="2204"/>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2205"/>
      <c r="AV236" s="1790">
        <f t="shared" si="127"/>
        <v>0</v>
      </c>
      <c r="AW236" s="1790">
        <f t="shared" si="128"/>
        <v>0</v>
      </c>
      <c r="AX236" s="1790">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32"/>
      <c r="C237" s="32"/>
      <c r="D237" s="2204"/>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2205"/>
      <c r="AV237" s="1790">
        <f t="shared" si="127"/>
        <v>0</v>
      </c>
      <c r="AW237" s="1790">
        <f t="shared" si="128"/>
        <v>0</v>
      </c>
      <c r="AX237" s="1790">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32"/>
      <c r="C238" s="32"/>
      <c r="D238" s="2204"/>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2205"/>
      <c r="AV238" s="1790">
        <f t="shared" si="127"/>
        <v>0</v>
      </c>
      <c r="AW238" s="1790">
        <f t="shared" si="128"/>
        <v>0</v>
      </c>
      <c r="AX238" s="1790">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32"/>
      <c r="C239" s="32"/>
      <c r="D239" s="2204"/>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2205"/>
      <c r="AV239" s="1790">
        <f t="shared" si="127"/>
        <v>0</v>
      </c>
      <c r="AW239" s="1790">
        <f t="shared" si="128"/>
        <v>0</v>
      </c>
      <c r="AX239" s="1790">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32"/>
      <c r="C240" s="32"/>
      <c r="D240" s="2204"/>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2205"/>
      <c r="AV240" s="1790">
        <f t="shared" si="127"/>
        <v>0</v>
      </c>
      <c r="AW240" s="1790">
        <f t="shared" si="128"/>
        <v>0</v>
      </c>
      <c r="AX240" s="1790">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32"/>
      <c r="C241" s="32"/>
      <c r="D241" s="2204"/>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2205"/>
      <c r="AV241" s="1790">
        <f t="shared" si="127"/>
        <v>0</v>
      </c>
      <c r="AW241" s="1790">
        <f t="shared" si="128"/>
        <v>0</v>
      </c>
      <c r="AX241" s="1790">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32"/>
      <c r="C242" s="32"/>
      <c r="D242" s="2204"/>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2205"/>
      <c r="AV242" s="1790">
        <f t="shared" si="127"/>
        <v>0</v>
      </c>
      <c r="AW242" s="1790">
        <f t="shared" si="128"/>
        <v>0</v>
      </c>
      <c r="AX242" s="1790">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32"/>
      <c r="C243" s="32"/>
      <c r="D243" s="2204"/>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2205"/>
      <c r="AV243" s="1790">
        <f t="shared" si="127"/>
        <v>0</v>
      </c>
      <c r="AW243" s="1790">
        <f t="shared" si="128"/>
        <v>0</v>
      </c>
      <c r="AX243" s="1790">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32"/>
      <c r="C244" s="32"/>
      <c r="D244" s="2204"/>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2205"/>
      <c r="AV244" s="1790">
        <f t="shared" si="127"/>
        <v>0</v>
      </c>
      <c r="AW244" s="1790">
        <f t="shared" si="128"/>
        <v>0</v>
      </c>
      <c r="AX244" s="1790">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32"/>
      <c r="C245" s="32"/>
      <c r="D245" s="2204"/>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2205"/>
      <c r="AV245" s="1790">
        <f t="shared" si="127"/>
        <v>0</v>
      </c>
      <c r="AW245" s="1790">
        <f t="shared" si="128"/>
        <v>0</v>
      </c>
      <c r="AX245" s="1790">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32"/>
      <c r="C246" s="32"/>
      <c r="D246" s="2204"/>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2205"/>
      <c r="AV246" s="1790">
        <f t="shared" si="127"/>
        <v>0</v>
      </c>
      <c r="AW246" s="1790">
        <f t="shared" si="128"/>
        <v>0</v>
      </c>
      <c r="AX246" s="1790">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32"/>
      <c r="C247" s="32"/>
      <c r="D247" s="2204"/>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2205"/>
      <c r="AV247" s="1790">
        <f t="shared" si="127"/>
        <v>0</v>
      </c>
      <c r="AW247" s="1790">
        <f t="shared" si="128"/>
        <v>0</v>
      </c>
      <c r="AX247" s="1790">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32"/>
      <c r="C248" s="32"/>
      <c r="D248" s="2204"/>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2205"/>
      <c r="AV248" s="1790">
        <f t="shared" si="127"/>
        <v>0</v>
      </c>
      <c r="AW248" s="1790">
        <f t="shared" si="128"/>
        <v>0</v>
      </c>
      <c r="AX248" s="1790">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32"/>
      <c r="C249" s="32"/>
      <c r="D249" s="2204"/>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2205"/>
      <c r="AV249" s="1790">
        <f t="shared" si="127"/>
        <v>0</v>
      </c>
      <c r="AW249" s="1790">
        <f t="shared" si="128"/>
        <v>0</v>
      </c>
      <c r="AX249" s="1790">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32"/>
      <c r="C250" s="32"/>
      <c r="D250" s="2204"/>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2205"/>
      <c r="AV250" s="1790">
        <f t="shared" si="127"/>
        <v>0</v>
      </c>
      <c r="AW250" s="1790">
        <f t="shared" si="128"/>
        <v>0</v>
      </c>
      <c r="AX250" s="1790">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32"/>
      <c r="C251" s="32"/>
      <c r="D251" s="2204"/>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2205"/>
      <c r="AV251" s="1790">
        <f t="shared" si="127"/>
        <v>0</v>
      </c>
      <c r="AW251" s="1790">
        <f t="shared" si="128"/>
        <v>0</v>
      </c>
      <c r="AX251" s="1790">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32"/>
      <c r="C252" s="32"/>
      <c r="D252" s="2204"/>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2205"/>
      <c r="AV252" s="1790">
        <f t="shared" si="127"/>
        <v>0</v>
      </c>
      <c r="AW252" s="1790">
        <f t="shared" si="128"/>
        <v>0</v>
      </c>
      <c r="AX252" s="1790">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32"/>
      <c r="C253" s="32"/>
      <c r="D253" s="2204"/>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2205"/>
      <c r="AV253" s="1790">
        <f t="shared" si="127"/>
        <v>0</v>
      </c>
      <c r="AW253" s="1790">
        <f t="shared" si="128"/>
        <v>0</v>
      </c>
      <c r="AX253" s="1790">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32"/>
      <c r="C254" s="32"/>
      <c r="D254" s="2204"/>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2205"/>
      <c r="AV254" s="1790">
        <f t="shared" si="127"/>
        <v>0</v>
      </c>
      <c r="AW254" s="1790">
        <f t="shared" si="128"/>
        <v>0</v>
      </c>
      <c r="AX254" s="1790">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32"/>
      <c r="C255" s="32"/>
      <c r="D255" s="2204"/>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2205"/>
      <c r="AV255" s="1790">
        <f t="shared" si="127"/>
        <v>0</v>
      </c>
      <c r="AW255" s="1790">
        <f t="shared" si="128"/>
        <v>0</v>
      </c>
      <c r="AX255" s="1790">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32"/>
      <c r="C256" s="32"/>
      <c r="D256" s="2204"/>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2205"/>
      <c r="AV256" s="1790">
        <f t="shared" si="127"/>
        <v>0</v>
      </c>
      <c r="AW256" s="1790">
        <f t="shared" si="128"/>
        <v>0</v>
      </c>
      <c r="AX256" s="1790">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32"/>
      <c r="C257" s="32"/>
      <c r="D257" s="2204"/>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2205"/>
      <c r="AV257" s="1790">
        <f t="shared" si="127"/>
        <v>0</v>
      </c>
      <c r="AW257" s="1790">
        <f t="shared" si="128"/>
        <v>0</v>
      </c>
      <c r="AX257" s="1790">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32"/>
      <c r="C258" s="32"/>
      <c r="D258" s="2204"/>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2205"/>
      <c r="AV258" s="1790">
        <f t="shared" si="127"/>
        <v>0</v>
      </c>
      <c r="AW258" s="1790">
        <f t="shared" si="128"/>
        <v>0</v>
      </c>
      <c r="AX258" s="1790">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32"/>
      <c r="C259" s="32"/>
      <c r="D259" s="2204"/>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2205"/>
      <c r="AV259" s="1790">
        <f t="shared" si="127"/>
        <v>0</v>
      </c>
      <c r="AW259" s="1790">
        <f t="shared" si="128"/>
        <v>0</v>
      </c>
      <c r="AX259" s="1790">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32"/>
      <c r="C260" s="32"/>
      <c r="D260" s="2204"/>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2205"/>
      <c r="AV260" s="1790">
        <f t="shared" si="127"/>
        <v>0</v>
      </c>
      <c r="AW260" s="1790">
        <f t="shared" si="128"/>
        <v>0</v>
      </c>
      <c r="AX260" s="1790">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32"/>
      <c r="C261" s="32"/>
      <c r="D261" s="2204"/>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2205"/>
      <c r="AV261" s="1790">
        <f t="shared" si="127"/>
        <v>0</v>
      </c>
      <c r="AW261" s="1790">
        <f t="shared" si="128"/>
        <v>0</v>
      </c>
      <c r="AX261" s="1790">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32"/>
      <c r="C262" s="32"/>
      <c r="D262" s="2204"/>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2205"/>
      <c r="AV262" s="1790">
        <f t="shared" si="127"/>
        <v>0</v>
      </c>
      <c r="AW262" s="1790">
        <f t="shared" si="128"/>
        <v>0</v>
      </c>
      <c r="AX262" s="1790">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32"/>
      <c r="C263" s="32"/>
      <c r="D263" s="2204"/>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2205"/>
      <c r="AV263" s="1790">
        <f t="shared" si="127"/>
        <v>0</v>
      </c>
      <c r="AW263" s="1790">
        <f t="shared" si="128"/>
        <v>0</v>
      </c>
      <c r="AX263" s="1790">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32"/>
      <c r="C264" s="32"/>
      <c r="D264" s="2204"/>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2205"/>
      <c r="AV264" s="1790">
        <f t="shared" si="127"/>
        <v>0</v>
      </c>
      <c r="AW264" s="1790">
        <f t="shared" si="128"/>
        <v>0</v>
      </c>
      <c r="AX264" s="1790">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32"/>
      <c r="C265" s="32"/>
      <c r="D265" s="2204"/>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2205"/>
      <c r="AV265" s="1790">
        <f t="shared" si="127"/>
        <v>0</v>
      </c>
      <c r="AW265" s="1790">
        <f t="shared" si="128"/>
        <v>0</v>
      </c>
      <c r="AX265" s="1790">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32"/>
      <c r="C266" s="32"/>
      <c r="D266" s="2204"/>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2205"/>
      <c r="AV266" s="1790">
        <f t="shared" si="127"/>
        <v>0</v>
      </c>
      <c r="AW266" s="1790">
        <f t="shared" si="128"/>
        <v>0</v>
      </c>
      <c r="AX266" s="1790">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32"/>
      <c r="C267" s="32"/>
      <c r="D267" s="2204"/>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2205"/>
      <c r="AV267" s="1790">
        <f t="shared" si="127"/>
        <v>0</v>
      </c>
      <c r="AW267" s="1790">
        <f t="shared" si="128"/>
        <v>0</v>
      </c>
      <c r="AX267" s="1790">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32"/>
      <c r="C268" s="32"/>
      <c r="D268" s="2204"/>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2205"/>
      <c r="AV268" s="1790">
        <f t="shared" si="127"/>
        <v>0</v>
      </c>
      <c r="AW268" s="1790">
        <f t="shared" si="128"/>
        <v>0</v>
      </c>
      <c r="AX268" s="1790">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32"/>
      <c r="C269" s="32"/>
      <c r="D269" s="2204"/>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2205"/>
      <c r="AV269" s="1790">
        <f t="shared" si="127"/>
        <v>0</v>
      </c>
      <c r="AW269" s="1790">
        <f t="shared" si="128"/>
        <v>0</v>
      </c>
      <c r="AX269" s="1790">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32"/>
      <c r="C270" s="32"/>
      <c r="D270" s="2204"/>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2205"/>
      <c r="AV270" s="1790">
        <f t="shared" si="127"/>
        <v>0</v>
      </c>
      <c r="AW270" s="1790">
        <f t="shared" si="128"/>
        <v>0</v>
      </c>
      <c r="AX270" s="1790">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32"/>
      <c r="C271" s="32"/>
      <c r="D271" s="2204"/>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2205"/>
      <c r="AV271" s="1790">
        <f t="shared" si="127"/>
        <v>0</v>
      </c>
      <c r="AW271" s="1790">
        <f t="shared" si="128"/>
        <v>0</v>
      </c>
      <c r="AX271" s="1790">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32"/>
      <c r="C272" s="32"/>
      <c r="D272" s="2204"/>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2205"/>
      <c r="AV272" s="1790">
        <f t="shared" si="127"/>
        <v>0</v>
      </c>
      <c r="AW272" s="1790">
        <f t="shared" si="128"/>
        <v>0</v>
      </c>
      <c r="AX272" s="1790">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32"/>
      <c r="C273" s="32"/>
      <c r="D273" s="2204"/>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2205"/>
      <c r="AV273" s="1790">
        <f t="shared" si="127"/>
        <v>0</v>
      </c>
      <c r="AW273" s="1790">
        <f t="shared" si="128"/>
        <v>0</v>
      </c>
      <c r="AX273" s="1790">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32"/>
      <c r="C274" s="32"/>
      <c r="D274" s="2204"/>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2205"/>
      <c r="AV274" s="1790">
        <f t="shared" si="127"/>
        <v>0</v>
      </c>
      <c r="AW274" s="1790">
        <f t="shared" si="128"/>
        <v>0</v>
      </c>
      <c r="AX274" s="1790">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32"/>
      <c r="C275" s="32"/>
      <c r="D275" s="2204"/>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2205"/>
      <c r="AV275" s="1790">
        <f t="shared" si="127"/>
        <v>0</v>
      </c>
      <c r="AW275" s="1790">
        <f t="shared" si="128"/>
        <v>0</v>
      </c>
      <c r="AX275" s="1790">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32"/>
      <c r="C276" s="32"/>
      <c r="D276" s="2204"/>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2205"/>
      <c r="AV276" s="1790">
        <f t="shared" si="127"/>
        <v>0</v>
      </c>
      <c r="AW276" s="1790">
        <f t="shared" si="128"/>
        <v>0</v>
      </c>
      <c r="AX276" s="1790">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32"/>
      <c r="C277" s="32"/>
      <c r="D277" s="2204"/>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2205"/>
      <c r="AV277" s="1790">
        <f t="shared" si="127"/>
        <v>0</v>
      </c>
      <c r="AW277" s="1790">
        <f t="shared" si="128"/>
        <v>0</v>
      </c>
      <c r="AX277" s="1790">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32"/>
      <c r="C278" s="32"/>
      <c r="D278" s="2204"/>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2205"/>
      <c r="AV278" s="1790">
        <f t="shared" si="127"/>
        <v>0</v>
      </c>
      <c r="AW278" s="1790">
        <f t="shared" si="128"/>
        <v>0</v>
      </c>
      <c r="AX278" s="1790">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32"/>
      <c r="C279" s="32"/>
      <c r="D279" s="2204"/>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2205"/>
      <c r="AV279" s="1790">
        <f t="shared" si="127"/>
        <v>0</v>
      </c>
      <c r="AW279" s="1790">
        <f t="shared" si="128"/>
        <v>0</v>
      </c>
      <c r="AX279" s="1790">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32"/>
      <c r="C280" s="32"/>
      <c r="D280" s="2204"/>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2205"/>
      <c r="AV280" s="1790">
        <f t="shared" si="127"/>
        <v>0</v>
      </c>
      <c r="AW280" s="1790">
        <f t="shared" si="128"/>
        <v>0</v>
      </c>
      <c r="AX280" s="1790">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32"/>
      <c r="C281" s="32"/>
      <c r="D281" s="2204"/>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2205"/>
      <c r="AV281" s="1790">
        <f t="shared" si="127"/>
        <v>0</v>
      </c>
      <c r="AW281" s="1790">
        <f t="shared" si="128"/>
        <v>0</v>
      </c>
      <c r="AX281" s="1790">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32"/>
      <c r="C282" s="32"/>
      <c r="D282" s="2204"/>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2205"/>
      <c r="AV282" s="1790">
        <f t="shared" si="127"/>
        <v>0</v>
      </c>
      <c r="AW282" s="1790">
        <f t="shared" si="128"/>
        <v>0</v>
      </c>
      <c r="AX282" s="1790">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32"/>
      <c r="C283" s="32"/>
      <c r="D283" s="2204"/>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2205"/>
      <c r="AV283" s="1790">
        <f t="shared" si="127"/>
        <v>0</v>
      </c>
      <c r="AW283" s="1790">
        <f t="shared" si="128"/>
        <v>0</v>
      </c>
      <c r="AX283" s="1790">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32"/>
      <c r="C284" s="32"/>
      <c r="D284" s="2204"/>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2205"/>
      <c r="AV284" s="1790">
        <f t="shared" si="127"/>
        <v>0</v>
      </c>
      <c r="AW284" s="1790">
        <f t="shared" si="128"/>
        <v>0</v>
      </c>
      <c r="AX284" s="1790">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32"/>
      <c r="C285" s="32"/>
      <c r="D285" s="2204"/>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2205"/>
      <c r="AV285" s="1790">
        <f t="shared" si="127"/>
        <v>0</v>
      </c>
      <c r="AW285" s="1790">
        <f t="shared" si="128"/>
        <v>0</v>
      </c>
      <c r="AX285" s="1790">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32"/>
      <c r="C286" s="32"/>
      <c r="D286" s="2204"/>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2205"/>
      <c r="AV286" s="1790">
        <f t="shared" si="127"/>
        <v>0</v>
      </c>
      <c r="AW286" s="1790">
        <f t="shared" si="128"/>
        <v>0</v>
      </c>
      <c r="AX286" s="1790">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32"/>
      <c r="C287" s="32"/>
      <c r="D287" s="2204"/>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2205"/>
      <c r="AV287" s="1790">
        <f t="shared" si="127"/>
        <v>0</v>
      </c>
      <c r="AW287" s="1790">
        <f t="shared" si="128"/>
        <v>0</v>
      </c>
      <c r="AX287" s="1790">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32"/>
      <c r="C288" s="32"/>
      <c r="D288" s="2204"/>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2205"/>
      <c r="AV288" s="1790">
        <f t="shared" si="127"/>
        <v>0</v>
      </c>
      <c r="AW288" s="1790">
        <f t="shared" si="128"/>
        <v>0</v>
      </c>
      <c r="AX288" s="1790">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32"/>
      <c r="C289" s="32"/>
      <c r="D289" s="2204"/>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2205"/>
      <c r="AV289" s="1790">
        <f t="shared" si="127"/>
        <v>0</v>
      </c>
      <c r="AW289" s="1790">
        <f t="shared" si="128"/>
        <v>0</v>
      </c>
      <c r="AX289" s="1790">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32"/>
      <c r="C290" s="32"/>
      <c r="D290" s="2204"/>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2205"/>
      <c r="AV290" s="1790">
        <f t="shared" si="127"/>
        <v>0</v>
      </c>
      <c r="AW290" s="1790">
        <f t="shared" si="128"/>
        <v>0</v>
      </c>
      <c r="AX290" s="1790">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32"/>
      <c r="C291" s="32"/>
      <c r="D291" s="2204"/>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2205"/>
      <c r="AV291" s="1790">
        <f t="shared" si="127"/>
        <v>0</v>
      </c>
      <c r="AW291" s="1790">
        <f t="shared" si="128"/>
        <v>0</v>
      </c>
      <c r="AX291" s="1790">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32"/>
      <c r="C292" s="32"/>
      <c r="D292" s="2204"/>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2205"/>
      <c r="AV292" s="1790">
        <f t="shared" si="127"/>
        <v>0</v>
      </c>
      <c r="AW292" s="1790">
        <f t="shared" si="128"/>
        <v>0</v>
      </c>
      <c r="AX292" s="1790">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32"/>
      <c r="C293" s="32"/>
      <c r="D293" s="2204"/>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2205"/>
      <c r="AV293" s="1790">
        <f t="shared" si="127"/>
        <v>0</v>
      </c>
      <c r="AW293" s="1790">
        <f t="shared" si="128"/>
        <v>0</v>
      </c>
      <c r="AX293" s="1790">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32"/>
      <c r="C294" s="32"/>
      <c r="D294" s="2204"/>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2205"/>
      <c r="AV294" s="1790">
        <f t="shared" si="127"/>
        <v>0</v>
      </c>
      <c r="AW294" s="1790">
        <f t="shared" si="128"/>
        <v>0</v>
      </c>
      <c r="AX294" s="1790">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32"/>
      <c r="C295" s="32"/>
      <c r="D295" s="2204"/>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2205"/>
      <c r="AV295" s="1790">
        <f t="shared" si="127"/>
        <v>0</v>
      </c>
      <c r="AW295" s="1790">
        <f t="shared" si="128"/>
        <v>0</v>
      </c>
      <c r="AX295" s="1790">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32"/>
      <c r="C296" s="32"/>
      <c r="D296" s="2204"/>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2205"/>
      <c r="AV296" s="1790">
        <f t="shared" si="127"/>
        <v>0</v>
      </c>
      <c r="AW296" s="1790">
        <f t="shared" si="128"/>
        <v>0</v>
      </c>
      <c r="AX296" s="1790">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32"/>
      <c r="C297" s="32"/>
      <c r="D297" s="2204"/>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2205"/>
      <c r="AV297" s="1790">
        <f t="shared" si="127"/>
        <v>0</v>
      </c>
      <c r="AW297" s="1790">
        <f t="shared" si="128"/>
        <v>0</v>
      </c>
      <c r="AX297" s="1790">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32"/>
      <c r="C298" s="32"/>
      <c r="D298" s="2204"/>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2205"/>
      <c r="AV298" s="1790">
        <f t="shared" si="127"/>
        <v>0</v>
      </c>
      <c r="AW298" s="1790">
        <f t="shared" si="128"/>
        <v>0</v>
      </c>
      <c r="AX298" s="1790">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32"/>
      <c r="C299" s="32"/>
      <c r="D299" s="2204"/>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2205"/>
      <c r="AV299" s="1790">
        <f t="shared" si="127"/>
        <v>0</v>
      </c>
      <c r="AW299" s="1790">
        <f t="shared" si="128"/>
        <v>0</v>
      </c>
      <c r="AX299" s="1790">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9"/>
      <c r="C300" s="9"/>
      <c r="D300" s="2204"/>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2145"/>
      <c r="AV300" s="1790">
        <f t="shared" si="127"/>
        <v>0</v>
      </c>
      <c r="AW300" s="1790">
        <f t="shared" si="128"/>
        <v>0</v>
      </c>
      <c r="AX300" s="1790">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9"/>
      <c r="C301" s="9"/>
      <c r="D301" s="2204"/>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2145"/>
      <c r="AV301" s="1790">
        <f t="shared" si="127"/>
        <v>0</v>
      </c>
      <c r="AW301" s="1790">
        <f t="shared" si="128"/>
        <v>0</v>
      </c>
      <c r="AX301" s="1790">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9"/>
      <c r="C302" s="9"/>
      <c r="D302" s="2204"/>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2145"/>
      <c r="AV302" s="1790">
        <f t="shared" si="127"/>
        <v>0</v>
      </c>
      <c r="AW302" s="1790">
        <f t="shared" si="128"/>
        <v>0</v>
      </c>
      <c r="AX302" s="1790">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32"/>
      <c r="C303" s="32"/>
      <c r="D303" s="2204"/>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2205"/>
      <c r="AV303" s="1790">
        <f t="shared" ref="AV303:AV334" si="178">A303</f>
        <v>0</v>
      </c>
      <c r="AW303" s="1790">
        <f t="shared" ref="AW303:AW334" si="179">B303</f>
        <v>0</v>
      </c>
      <c r="AX303" s="1790">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32"/>
      <c r="C304" s="32"/>
      <c r="D304" s="2204"/>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2205"/>
      <c r="AV304" s="1790">
        <f t="shared" si="178"/>
        <v>0</v>
      </c>
      <c r="AW304" s="1790">
        <f t="shared" si="179"/>
        <v>0</v>
      </c>
      <c r="AX304" s="1790">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32"/>
      <c r="C305" s="32"/>
      <c r="D305" s="2204"/>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2205"/>
      <c r="AV305" s="1790">
        <f t="shared" si="178"/>
        <v>0</v>
      </c>
      <c r="AW305" s="1790">
        <f t="shared" si="179"/>
        <v>0</v>
      </c>
      <c r="AX305" s="1790">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32"/>
      <c r="C306" s="32"/>
      <c r="D306" s="2204"/>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2205"/>
      <c r="AV306" s="1790">
        <f t="shared" si="178"/>
        <v>0</v>
      </c>
      <c r="AW306" s="1790">
        <f t="shared" si="179"/>
        <v>0</v>
      </c>
      <c r="AX306" s="1790">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32"/>
      <c r="C307" s="32"/>
      <c r="D307" s="2204"/>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2205"/>
      <c r="AV307" s="1790">
        <f t="shared" si="178"/>
        <v>0</v>
      </c>
      <c r="AW307" s="1790">
        <f t="shared" si="179"/>
        <v>0</v>
      </c>
      <c r="AX307" s="1790">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32"/>
      <c r="C308" s="32"/>
      <c r="D308" s="2204"/>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2205"/>
      <c r="AV308" s="1790">
        <f t="shared" si="178"/>
        <v>0</v>
      </c>
      <c r="AW308" s="1790">
        <f t="shared" si="179"/>
        <v>0</v>
      </c>
      <c r="AX308" s="1790">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32"/>
      <c r="C309" s="32"/>
      <c r="D309" s="2204"/>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2205"/>
      <c r="AV309" s="1790">
        <f t="shared" si="178"/>
        <v>0</v>
      </c>
      <c r="AW309" s="1790">
        <f t="shared" si="179"/>
        <v>0</v>
      </c>
      <c r="AX309" s="1790">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32"/>
      <c r="C310" s="32"/>
      <c r="D310" s="2204"/>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2205"/>
      <c r="AV310" s="1790">
        <f t="shared" si="178"/>
        <v>0</v>
      </c>
      <c r="AW310" s="1790">
        <f t="shared" si="179"/>
        <v>0</v>
      </c>
      <c r="AX310" s="1790">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32"/>
      <c r="C311" s="32"/>
      <c r="D311" s="2204"/>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2205"/>
      <c r="AV311" s="1790">
        <f t="shared" si="178"/>
        <v>0</v>
      </c>
      <c r="AW311" s="1790">
        <f t="shared" si="179"/>
        <v>0</v>
      </c>
      <c r="AX311" s="1790">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32"/>
      <c r="C312" s="32"/>
      <c r="D312" s="2204"/>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2205"/>
      <c r="AV312" s="1790">
        <f t="shared" si="178"/>
        <v>0</v>
      </c>
      <c r="AW312" s="1790">
        <f t="shared" si="179"/>
        <v>0</v>
      </c>
      <c r="AX312" s="1790">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32"/>
      <c r="C313" s="32"/>
      <c r="D313" s="2204"/>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2205"/>
      <c r="AV313" s="1790">
        <f t="shared" si="178"/>
        <v>0</v>
      </c>
      <c r="AW313" s="1790">
        <f t="shared" si="179"/>
        <v>0</v>
      </c>
      <c r="AX313" s="1790">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32"/>
      <c r="C314" s="32"/>
      <c r="D314" s="2204"/>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2205"/>
      <c r="AV314" s="1790">
        <f t="shared" si="178"/>
        <v>0</v>
      </c>
      <c r="AW314" s="1790">
        <f t="shared" si="179"/>
        <v>0</v>
      </c>
      <c r="AX314" s="1790">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32"/>
      <c r="C315" s="32"/>
      <c r="D315" s="2204"/>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2205"/>
      <c r="AV315" s="1790">
        <f t="shared" si="178"/>
        <v>0</v>
      </c>
      <c r="AW315" s="1790">
        <f t="shared" si="179"/>
        <v>0</v>
      </c>
      <c r="AX315" s="1790">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32"/>
      <c r="C316" s="32"/>
      <c r="D316" s="2204"/>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2205"/>
      <c r="AV316" s="1790">
        <f t="shared" si="178"/>
        <v>0</v>
      </c>
      <c r="AW316" s="1790">
        <f t="shared" si="179"/>
        <v>0</v>
      </c>
      <c r="AX316" s="1790">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32"/>
      <c r="C317" s="32"/>
      <c r="D317" s="2204"/>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2205"/>
      <c r="AV317" s="1790">
        <f t="shared" si="178"/>
        <v>0</v>
      </c>
      <c r="AW317" s="1790">
        <f t="shared" si="179"/>
        <v>0</v>
      </c>
      <c r="AX317" s="1790">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32"/>
      <c r="C318" s="32"/>
      <c r="D318" s="2204"/>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2205"/>
      <c r="AV318" s="1790">
        <f t="shared" si="178"/>
        <v>0</v>
      </c>
      <c r="AW318" s="1790">
        <f t="shared" si="179"/>
        <v>0</v>
      </c>
      <c r="AX318" s="1790">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32"/>
      <c r="C319" s="32"/>
      <c r="D319" s="2204"/>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2205"/>
      <c r="AV319" s="1790">
        <f t="shared" si="178"/>
        <v>0</v>
      </c>
      <c r="AW319" s="1790">
        <f t="shared" si="179"/>
        <v>0</v>
      </c>
      <c r="AX319" s="1790">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32"/>
      <c r="C320" s="32"/>
      <c r="D320" s="2204"/>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2205"/>
      <c r="AV320" s="1790">
        <f t="shared" si="178"/>
        <v>0</v>
      </c>
      <c r="AW320" s="1790">
        <f t="shared" si="179"/>
        <v>0</v>
      </c>
      <c r="AX320" s="1790">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32"/>
      <c r="C321" s="32"/>
      <c r="D321" s="2204"/>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2205"/>
      <c r="AV321" s="1790">
        <f t="shared" si="178"/>
        <v>0</v>
      </c>
      <c r="AW321" s="1790">
        <f t="shared" si="179"/>
        <v>0</v>
      </c>
      <c r="AX321" s="1790">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32"/>
      <c r="C322" s="32"/>
      <c r="D322" s="2204"/>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2205"/>
      <c r="AV322" s="1790">
        <f t="shared" si="178"/>
        <v>0</v>
      </c>
      <c r="AW322" s="1790">
        <f t="shared" si="179"/>
        <v>0</v>
      </c>
      <c r="AX322" s="1790">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32"/>
      <c r="C323" s="32"/>
      <c r="D323" s="2204"/>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2205"/>
      <c r="AV323" s="1790">
        <f t="shared" si="178"/>
        <v>0</v>
      </c>
      <c r="AW323" s="1790">
        <f t="shared" si="179"/>
        <v>0</v>
      </c>
      <c r="AX323" s="1790">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32"/>
      <c r="C324" s="32"/>
      <c r="D324" s="2204"/>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2205"/>
      <c r="AV324" s="1790">
        <f t="shared" si="178"/>
        <v>0</v>
      </c>
      <c r="AW324" s="1790">
        <f t="shared" si="179"/>
        <v>0</v>
      </c>
      <c r="AX324" s="1790">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32"/>
      <c r="C325" s="32"/>
      <c r="D325" s="2204"/>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2205"/>
      <c r="AV325" s="1790">
        <f t="shared" si="178"/>
        <v>0</v>
      </c>
      <c r="AW325" s="1790">
        <f t="shared" si="179"/>
        <v>0</v>
      </c>
      <c r="AX325" s="1790">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32"/>
      <c r="C326" s="32"/>
      <c r="D326" s="2204"/>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2205"/>
      <c r="AV326" s="1790">
        <f t="shared" si="178"/>
        <v>0</v>
      </c>
      <c r="AW326" s="1790">
        <f t="shared" si="179"/>
        <v>0</v>
      </c>
      <c r="AX326" s="1790">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32"/>
      <c r="C327" s="32"/>
      <c r="D327" s="2204"/>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2205"/>
      <c r="AV327" s="1790">
        <f t="shared" si="178"/>
        <v>0</v>
      </c>
      <c r="AW327" s="1790">
        <f t="shared" si="179"/>
        <v>0</v>
      </c>
      <c r="AX327" s="1790">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32"/>
      <c r="C328" s="32"/>
      <c r="D328" s="2204"/>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2205"/>
      <c r="AV328" s="1790">
        <f t="shared" si="178"/>
        <v>0</v>
      </c>
      <c r="AW328" s="1790">
        <f t="shared" si="179"/>
        <v>0</v>
      </c>
      <c r="AX328" s="1790">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32"/>
      <c r="C329" s="32"/>
      <c r="D329" s="2204"/>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2205"/>
      <c r="AV329" s="1790">
        <f t="shared" si="178"/>
        <v>0</v>
      </c>
      <c r="AW329" s="1790">
        <f t="shared" si="179"/>
        <v>0</v>
      </c>
      <c r="AX329" s="1790">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32"/>
      <c r="C330" s="32"/>
      <c r="D330" s="2204"/>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2205"/>
      <c r="AV330" s="1790">
        <f t="shared" si="178"/>
        <v>0</v>
      </c>
      <c r="AW330" s="1790">
        <f t="shared" si="179"/>
        <v>0</v>
      </c>
      <c r="AX330" s="1790">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32"/>
      <c r="C331" s="32"/>
      <c r="D331" s="2204"/>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2205"/>
      <c r="AV331" s="1790">
        <f t="shared" si="178"/>
        <v>0</v>
      </c>
      <c r="AW331" s="1790">
        <f t="shared" si="179"/>
        <v>0</v>
      </c>
      <c r="AX331" s="1790">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32"/>
      <c r="C332" s="32"/>
      <c r="D332" s="2204"/>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2205"/>
      <c r="AV332" s="1790">
        <f t="shared" si="178"/>
        <v>0</v>
      </c>
      <c r="AW332" s="1790">
        <f t="shared" si="179"/>
        <v>0</v>
      </c>
      <c r="AX332" s="1790">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32"/>
      <c r="C333" s="32"/>
      <c r="D333" s="2204"/>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2205"/>
      <c r="AV333" s="1790">
        <f t="shared" si="178"/>
        <v>0</v>
      </c>
      <c r="AW333" s="1790">
        <f t="shared" si="179"/>
        <v>0</v>
      </c>
      <c r="AX333" s="1790">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32"/>
      <c r="C334" s="32"/>
      <c r="D334" s="2204"/>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2205"/>
      <c r="AV334" s="1790">
        <f t="shared" si="178"/>
        <v>0</v>
      </c>
      <c r="AW334" s="1790">
        <f t="shared" si="179"/>
        <v>0</v>
      </c>
      <c r="AX334" s="1790">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32"/>
      <c r="C335" s="32"/>
      <c r="D335" s="2204"/>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2205"/>
      <c r="AV335" s="1790">
        <f t="shared" ref="AV335:AV366" si="207">A335</f>
        <v>0</v>
      </c>
      <c r="AW335" s="1790">
        <f t="shared" ref="AW335:AW366" si="208">B335</f>
        <v>0</v>
      </c>
      <c r="AX335" s="1790">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32"/>
      <c r="C336" s="32"/>
      <c r="D336" s="2204"/>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2205"/>
      <c r="AV336" s="1790">
        <f t="shared" si="207"/>
        <v>0</v>
      </c>
      <c r="AW336" s="1790">
        <f t="shared" si="208"/>
        <v>0</v>
      </c>
      <c r="AX336" s="1790">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32"/>
      <c r="C337" s="32"/>
      <c r="D337" s="2204"/>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2205"/>
      <c r="AV337" s="1790">
        <f t="shared" si="207"/>
        <v>0</v>
      </c>
      <c r="AW337" s="1790">
        <f t="shared" si="208"/>
        <v>0</v>
      </c>
      <c r="AX337" s="1790">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32"/>
      <c r="C338" s="32"/>
      <c r="D338" s="2204"/>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2205"/>
      <c r="AV338" s="1790">
        <f t="shared" si="207"/>
        <v>0</v>
      </c>
      <c r="AW338" s="1790">
        <f t="shared" si="208"/>
        <v>0</v>
      </c>
      <c r="AX338" s="1790">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32"/>
      <c r="C339" s="32"/>
      <c r="D339" s="2204"/>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2205"/>
      <c r="AV339" s="1790">
        <f t="shared" si="207"/>
        <v>0</v>
      </c>
      <c r="AW339" s="1790">
        <f t="shared" si="208"/>
        <v>0</v>
      </c>
      <c r="AX339" s="1790">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32"/>
      <c r="C340" s="32"/>
      <c r="D340" s="2204"/>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2205"/>
      <c r="AV340" s="1790">
        <f t="shared" si="207"/>
        <v>0</v>
      </c>
      <c r="AW340" s="1790">
        <f t="shared" si="208"/>
        <v>0</v>
      </c>
      <c r="AX340" s="1790">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32"/>
      <c r="C341" s="32"/>
      <c r="D341" s="2204"/>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2205"/>
      <c r="AV341" s="1790">
        <f t="shared" si="207"/>
        <v>0</v>
      </c>
      <c r="AW341" s="1790">
        <f t="shared" si="208"/>
        <v>0</v>
      </c>
      <c r="AX341" s="1790">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32"/>
      <c r="C342" s="32"/>
      <c r="D342" s="2204"/>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2205"/>
      <c r="AV342" s="1790">
        <f t="shared" si="207"/>
        <v>0</v>
      </c>
      <c r="AW342" s="1790">
        <f t="shared" si="208"/>
        <v>0</v>
      </c>
      <c r="AX342" s="1790">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32"/>
      <c r="C343" s="32"/>
      <c r="D343" s="2204"/>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2205"/>
      <c r="AV343" s="1790">
        <f t="shared" si="207"/>
        <v>0</v>
      </c>
      <c r="AW343" s="1790">
        <f t="shared" si="208"/>
        <v>0</v>
      </c>
      <c r="AX343" s="1790">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32"/>
      <c r="C344" s="32"/>
      <c r="D344" s="2204"/>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2205"/>
      <c r="AV344" s="1790">
        <f t="shared" si="207"/>
        <v>0</v>
      </c>
      <c r="AW344" s="1790">
        <f t="shared" si="208"/>
        <v>0</v>
      </c>
      <c r="AX344" s="1790">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32"/>
      <c r="C345" s="32"/>
      <c r="D345" s="2204"/>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2205"/>
      <c r="AV345" s="1790">
        <f t="shared" si="207"/>
        <v>0</v>
      </c>
      <c r="AW345" s="1790">
        <f t="shared" si="208"/>
        <v>0</v>
      </c>
      <c r="AX345" s="1790">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32"/>
      <c r="C346" s="32"/>
      <c r="D346" s="2204"/>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2205"/>
      <c r="AV346" s="1790">
        <f t="shared" si="207"/>
        <v>0</v>
      </c>
      <c r="AW346" s="1790">
        <f t="shared" si="208"/>
        <v>0</v>
      </c>
      <c r="AX346" s="1790">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32"/>
      <c r="C347" s="32"/>
      <c r="D347" s="2204"/>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2205"/>
      <c r="AV347" s="1790">
        <f t="shared" si="207"/>
        <v>0</v>
      </c>
      <c r="AW347" s="1790">
        <f t="shared" si="208"/>
        <v>0</v>
      </c>
      <c r="AX347" s="1790">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32"/>
      <c r="C348" s="32"/>
      <c r="D348" s="2204"/>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2205"/>
      <c r="AV348" s="1790">
        <f t="shared" si="207"/>
        <v>0</v>
      </c>
      <c r="AW348" s="1790">
        <f t="shared" si="208"/>
        <v>0</v>
      </c>
      <c r="AX348" s="1790">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32"/>
      <c r="C349" s="32"/>
      <c r="D349" s="2204"/>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2205"/>
      <c r="AV349" s="1790">
        <f t="shared" si="207"/>
        <v>0</v>
      </c>
      <c r="AW349" s="1790">
        <f t="shared" si="208"/>
        <v>0</v>
      </c>
      <c r="AX349" s="1790">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32"/>
      <c r="C350" s="32"/>
      <c r="D350" s="2204"/>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2205"/>
      <c r="AV350" s="1790">
        <f t="shared" si="207"/>
        <v>0</v>
      </c>
      <c r="AW350" s="1790">
        <f t="shared" si="208"/>
        <v>0</v>
      </c>
      <c r="AX350" s="1790">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32"/>
      <c r="C351" s="32"/>
      <c r="D351" s="2204"/>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2205"/>
      <c r="AV351" s="1790">
        <f t="shared" si="207"/>
        <v>0</v>
      </c>
      <c r="AW351" s="1790">
        <f t="shared" si="208"/>
        <v>0</v>
      </c>
      <c r="AX351" s="1790">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32"/>
      <c r="C352" s="32"/>
      <c r="D352" s="2204"/>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2205"/>
      <c r="AV352" s="1790">
        <f t="shared" si="207"/>
        <v>0</v>
      </c>
      <c r="AW352" s="1790">
        <f t="shared" si="208"/>
        <v>0</v>
      </c>
      <c r="AX352" s="1790">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32"/>
      <c r="C353" s="32"/>
      <c r="D353" s="2204"/>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2205"/>
      <c r="AV353" s="1790">
        <f t="shared" si="207"/>
        <v>0</v>
      </c>
      <c r="AW353" s="1790">
        <f t="shared" si="208"/>
        <v>0</v>
      </c>
      <c r="AX353" s="1790">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32"/>
      <c r="C354" s="32"/>
      <c r="D354" s="2204"/>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2205"/>
      <c r="AV354" s="1790">
        <f t="shared" si="207"/>
        <v>0</v>
      </c>
      <c r="AW354" s="1790">
        <f t="shared" si="208"/>
        <v>0</v>
      </c>
      <c r="AX354" s="1790">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32"/>
      <c r="C355" s="32"/>
      <c r="D355" s="2204"/>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2205"/>
      <c r="AV355" s="1790">
        <f t="shared" si="207"/>
        <v>0</v>
      </c>
      <c r="AW355" s="1790">
        <f t="shared" si="208"/>
        <v>0</v>
      </c>
      <c r="AX355" s="1790">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32"/>
      <c r="C356" s="32"/>
      <c r="D356" s="2204"/>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2205"/>
      <c r="AV356" s="1790">
        <f t="shared" si="207"/>
        <v>0</v>
      </c>
      <c r="AW356" s="1790">
        <f t="shared" si="208"/>
        <v>0</v>
      </c>
      <c r="AX356" s="1790">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32"/>
      <c r="C357" s="32"/>
      <c r="D357" s="2204"/>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2205"/>
      <c r="AV357" s="1790">
        <f t="shared" si="207"/>
        <v>0</v>
      </c>
      <c r="AW357" s="1790">
        <f t="shared" si="208"/>
        <v>0</v>
      </c>
      <c r="AX357" s="1790">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32"/>
      <c r="C358" s="32"/>
      <c r="D358" s="2204"/>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2205"/>
      <c r="AV358" s="1790">
        <f t="shared" si="207"/>
        <v>0</v>
      </c>
      <c r="AW358" s="1790">
        <f t="shared" si="208"/>
        <v>0</v>
      </c>
      <c r="AX358" s="1790">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32"/>
      <c r="C359" s="32"/>
      <c r="D359" s="2204"/>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2205"/>
      <c r="AV359" s="1790">
        <f t="shared" si="207"/>
        <v>0</v>
      </c>
      <c r="AW359" s="1790">
        <f t="shared" si="208"/>
        <v>0</v>
      </c>
      <c r="AX359" s="1790">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32"/>
      <c r="C360" s="32"/>
      <c r="D360" s="2204"/>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2205"/>
      <c r="AV360" s="1790">
        <f t="shared" si="207"/>
        <v>0</v>
      </c>
      <c r="AW360" s="1790">
        <f t="shared" si="208"/>
        <v>0</v>
      </c>
      <c r="AX360" s="1790">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32"/>
      <c r="C361" s="32"/>
      <c r="D361" s="2204"/>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2205"/>
      <c r="AV361" s="1790">
        <f t="shared" si="207"/>
        <v>0</v>
      </c>
      <c r="AW361" s="1790">
        <f t="shared" si="208"/>
        <v>0</v>
      </c>
      <c r="AX361" s="1790">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32"/>
      <c r="C362" s="32"/>
      <c r="D362" s="2204"/>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2205"/>
      <c r="AV362" s="1790">
        <f t="shared" si="207"/>
        <v>0</v>
      </c>
      <c r="AW362" s="1790">
        <f t="shared" si="208"/>
        <v>0</v>
      </c>
      <c r="AX362" s="1790">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32"/>
      <c r="C363" s="32"/>
      <c r="D363" s="2204"/>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2205"/>
      <c r="AV363" s="1790">
        <f t="shared" si="207"/>
        <v>0</v>
      </c>
      <c r="AW363" s="1790">
        <f t="shared" si="208"/>
        <v>0</v>
      </c>
      <c r="AX363" s="1790">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32"/>
      <c r="C364" s="32"/>
      <c r="D364" s="2204"/>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2205"/>
      <c r="AV364" s="1790">
        <f t="shared" si="207"/>
        <v>0</v>
      </c>
      <c r="AW364" s="1790">
        <f t="shared" si="208"/>
        <v>0</v>
      </c>
      <c r="AX364" s="1790">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32"/>
      <c r="C365" s="32"/>
      <c r="D365" s="2204"/>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2205"/>
      <c r="AV365" s="1790">
        <f t="shared" si="207"/>
        <v>0</v>
      </c>
      <c r="AW365" s="1790">
        <f t="shared" si="208"/>
        <v>0</v>
      </c>
      <c r="AX365" s="1790">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32"/>
      <c r="C366" s="32"/>
      <c r="D366" s="2204"/>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2205"/>
      <c r="AV366" s="1790">
        <f t="shared" si="207"/>
        <v>0</v>
      </c>
      <c r="AW366" s="1790">
        <f t="shared" si="208"/>
        <v>0</v>
      </c>
      <c r="AX366" s="1790">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32"/>
      <c r="C367" s="32"/>
      <c r="D367" s="2204"/>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2205"/>
      <c r="AV367" s="1790">
        <f t="shared" ref="AV367:AV397" si="236">A367</f>
        <v>0</v>
      </c>
      <c r="AW367" s="1790">
        <f t="shared" ref="AW367:AW397" si="237">B367</f>
        <v>0</v>
      </c>
      <c r="AX367" s="1790">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32"/>
      <c r="C368" s="32"/>
      <c r="D368" s="2204"/>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2205"/>
      <c r="AV368" s="1790">
        <f t="shared" si="236"/>
        <v>0</v>
      </c>
      <c r="AW368" s="1790">
        <f t="shared" si="237"/>
        <v>0</v>
      </c>
      <c r="AX368" s="1790">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32"/>
      <c r="C369" s="32"/>
      <c r="D369" s="2204"/>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2205"/>
      <c r="AV369" s="1790">
        <f t="shared" si="236"/>
        <v>0</v>
      </c>
      <c r="AW369" s="1790">
        <f t="shared" si="237"/>
        <v>0</v>
      </c>
      <c r="AX369" s="1790">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32"/>
      <c r="C370" s="32"/>
      <c r="D370" s="2204"/>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2205"/>
      <c r="AV370" s="1790">
        <f t="shared" si="236"/>
        <v>0</v>
      </c>
      <c r="AW370" s="1790">
        <f t="shared" si="237"/>
        <v>0</v>
      </c>
      <c r="AX370" s="1790">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32"/>
      <c r="C371" s="32"/>
      <c r="D371" s="2204"/>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2205"/>
      <c r="AV371" s="1790">
        <f t="shared" si="236"/>
        <v>0</v>
      </c>
      <c r="AW371" s="1790">
        <f t="shared" si="237"/>
        <v>0</v>
      </c>
      <c r="AX371" s="1790">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32"/>
      <c r="C372" s="32"/>
      <c r="D372" s="2204"/>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2205"/>
      <c r="AV372" s="1790">
        <f t="shared" si="236"/>
        <v>0</v>
      </c>
      <c r="AW372" s="1790">
        <f t="shared" si="237"/>
        <v>0</v>
      </c>
      <c r="AX372" s="1790">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32"/>
      <c r="C373" s="32"/>
      <c r="D373" s="2204"/>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2205"/>
      <c r="AV373" s="1790">
        <f t="shared" si="236"/>
        <v>0</v>
      </c>
      <c r="AW373" s="1790">
        <f t="shared" si="237"/>
        <v>0</v>
      </c>
      <c r="AX373" s="1790">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32"/>
      <c r="C374" s="32"/>
      <c r="D374" s="2204"/>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2205"/>
      <c r="AV374" s="1790">
        <f t="shared" si="236"/>
        <v>0</v>
      </c>
      <c r="AW374" s="1790">
        <f t="shared" si="237"/>
        <v>0</v>
      </c>
      <c r="AX374" s="1790">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32"/>
      <c r="C375" s="32"/>
      <c r="D375" s="2204"/>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2205"/>
      <c r="AV375" s="1790">
        <f t="shared" si="236"/>
        <v>0</v>
      </c>
      <c r="AW375" s="1790">
        <f t="shared" si="237"/>
        <v>0</v>
      </c>
      <c r="AX375" s="1790">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32"/>
      <c r="C376" s="32"/>
      <c r="D376" s="2204"/>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2205"/>
      <c r="AV376" s="1790">
        <f t="shared" si="236"/>
        <v>0</v>
      </c>
      <c r="AW376" s="1790">
        <f t="shared" si="237"/>
        <v>0</v>
      </c>
      <c r="AX376" s="1790">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32"/>
      <c r="C377" s="32"/>
      <c r="D377" s="2204"/>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2205"/>
      <c r="AV377" s="1790">
        <f t="shared" si="236"/>
        <v>0</v>
      </c>
      <c r="AW377" s="1790">
        <f t="shared" si="237"/>
        <v>0</v>
      </c>
      <c r="AX377" s="1790">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32"/>
      <c r="C378" s="32"/>
      <c r="D378" s="2204"/>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2205"/>
      <c r="AV378" s="1790">
        <f t="shared" si="236"/>
        <v>0</v>
      </c>
      <c r="AW378" s="1790">
        <f t="shared" si="237"/>
        <v>0</v>
      </c>
      <c r="AX378" s="1790">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32"/>
      <c r="C379" s="32"/>
      <c r="D379" s="2204"/>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2205"/>
      <c r="AV379" s="1790">
        <f t="shared" si="236"/>
        <v>0</v>
      </c>
      <c r="AW379" s="1790">
        <f t="shared" si="237"/>
        <v>0</v>
      </c>
      <c r="AX379" s="1790">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32"/>
      <c r="C380" s="32"/>
      <c r="D380" s="2204"/>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2205"/>
      <c r="AV380" s="1790">
        <f t="shared" si="236"/>
        <v>0</v>
      </c>
      <c r="AW380" s="1790">
        <f t="shared" si="237"/>
        <v>0</v>
      </c>
      <c r="AX380" s="1790">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32"/>
      <c r="C381" s="32"/>
      <c r="D381" s="2204"/>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2205"/>
      <c r="AV381" s="1790">
        <f t="shared" si="236"/>
        <v>0</v>
      </c>
      <c r="AW381" s="1790">
        <f t="shared" si="237"/>
        <v>0</v>
      </c>
      <c r="AX381" s="1790">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32"/>
      <c r="C382" s="32"/>
      <c r="D382" s="2204"/>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2205"/>
      <c r="AV382" s="1790">
        <f t="shared" si="236"/>
        <v>0</v>
      </c>
      <c r="AW382" s="1790">
        <f t="shared" si="237"/>
        <v>0</v>
      </c>
      <c r="AX382" s="1790">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32"/>
      <c r="C383" s="32"/>
      <c r="D383" s="2204"/>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2205"/>
      <c r="AV383" s="1790">
        <f t="shared" si="236"/>
        <v>0</v>
      </c>
      <c r="AW383" s="1790">
        <f t="shared" si="237"/>
        <v>0</v>
      </c>
      <c r="AX383" s="1790">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32"/>
      <c r="C384" s="32"/>
      <c r="D384" s="2204"/>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2205"/>
      <c r="AV384" s="1790">
        <f t="shared" si="236"/>
        <v>0</v>
      </c>
      <c r="AW384" s="1790">
        <f t="shared" si="237"/>
        <v>0</v>
      </c>
      <c r="AX384" s="1790">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32"/>
      <c r="C385" s="32"/>
      <c r="D385" s="2204"/>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2205"/>
      <c r="AV385" s="1790">
        <f t="shared" si="236"/>
        <v>0</v>
      </c>
      <c r="AW385" s="1790">
        <f t="shared" si="237"/>
        <v>0</v>
      </c>
      <c r="AX385" s="1790">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32"/>
      <c r="C386" s="32"/>
      <c r="D386" s="2204"/>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2205"/>
      <c r="AV386" s="1790">
        <f t="shared" si="236"/>
        <v>0</v>
      </c>
      <c r="AW386" s="1790">
        <f t="shared" si="237"/>
        <v>0</v>
      </c>
      <c r="AX386" s="1790">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32"/>
      <c r="C387" s="32"/>
      <c r="D387" s="2204"/>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2205"/>
      <c r="AV387" s="1790">
        <f t="shared" si="236"/>
        <v>0</v>
      </c>
      <c r="AW387" s="1790">
        <f t="shared" si="237"/>
        <v>0</v>
      </c>
      <c r="AX387" s="1790">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32"/>
      <c r="C388" s="32"/>
      <c r="D388" s="2204"/>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2205"/>
      <c r="AV388" s="1790">
        <f t="shared" si="236"/>
        <v>0</v>
      </c>
      <c r="AW388" s="1790">
        <f t="shared" si="237"/>
        <v>0</v>
      </c>
      <c r="AX388" s="1790">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32"/>
      <c r="C389" s="32"/>
      <c r="D389" s="2204"/>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2205"/>
      <c r="AV389" s="1790">
        <f t="shared" si="236"/>
        <v>0</v>
      </c>
      <c r="AW389" s="1790">
        <f t="shared" si="237"/>
        <v>0</v>
      </c>
      <c r="AX389" s="1790">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32"/>
      <c r="C390" s="32"/>
      <c r="D390" s="2204"/>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2205"/>
      <c r="AV390" s="1790">
        <f t="shared" si="236"/>
        <v>0</v>
      </c>
      <c r="AW390" s="1790">
        <f t="shared" si="237"/>
        <v>0</v>
      </c>
      <c r="AX390" s="1790">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32"/>
      <c r="C391" s="32"/>
      <c r="D391" s="2204"/>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2205"/>
      <c r="AV391" s="1790">
        <f t="shared" si="236"/>
        <v>0</v>
      </c>
      <c r="AW391" s="1790">
        <f t="shared" si="237"/>
        <v>0</v>
      </c>
      <c r="AX391" s="1790">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32"/>
      <c r="C392" s="32"/>
      <c r="D392" s="2204"/>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2205"/>
      <c r="AV392" s="1790">
        <f t="shared" si="236"/>
        <v>0</v>
      </c>
      <c r="AW392" s="1790">
        <f t="shared" si="237"/>
        <v>0</v>
      </c>
      <c r="AX392" s="1790">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32"/>
      <c r="C393" s="32"/>
      <c r="D393" s="2204"/>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2205"/>
      <c r="AV393" s="1790">
        <f t="shared" si="236"/>
        <v>0</v>
      </c>
      <c r="AW393" s="1790">
        <f t="shared" si="237"/>
        <v>0</v>
      </c>
      <c r="AX393" s="1790">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32"/>
      <c r="C394" s="32"/>
      <c r="D394" s="2204"/>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2205"/>
      <c r="AV394" s="1790">
        <f t="shared" si="236"/>
        <v>0</v>
      </c>
      <c r="AW394" s="1790">
        <f t="shared" si="237"/>
        <v>0</v>
      </c>
      <c r="AX394" s="1790">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9"/>
      <c r="C395" s="9"/>
      <c r="D395" s="2204"/>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2145"/>
      <c r="AV395" s="1790">
        <f t="shared" si="236"/>
        <v>0</v>
      </c>
      <c r="AW395" s="1790">
        <f t="shared" si="237"/>
        <v>0</v>
      </c>
      <c r="AX395" s="1790">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9"/>
      <c r="C396" s="9"/>
      <c r="D396" s="2204"/>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2145"/>
      <c r="AV396" s="1790">
        <f t="shared" si="236"/>
        <v>0</v>
      </c>
      <c r="AW396" s="1790">
        <f t="shared" si="237"/>
        <v>0</v>
      </c>
      <c r="AX396" s="1790">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9"/>
      <c r="C397" s="9"/>
      <c r="D397" s="2204"/>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2145"/>
      <c r="AV397" s="1790">
        <f t="shared" si="236"/>
        <v>0</v>
      </c>
      <c r="AW397" s="1790">
        <f t="shared" si="237"/>
        <v>0</v>
      </c>
      <c r="AX397" s="1790">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32"/>
      <c r="C398" s="32"/>
      <c r="D398" s="2204"/>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2205"/>
      <c r="AV398" s="1790">
        <f t="shared" ref="AV398:AV492" si="243">A398</f>
        <v>0</v>
      </c>
      <c r="AW398" s="1790">
        <f t="shared" ref="AW398:AW492" si="244">B398</f>
        <v>0</v>
      </c>
      <c r="AX398" s="1790">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32"/>
      <c r="C399" s="32"/>
      <c r="D399" s="2204"/>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2205"/>
      <c r="AV399" s="1790">
        <f t="shared" si="243"/>
        <v>0</v>
      </c>
      <c r="AW399" s="1790">
        <f t="shared" si="244"/>
        <v>0</v>
      </c>
      <c r="AX399" s="1790">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32"/>
      <c r="C400" s="32"/>
      <c r="D400" s="2204"/>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2205"/>
      <c r="AV400" s="1790">
        <f t="shared" si="243"/>
        <v>0</v>
      </c>
      <c r="AW400" s="1790">
        <f t="shared" si="244"/>
        <v>0</v>
      </c>
      <c r="AX400" s="1790">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32"/>
      <c r="C401" s="32"/>
      <c r="D401" s="2204"/>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2205"/>
      <c r="AV401" s="1790">
        <f t="shared" si="243"/>
        <v>0</v>
      </c>
      <c r="AW401" s="1790">
        <f t="shared" si="244"/>
        <v>0</v>
      </c>
      <c r="AX401" s="1790">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32"/>
      <c r="C402" s="32"/>
      <c r="D402" s="2204"/>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2205"/>
      <c r="AV402" s="1790">
        <f t="shared" si="243"/>
        <v>0</v>
      </c>
      <c r="AW402" s="1790">
        <f t="shared" si="244"/>
        <v>0</v>
      </c>
      <c r="AX402" s="1790">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32"/>
      <c r="C403" s="32"/>
      <c r="D403" s="2204"/>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2205"/>
      <c r="AV403" s="1790">
        <f t="shared" si="243"/>
        <v>0</v>
      </c>
      <c r="AW403" s="1790">
        <f t="shared" si="244"/>
        <v>0</v>
      </c>
      <c r="AX403" s="1790">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32"/>
      <c r="C404" s="32"/>
      <c r="D404" s="2204"/>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2205"/>
      <c r="AV404" s="1790">
        <f t="shared" si="243"/>
        <v>0</v>
      </c>
      <c r="AW404" s="1790">
        <f t="shared" si="244"/>
        <v>0</v>
      </c>
      <c r="AX404" s="1790">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32"/>
      <c r="C405" s="32"/>
      <c r="D405" s="2204"/>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2205"/>
      <c r="AV405" s="1790">
        <f t="shared" si="243"/>
        <v>0</v>
      </c>
      <c r="AW405" s="1790">
        <f t="shared" si="244"/>
        <v>0</v>
      </c>
      <c r="AX405" s="1790">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32"/>
      <c r="C406" s="32"/>
      <c r="D406" s="2204"/>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2205"/>
      <c r="AV406" s="1790">
        <f t="shared" si="243"/>
        <v>0</v>
      </c>
      <c r="AW406" s="1790">
        <f t="shared" si="244"/>
        <v>0</v>
      </c>
      <c r="AX406" s="1790">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32"/>
      <c r="C407" s="32"/>
      <c r="D407" s="2204"/>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2205"/>
      <c r="AV407" s="1790">
        <f t="shared" si="243"/>
        <v>0</v>
      </c>
      <c r="AW407" s="1790">
        <f t="shared" si="244"/>
        <v>0</v>
      </c>
      <c r="AX407" s="1790">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32"/>
      <c r="C408" s="32"/>
      <c r="D408" s="2204"/>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2205"/>
      <c r="AV408" s="1790">
        <f t="shared" si="243"/>
        <v>0</v>
      </c>
      <c r="AW408" s="1790">
        <f t="shared" si="244"/>
        <v>0</v>
      </c>
      <c r="AX408" s="1790">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32"/>
      <c r="C409" s="32"/>
      <c r="D409" s="2204"/>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2205"/>
      <c r="AV409" s="1790">
        <f t="shared" si="243"/>
        <v>0</v>
      </c>
      <c r="AW409" s="1790">
        <f t="shared" si="244"/>
        <v>0</v>
      </c>
      <c r="AX409" s="1790">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32"/>
      <c r="C410" s="32"/>
      <c r="D410" s="2204"/>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2205"/>
      <c r="AV410" s="1790">
        <f t="shared" si="243"/>
        <v>0</v>
      </c>
      <c r="AW410" s="1790">
        <f t="shared" si="244"/>
        <v>0</v>
      </c>
      <c r="AX410" s="1790">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32"/>
      <c r="C411" s="32"/>
      <c r="D411" s="2204"/>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2205"/>
      <c r="AV411" s="1790">
        <f t="shared" si="243"/>
        <v>0</v>
      </c>
      <c r="AW411" s="1790">
        <f t="shared" si="244"/>
        <v>0</v>
      </c>
      <c r="AX411" s="1790">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32"/>
      <c r="C412" s="32"/>
      <c r="D412" s="2204"/>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2205"/>
      <c r="AV412" s="1790">
        <f t="shared" si="243"/>
        <v>0</v>
      </c>
      <c r="AW412" s="1790">
        <f t="shared" si="244"/>
        <v>0</v>
      </c>
      <c r="AX412" s="1790">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32"/>
      <c r="C413" s="32"/>
      <c r="D413" s="2204"/>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2205"/>
      <c r="AV413" s="1790">
        <f t="shared" si="243"/>
        <v>0</v>
      </c>
      <c r="AW413" s="1790">
        <f t="shared" si="244"/>
        <v>0</v>
      </c>
      <c r="AX413" s="1790">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32"/>
      <c r="C414" s="32"/>
      <c r="D414" s="2204"/>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2205"/>
      <c r="AV414" s="1790">
        <f t="shared" si="243"/>
        <v>0</v>
      </c>
      <c r="AW414" s="1790">
        <f t="shared" si="244"/>
        <v>0</v>
      </c>
      <c r="AX414" s="1790">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32"/>
      <c r="C415" s="32"/>
      <c r="D415" s="2204"/>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2205"/>
      <c r="AV415" s="1790">
        <f t="shared" si="243"/>
        <v>0</v>
      </c>
      <c r="AW415" s="1790">
        <f t="shared" si="244"/>
        <v>0</v>
      </c>
      <c r="AX415" s="1790">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32"/>
      <c r="C416" s="32"/>
      <c r="D416" s="2204"/>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2205"/>
      <c r="AV416" s="1790">
        <f t="shared" si="243"/>
        <v>0</v>
      </c>
      <c r="AW416" s="1790">
        <f t="shared" si="244"/>
        <v>0</v>
      </c>
      <c r="AX416" s="1790">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32"/>
      <c r="C417" s="32"/>
      <c r="D417" s="2204"/>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2205"/>
      <c r="AV417" s="1790">
        <f t="shared" si="243"/>
        <v>0</v>
      </c>
      <c r="AW417" s="1790">
        <f t="shared" si="244"/>
        <v>0</v>
      </c>
      <c r="AX417" s="1790">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32"/>
      <c r="C418" s="32"/>
      <c r="D418" s="2204"/>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2205"/>
      <c r="AV418" s="1790">
        <f t="shared" si="243"/>
        <v>0</v>
      </c>
      <c r="AW418" s="1790">
        <f t="shared" si="244"/>
        <v>0</v>
      </c>
      <c r="AX418" s="1790">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32"/>
      <c r="C419" s="32"/>
      <c r="D419" s="2204"/>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2205"/>
      <c r="AV419" s="1790">
        <f t="shared" si="243"/>
        <v>0</v>
      </c>
      <c r="AW419" s="1790">
        <f t="shared" si="244"/>
        <v>0</v>
      </c>
      <c r="AX419" s="1790">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32"/>
      <c r="C420" s="32"/>
      <c r="D420" s="2204"/>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2205"/>
      <c r="AV420" s="1790">
        <f t="shared" si="243"/>
        <v>0</v>
      </c>
      <c r="AW420" s="1790">
        <f t="shared" si="244"/>
        <v>0</v>
      </c>
      <c r="AX420" s="1790">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32"/>
      <c r="C421" s="32"/>
      <c r="D421" s="2204"/>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2205"/>
      <c r="AV421" s="1790">
        <f t="shared" si="243"/>
        <v>0</v>
      </c>
      <c r="AW421" s="1790">
        <f t="shared" si="244"/>
        <v>0</v>
      </c>
      <c r="AX421" s="1790">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32"/>
      <c r="C422" s="32"/>
      <c r="D422" s="2204"/>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2205"/>
      <c r="AV422" s="1790">
        <f t="shared" si="243"/>
        <v>0</v>
      </c>
      <c r="AW422" s="1790">
        <f t="shared" si="244"/>
        <v>0</v>
      </c>
      <c r="AX422" s="1790">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32"/>
      <c r="C423" s="32"/>
      <c r="D423" s="2204"/>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2205"/>
      <c r="AV423" s="1790">
        <f t="shared" si="243"/>
        <v>0</v>
      </c>
      <c r="AW423" s="1790">
        <f t="shared" si="244"/>
        <v>0</v>
      </c>
      <c r="AX423" s="1790">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32"/>
      <c r="C424" s="32"/>
      <c r="D424" s="2204"/>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2205"/>
      <c r="AV424" s="1790">
        <f t="shared" si="243"/>
        <v>0</v>
      </c>
      <c r="AW424" s="1790">
        <f t="shared" si="244"/>
        <v>0</v>
      </c>
      <c r="AX424" s="1790">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32"/>
      <c r="C425" s="32"/>
      <c r="D425" s="2204"/>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2205"/>
      <c r="AV425" s="1790">
        <f t="shared" si="243"/>
        <v>0</v>
      </c>
      <c r="AW425" s="1790">
        <f t="shared" si="244"/>
        <v>0</v>
      </c>
      <c r="AX425" s="1790">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32"/>
      <c r="C426" s="32"/>
      <c r="D426" s="2204"/>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2205"/>
      <c r="AV426" s="1790">
        <f t="shared" si="243"/>
        <v>0</v>
      </c>
      <c r="AW426" s="1790">
        <f t="shared" si="244"/>
        <v>0</v>
      </c>
      <c r="AX426" s="1790">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32"/>
      <c r="C427" s="32"/>
      <c r="D427" s="2204"/>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2205"/>
      <c r="AV427" s="1790">
        <f t="shared" si="243"/>
        <v>0</v>
      </c>
      <c r="AW427" s="1790">
        <f t="shared" si="244"/>
        <v>0</v>
      </c>
      <c r="AX427" s="1790">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32"/>
      <c r="C428" s="32"/>
      <c r="D428" s="2204"/>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2205"/>
      <c r="AV428" s="1790">
        <f t="shared" si="243"/>
        <v>0</v>
      </c>
      <c r="AW428" s="1790">
        <f t="shared" si="244"/>
        <v>0</v>
      </c>
      <c r="AX428" s="1790">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32"/>
      <c r="C429" s="32"/>
      <c r="D429" s="2204"/>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2205"/>
      <c r="AV429" s="1790">
        <f t="shared" si="243"/>
        <v>0</v>
      </c>
      <c r="AW429" s="1790">
        <f t="shared" si="244"/>
        <v>0</v>
      </c>
      <c r="AX429" s="1790">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32"/>
      <c r="C430" s="32"/>
      <c r="D430" s="2204"/>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2205"/>
      <c r="AV430" s="1790">
        <f t="shared" si="243"/>
        <v>0</v>
      </c>
      <c r="AW430" s="1790">
        <f t="shared" si="244"/>
        <v>0</v>
      </c>
      <c r="AX430" s="1790">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32"/>
      <c r="C431" s="32"/>
      <c r="D431" s="2204"/>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2205"/>
      <c r="AV431" s="1790">
        <f t="shared" si="243"/>
        <v>0</v>
      </c>
      <c r="AW431" s="1790">
        <f t="shared" si="244"/>
        <v>0</v>
      </c>
      <c r="AX431" s="1790">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32"/>
      <c r="C432" s="32"/>
      <c r="D432" s="2204"/>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2205"/>
      <c r="AV432" s="1790">
        <f t="shared" si="243"/>
        <v>0</v>
      </c>
      <c r="AW432" s="1790">
        <f t="shared" si="244"/>
        <v>0</v>
      </c>
      <c r="AX432" s="1790">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32"/>
      <c r="C433" s="32"/>
      <c r="D433" s="2204"/>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2205"/>
      <c r="AV433" s="1790">
        <f t="shared" si="243"/>
        <v>0</v>
      </c>
      <c r="AW433" s="1790">
        <f t="shared" si="244"/>
        <v>0</v>
      </c>
      <c r="AX433" s="1790">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32"/>
      <c r="C434" s="32"/>
      <c r="D434" s="2204"/>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2205"/>
      <c r="AV434" s="1790">
        <f t="shared" si="243"/>
        <v>0</v>
      </c>
      <c r="AW434" s="1790">
        <f t="shared" si="244"/>
        <v>0</v>
      </c>
      <c r="AX434" s="1790">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32"/>
      <c r="C435" s="32"/>
      <c r="D435" s="2204"/>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2205"/>
      <c r="AV435" s="1790">
        <f t="shared" si="243"/>
        <v>0</v>
      </c>
      <c r="AW435" s="1790">
        <f t="shared" si="244"/>
        <v>0</v>
      </c>
      <c r="AX435" s="1790">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32"/>
      <c r="C436" s="32"/>
      <c r="D436" s="2204"/>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2205"/>
      <c r="AV436" s="1790">
        <f t="shared" si="243"/>
        <v>0</v>
      </c>
      <c r="AW436" s="1790">
        <f t="shared" si="244"/>
        <v>0</v>
      </c>
      <c r="AX436" s="1790">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32"/>
      <c r="C437" s="32"/>
      <c r="D437" s="2204"/>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2205"/>
      <c r="AV437" s="1790">
        <f t="shared" si="243"/>
        <v>0</v>
      </c>
      <c r="AW437" s="1790">
        <f t="shared" si="244"/>
        <v>0</v>
      </c>
      <c r="AX437" s="1790">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32"/>
      <c r="C438" s="32"/>
      <c r="D438" s="2204"/>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2205"/>
      <c r="AV438" s="1790">
        <f t="shared" si="243"/>
        <v>0</v>
      </c>
      <c r="AW438" s="1790">
        <f t="shared" si="244"/>
        <v>0</v>
      </c>
      <c r="AX438" s="1790">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32"/>
      <c r="C439" s="32"/>
      <c r="D439" s="2204"/>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2205"/>
      <c r="AV439" s="1790">
        <f t="shared" si="243"/>
        <v>0</v>
      </c>
      <c r="AW439" s="1790">
        <f t="shared" si="244"/>
        <v>0</v>
      </c>
      <c r="AX439" s="1790">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32"/>
      <c r="C440" s="32"/>
      <c r="D440" s="2204"/>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2205"/>
      <c r="AV440" s="1790">
        <f t="shared" si="243"/>
        <v>0</v>
      </c>
      <c r="AW440" s="1790">
        <f t="shared" si="244"/>
        <v>0</v>
      </c>
      <c r="AX440" s="1790">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32"/>
      <c r="C441" s="32"/>
      <c r="D441" s="2204"/>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2205"/>
      <c r="AV441" s="1790">
        <f t="shared" si="243"/>
        <v>0</v>
      </c>
      <c r="AW441" s="1790">
        <f t="shared" si="244"/>
        <v>0</v>
      </c>
      <c r="AX441" s="1790">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32"/>
      <c r="C442" s="32"/>
      <c r="D442" s="2204"/>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2205"/>
      <c r="AV442" s="1790">
        <f t="shared" si="243"/>
        <v>0</v>
      </c>
      <c r="AW442" s="1790">
        <f t="shared" si="244"/>
        <v>0</v>
      </c>
      <c r="AX442" s="1790">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32"/>
      <c r="C443" s="32"/>
      <c r="D443" s="2204"/>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2205"/>
      <c r="AV443" s="1790">
        <f t="shared" si="243"/>
        <v>0</v>
      </c>
      <c r="AW443" s="1790">
        <f t="shared" si="244"/>
        <v>0</v>
      </c>
      <c r="AX443" s="1790">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32"/>
      <c r="C444" s="32"/>
      <c r="D444" s="2204"/>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2205"/>
      <c r="AV444" s="1790">
        <f t="shared" si="243"/>
        <v>0</v>
      </c>
      <c r="AW444" s="1790">
        <f t="shared" si="244"/>
        <v>0</v>
      </c>
      <c r="AX444" s="1790">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32"/>
      <c r="C445" s="32"/>
      <c r="D445" s="2204"/>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2205"/>
      <c r="AV445" s="1790">
        <f t="shared" si="243"/>
        <v>0</v>
      </c>
      <c r="AW445" s="1790">
        <f t="shared" si="244"/>
        <v>0</v>
      </c>
      <c r="AX445" s="1790">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32"/>
      <c r="C446" s="32"/>
      <c r="D446" s="2204"/>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2205"/>
      <c r="AV446" s="1790">
        <f t="shared" si="243"/>
        <v>0</v>
      </c>
      <c r="AW446" s="1790">
        <f t="shared" si="244"/>
        <v>0</v>
      </c>
      <c r="AX446" s="1790">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32"/>
      <c r="C447" s="32"/>
      <c r="D447" s="2204"/>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2205"/>
      <c r="AV447" s="1790">
        <f t="shared" si="243"/>
        <v>0</v>
      </c>
      <c r="AW447" s="1790">
        <f t="shared" si="244"/>
        <v>0</v>
      </c>
      <c r="AX447" s="1790">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32"/>
      <c r="C448" s="32"/>
      <c r="D448" s="2204"/>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2205"/>
      <c r="AV448" s="1790">
        <f t="shared" si="243"/>
        <v>0</v>
      </c>
      <c r="AW448" s="1790">
        <f t="shared" si="244"/>
        <v>0</v>
      </c>
      <c r="AX448" s="1790">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32"/>
      <c r="C449" s="32"/>
      <c r="D449" s="2204"/>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2205"/>
      <c r="AV449" s="1790">
        <f t="shared" si="243"/>
        <v>0</v>
      </c>
      <c r="AW449" s="1790">
        <f t="shared" si="244"/>
        <v>0</v>
      </c>
      <c r="AX449" s="1790">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32"/>
      <c r="C450" s="32"/>
      <c r="D450" s="2204"/>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2205"/>
      <c r="AV450" s="1790">
        <f t="shared" si="243"/>
        <v>0</v>
      </c>
      <c r="AW450" s="1790">
        <f t="shared" si="244"/>
        <v>0</v>
      </c>
      <c r="AX450" s="1790">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32"/>
      <c r="C451" s="32"/>
      <c r="D451" s="2204"/>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2205"/>
      <c r="AV451" s="1790">
        <f t="shared" si="243"/>
        <v>0</v>
      </c>
      <c r="AW451" s="1790">
        <f t="shared" si="244"/>
        <v>0</v>
      </c>
      <c r="AX451" s="1790">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32"/>
      <c r="C452" s="32"/>
      <c r="D452" s="2204"/>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2205"/>
      <c r="AV452" s="1790">
        <f t="shared" si="243"/>
        <v>0</v>
      </c>
      <c r="AW452" s="1790">
        <f t="shared" si="244"/>
        <v>0</v>
      </c>
      <c r="AX452" s="1790">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32"/>
      <c r="C453" s="32"/>
      <c r="D453" s="2204"/>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2205"/>
      <c r="AV453" s="1790">
        <f t="shared" si="243"/>
        <v>0</v>
      </c>
      <c r="AW453" s="1790">
        <f t="shared" si="244"/>
        <v>0</v>
      </c>
      <c r="AX453" s="1790">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32"/>
      <c r="C454" s="32"/>
      <c r="D454" s="2204"/>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2205"/>
      <c r="AV454" s="1790">
        <f t="shared" si="243"/>
        <v>0</v>
      </c>
      <c r="AW454" s="1790">
        <f t="shared" si="244"/>
        <v>0</v>
      </c>
      <c r="AX454" s="1790">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32"/>
      <c r="C455" s="32"/>
      <c r="D455" s="2204"/>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2205"/>
      <c r="AV455" s="1790">
        <f t="shared" si="243"/>
        <v>0</v>
      </c>
      <c r="AW455" s="1790">
        <f t="shared" si="244"/>
        <v>0</v>
      </c>
      <c r="AX455" s="1790">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32"/>
      <c r="C456" s="32"/>
      <c r="D456" s="2204"/>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2205"/>
      <c r="AV456" s="1790">
        <f t="shared" si="243"/>
        <v>0</v>
      </c>
      <c r="AW456" s="1790">
        <f t="shared" si="244"/>
        <v>0</v>
      </c>
      <c r="AX456" s="1790">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32"/>
      <c r="C457" s="32"/>
      <c r="D457" s="2204"/>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2205"/>
      <c r="AV457" s="1790">
        <f t="shared" si="243"/>
        <v>0</v>
      </c>
      <c r="AW457" s="1790">
        <f t="shared" si="244"/>
        <v>0</v>
      </c>
      <c r="AX457" s="1790">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32"/>
      <c r="C458" s="32"/>
      <c r="D458" s="2204"/>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2205"/>
      <c r="AV458" s="1790">
        <f t="shared" si="243"/>
        <v>0</v>
      </c>
      <c r="AW458" s="1790">
        <f t="shared" si="244"/>
        <v>0</v>
      </c>
      <c r="AX458" s="1790">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32"/>
      <c r="C459" s="32"/>
      <c r="D459" s="2204"/>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2205"/>
      <c r="AV459" s="1790">
        <f t="shared" si="243"/>
        <v>0</v>
      </c>
      <c r="AW459" s="1790">
        <f t="shared" si="244"/>
        <v>0</v>
      </c>
      <c r="AX459" s="1790">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32"/>
      <c r="C460" s="32"/>
      <c r="D460" s="2204"/>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2205"/>
      <c r="AV460" s="1790">
        <f t="shared" si="243"/>
        <v>0</v>
      </c>
      <c r="AW460" s="1790">
        <f t="shared" si="244"/>
        <v>0</v>
      </c>
      <c r="AX460" s="1790">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32"/>
      <c r="C461" s="32"/>
      <c r="D461" s="2204"/>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2205"/>
      <c r="AV461" s="1790">
        <f t="shared" si="243"/>
        <v>0</v>
      </c>
      <c r="AW461" s="1790">
        <f t="shared" si="244"/>
        <v>0</v>
      </c>
      <c r="AX461" s="1790">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32"/>
      <c r="C462" s="32"/>
      <c r="D462" s="2204"/>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2205"/>
      <c r="AV462" s="1790">
        <f t="shared" si="243"/>
        <v>0</v>
      </c>
      <c r="AW462" s="1790">
        <f t="shared" si="244"/>
        <v>0</v>
      </c>
      <c r="AX462" s="1790">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32"/>
      <c r="C463" s="32"/>
      <c r="D463" s="2204"/>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2205"/>
      <c r="AV463" s="1790">
        <f t="shared" si="243"/>
        <v>0</v>
      </c>
      <c r="AW463" s="1790">
        <f t="shared" si="244"/>
        <v>0</v>
      </c>
      <c r="AX463" s="1790">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32"/>
      <c r="C464" s="32"/>
      <c r="D464" s="2204"/>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2205"/>
      <c r="AV464" s="1790">
        <f t="shared" si="243"/>
        <v>0</v>
      </c>
      <c r="AW464" s="1790">
        <f t="shared" si="244"/>
        <v>0</v>
      </c>
      <c r="AX464" s="1790">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32"/>
      <c r="C465" s="32"/>
      <c r="D465" s="2204"/>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2205"/>
      <c r="AV465" s="1790">
        <f t="shared" si="243"/>
        <v>0</v>
      </c>
      <c r="AW465" s="1790">
        <f t="shared" si="244"/>
        <v>0</v>
      </c>
      <c r="AX465" s="1790">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32"/>
      <c r="C466" s="32"/>
      <c r="D466" s="2204"/>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2205"/>
      <c r="AV466" s="1790">
        <f t="shared" si="243"/>
        <v>0</v>
      </c>
      <c r="AW466" s="1790">
        <f t="shared" si="244"/>
        <v>0</v>
      </c>
      <c r="AX466" s="1790">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32"/>
      <c r="C467" s="32"/>
      <c r="D467" s="2204"/>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2205"/>
      <c r="AV467" s="1790">
        <f t="shared" si="243"/>
        <v>0</v>
      </c>
      <c r="AW467" s="1790">
        <f t="shared" si="244"/>
        <v>0</v>
      </c>
      <c r="AX467" s="1790">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32"/>
      <c r="C468" s="32"/>
      <c r="D468" s="2204"/>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2205"/>
      <c r="AV468" s="1790">
        <f t="shared" si="243"/>
        <v>0</v>
      </c>
      <c r="AW468" s="1790">
        <f t="shared" si="244"/>
        <v>0</v>
      </c>
      <c r="AX468" s="1790">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32"/>
      <c r="C469" s="32"/>
      <c r="D469" s="2204"/>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2205"/>
      <c r="AV469" s="1790">
        <f t="shared" si="243"/>
        <v>0</v>
      </c>
      <c r="AW469" s="1790">
        <f t="shared" si="244"/>
        <v>0</v>
      </c>
      <c r="AX469" s="1790">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32"/>
      <c r="C470" s="32"/>
      <c r="D470" s="2204"/>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2205"/>
      <c r="AV470" s="1790">
        <f t="shared" si="243"/>
        <v>0</v>
      </c>
      <c r="AW470" s="1790">
        <f t="shared" si="244"/>
        <v>0</v>
      </c>
      <c r="AX470" s="1790">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32"/>
      <c r="C471" s="32"/>
      <c r="D471" s="2204"/>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2205"/>
      <c r="AV471" s="1790">
        <f t="shared" si="243"/>
        <v>0</v>
      </c>
      <c r="AW471" s="1790">
        <f t="shared" si="244"/>
        <v>0</v>
      </c>
      <c r="AX471" s="1790">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32"/>
      <c r="C472" s="32"/>
      <c r="D472" s="2204"/>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2205"/>
      <c r="AV472" s="1790">
        <f t="shared" si="243"/>
        <v>0</v>
      </c>
      <c r="AW472" s="1790">
        <f t="shared" si="244"/>
        <v>0</v>
      </c>
      <c r="AX472" s="1790">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32"/>
      <c r="C473" s="32"/>
      <c r="D473" s="2204"/>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2205"/>
      <c r="AV473" s="1790">
        <f t="shared" si="243"/>
        <v>0</v>
      </c>
      <c r="AW473" s="1790">
        <f t="shared" si="244"/>
        <v>0</v>
      </c>
      <c r="AX473" s="1790">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32"/>
      <c r="C474" s="32"/>
      <c r="D474" s="2204"/>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2205"/>
      <c r="AV474" s="1790">
        <f t="shared" si="243"/>
        <v>0</v>
      </c>
      <c r="AW474" s="1790">
        <f t="shared" si="244"/>
        <v>0</v>
      </c>
      <c r="AX474" s="1790">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32"/>
      <c r="C475" s="32"/>
      <c r="D475" s="2204"/>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2205"/>
      <c r="AV475" s="1790">
        <f t="shared" si="243"/>
        <v>0</v>
      </c>
      <c r="AW475" s="1790">
        <f t="shared" si="244"/>
        <v>0</v>
      </c>
      <c r="AX475" s="1790">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32"/>
      <c r="C476" s="32"/>
      <c r="D476" s="2204"/>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2205"/>
      <c r="AV476" s="1790">
        <f t="shared" si="243"/>
        <v>0</v>
      </c>
      <c r="AW476" s="1790">
        <f t="shared" si="244"/>
        <v>0</v>
      </c>
      <c r="AX476" s="1790">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32"/>
      <c r="C477" s="32"/>
      <c r="D477" s="2204"/>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2205"/>
      <c r="AV477" s="1790">
        <f t="shared" si="243"/>
        <v>0</v>
      </c>
      <c r="AW477" s="1790">
        <f t="shared" si="244"/>
        <v>0</v>
      </c>
      <c r="AX477" s="1790">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32"/>
      <c r="C478" s="32"/>
      <c r="D478" s="2204"/>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2205"/>
      <c r="AV478" s="1790">
        <f t="shared" si="243"/>
        <v>0</v>
      </c>
      <c r="AW478" s="1790">
        <f t="shared" si="244"/>
        <v>0</v>
      </c>
      <c r="AX478" s="1790">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32"/>
      <c r="C479" s="32"/>
      <c r="D479" s="2204"/>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2205"/>
      <c r="AV479" s="1790">
        <f t="shared" si="243"/>
        <v>0</v>
      </c>
      <c r="AW479" s="1790">
        <f t="shared" si="244"/>
        <v>0</v>
      </c>
      <c r="AX479" s="1790">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32"/>
      <c r="C480" s="32"/>
      <c r="D480" s="2204"/>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2205"/>
      <c r="AV480" s="1790">
        <f t="shared" si="243"/>
        <v>0</v>
      </c>
      <c r="AW480" s="1790">
        <f t="shared" si="244"/>
        <v>0</v>
      </c>
      <c r="AX480" s="1790">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32"/>
      <c r="C481" s="32"/>
      <c r="D481" s="2204"/>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2205"/>
      <c r="AV481" s="1790">
        <f t="shared" si="243"/>
        <v>0</v>
      </c>
      <c r="AW481" s="1790">
        <f t="shared" si="244"/>
        <v>0</v>
      </c>
      <c r="AX481" s="1790">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32"/>
      <c r="C482" s="32"/>
      <c r="D482" s="2204"/>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2205"/>
      <c r="AV482" s="1790">
        <f t="shared" si="243"/>
        <v>0</v>
      </c>
      <c r="AW482" s="1790">
        <f t="shared" si="244"/>
        <v>0</v>
      </c>
      <c r="AX482" s="1790">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32"/>
      <c r="C483" s="32"/>
      <c r="D483" s="2204"/>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2205"/>
      <c r="AV483" s="1790">
        <f t="shared" si="243"/>
        <v>0</v>
      </c>
      <c r="AW483" s="1790">
        <f t="shared" si="244"/>
        <v>0</v>
      </c>
      <c r="AX483" s="1790">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32"/>
      <c r="C484" s="32"/>
      <c r="D484" s="2204"/>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2205"/>
      <c r="AV484" s="1790">
        <f t="shared" si="243"/>
        <v>0</v>
      </c>
      <c r="AW484" s="1790">
        <f t="shared" si="244"/>
        <v>0</v>
      </c>
      <c r="AX484" s="1790">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32"/>
      <c r="C485" s="32"/>
      <c r="D485" s="2204"/>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2205"/>
      <c r="AV485" s="1790">
        <f t="shared" si="243"/>
        <v>0</v>
      </c>
      <c r="AW485" s="1790">
        <f t="shared" si="244"/>
        <v>0</v>
      </c>
      <c r="AX485" s="1790">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32"/>
      <c r="C486" s="32"/>
      <c r="D486" s="2204"/>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2205"/>
      <c r="AV486" s="1790">
        <f t="shared" si="243"/>
        <v>0</v>
      </c>
      <c r="AW486" s="1790">
        <f t="shared" si="244"/>
        <v>0</v>
      </c>
      <c r="AX486" s="1790">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32"/>
      <c r="C487" s="32"/>
      <c r="D487" s="2204"/>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2205"/>
      <c r="AV487" s="1790">
        <f t="shared" si="243"/>
        <v>0</v>
      </c>
      <c r="AW487" s="1790">
        <f t="shared" si="244"/>
        <v>0</v>
      </c>
      <c r="AX487" s="1790">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32"/>
      <c r="C488" s="32"/>
      <c r="D488" s="2204"/>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2205"/>
      <c r="AV488" s="1790">
        <f t="shared" si="243"/>
        <v>0</v>
      </c>
      <c r="AW488" s="1790">
        <f t="shared" si="244"/>
        <v>0</v>
      </c>
      <c r="AX488" s="1790">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32"/>
      <c r="C489" s="32"/>
      <c r="D489" s="2204"/>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2205"/>
      <c r="AV489" s="1790">
        <f t="shared" si="243"/>
        <v>0</v>
      </c>
      <c r="AW489" s="1790">
        <f t="shared" si="244"/>
        <v>0</v>
      </c>
      <c r="AX489" s="1790">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9"/>
      <c r="C490" s="9"/>
      <c r="D490" s="2204"/>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2145"/>
      <c r="AV490" s="1790">
        <f t="shared" si="243"/>
        <v>0</v>
      </c>
      <c r="AW490" s="1790">
        <f t="shared" si="244"/>
        <v>0</v>
      </c>
      <c r="AX490" s="1790">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9"/>
      <c r="C491" s="9"/>
      <c r="D491" s="2204"/>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2145"/>
      <c r="AV491" s="1790">
        <f t="shared" si="243"/>
        <v>0</v>
      </c>
      <c r="AW491" s="1790">
        <f t="shared" si="244"/>
        <v>0</v>
      </c>
      <c r="AX491" s="1790">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9"/>
      <c r="C492" s="9"/>
      <c r="D492" s="2204"/>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2145"/>
      <c r="AV492" s="1790">
        <f t="shared" si="243"/>
        <v>0</v>
      </c>
      <c r="AW492" s="1790">
        <f t="shared" si="244"/>
        <v>0</v>
      </c>
      <c r="AX492" s="1790">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32"/>
      <c r="C493" s="32"/>
      <c r="D493" s="2204"/>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2205"/>
      <c r="AV493" s="1790">
        <f t="shared" ref="AV493:AV520" si="294">A493</f>
        <v>0</v>
      </c>
      <c r="AW493" s="1790">
        <f t="shared" ref="AW493:AW520" si="295">B493</f>
        <v>0</v>
      </c>
      <c r="AX493" s="1790">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32"/>
      <c r="C494" s="32"/>
      <c r="D494" s="2204"/>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2205"/>
      <c r="AV494" s="1790">
        <f t="shared" si="294"/>
        <v>0</v>
      </c>
      <c r="AW494" s="1790">
        <f t="shared" si="295"/>
        <v>0</v>
      </c>
      <c r="AX494" s="1790">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32"/>
      <c r="C495" s="32"/>
      <c r="D495" s="2204"/>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2205"/>
      <c r="AV495" s="1790">
        <f t="shared" si="294"/>
        <v>0</v>
      </c>
      <c r="AW495" s="1790">
        <f t="shared" si="295"/>
        <v>0</v>
      </c>
      <c r="AX495" s="1790">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32"/>
      <c r="C496" s="32"/>
      <c r="D496" s="2204"/>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2205"/>
      <c r="AV496" s="1790">
        <f t="shared" si="294"/>
        <v>0</v>
      </c>
      <c r="AW496" s="1790">
        <f t="shared" si="295"/>
        <v>0</v>
      </c>
      <c r="AX496" s="1790">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32"/>
      <c r="C497" s="32"/>
      <c r="D497" s="2204"/>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2205"/>
      <c r="AV497" s="1790">
        <f t="shared" si="294"/>
        <v>0</v>
      </c>
      <c r="AW497" s="1790">
        <f t="shared" si="295"/>
        <v>0</v>
      </c>
      <c r="AX497" s="1790">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32"/>
      <c r="C498" s="32"/>
      <c r="D498" s="2204"/>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2205"/>
      <c r="AV498" s="1790">
        <f t="shared" si="294"/>
        <v>0</v>
      </c>
      <c r="AW498" s="1790">
        <f t="shared" si="295"/>
        <v>0</v>
      </c>
      <c r="AX498" s="1790">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32"/>
      <c r="C499" s="32"/>
      <c r="D499" s="2204"/>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2205"/>
      <c r="AV499" s="1790">
        <f t="shared" si="294"/>
        <v>0</v>
      </c>
      <c r="AW499" s="1790">
        <f t="shared" si="295"/>
        <v>0</v>
      </c>
      <c r="AX499" s="1790">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32"/>
      <c r="C500" s="32"/>
      <c r="D500" s="2204"/>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2205"/>
      <c r="AV500" s="1790">
        <f t="shared" si="294"/>
        <v>0</v>
      </c>
      <c r="AW500" s="1790">
        <f t="shared" si="295"/>
        <v>0</v>
      </c>
      <c r="AX500" s="1790">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32"/>
      <c r="C501" s="32"/>
      <c r="D501" s="2204"/>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2205"/>
      <c r="AV501" s="1790">
        <f t="shared" si="294"/>
        <v>0</v>
      </c>
      <c r="AW501" s="1790">
        <f t="shared" si="295"/>
        <v>0</v>
      </c>
      <c r="AX501" s="1790">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32"/>
      <c r="C502" s="32"/>
      <c r="D502" s="2204"/>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2205"/>
      <c r="AV502" s="1790">
        <f t="shared" si="294"/>
        <v>0</v>
      </c>
      <c r="AW502" s="1790">
        <f t="shared" si="295"/>
        <v>0</v>
      </c>
      <c r="AX502" s="1790">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32"/>
      <c r="C503" s="32"/>
      <c r="D503" s="2204"/>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2205"/>
      <c r="AV503" s="1790">
        <f t="shared" si="294"/>
        <v>0</v>
      </c>
      <c r="AW503" s="1790">
        <f t="shared" si="295"/>
        <v>0</v>
      </c>
      <c r="AX503" s="1790">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32"/>
      <c r="C504" s="32"/>
      <c r="D504" s="2204"/>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2205"/>
      <c r="AV504" s="1790">
        <f t="shared" si="294"/>
        <v>0</v>
      </c>
      <c r="AW504" s="1790">
        <f t="shared" si="295"/>
        <v>0</v>
      </c>
      <c r="AX504" s="1790">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32"/>
      <c r="C505" s="32"/>
      <c r="D505" s="2204"/>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2205"/>
      <c r="AV505" s="1790">
        <f t="shared" si="294"/>
        <v>0</v>
      </c>
      <c r="AW505" s="1790">
        <f t="shared" si="295"/>
        <v>0</v>
      </c>
      <c r="AX505" s="1790">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32"/>
      <c r="C506" s="32"/>
      <c r="D506" s="2204"/>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2205"/>
      <c r="AV506" s="1790">
        <f t="shared" si="294"/>
        <v>0</v>
      </c>
      <c r="AW506" s="1790">
        <f t="shared" si="295"/>
        <v>0</v>
      </c>
      <c r="AX506" s="1790">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32"/>
      <c r="C507" s="32"/>
      <c r="D507" s="2204"/>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2205"/>
      <c r="AV507" s="1790">
        <f t="shared" si="294"/>
        <v>0</v>
      </c>
      <c r="AW507" s="1790">
        <f t="shared" si="295"/>
        <v>0</v>
      </c>
      <c r="AX507" s="1790">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32"/>
      <c r="C508" s="32"/>
      <c r="D508" s="2204"/>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2205"/>
      <c r="AV508" s="1790">
        <f t="shared" si="294"/>
        <v>0</v>
      </c>
      <c r="AW508" s="1790">
        <f t="shared" si="295"/>
        <v>0</v>
      </c>
      <c r="AX508" s="1790">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32"/>
      <c r="C509" s="32"/>
      <c r="D509" s="2204"/>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2205"/>
      <c r="AV509" s="1790">
        <f t="shared" si="294"/>
        <v>0</v>
      </c>
      <c r="AW509" s="1790">
        <f t="shared" si="295"/>
        <v>0</v>
      </c>
      <c r="AX509" s="1790">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32"/>
      <c r="C510" s="32"/>
      <c r="D510" s="2204"/>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2205"/>
      <c r="AV510" s="1790">
        <f t="shared" si="294"/>
        <v>0</v>
      </c>
      <c r="AW510" s="1790">
        <f t="shared" si="295"/>
        <v>0</v>
      </c>
      <c r="AX510" s="1790">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32"/>
      <c r="C511" s="32"/>
      <c r="D511" s="2204"/>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2205"/>
      <c r="AV511" s="1790">
        <f t="shared" si="294"/>
        <v>0</v>
      </c>
      <c r="AW511" s="1790">
        <f t="shared" si="295"/>
        <v>0</v>
      </c>
      <c r="AX511" s="1790">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32"/>
      <c r="C512" s="32"/>
      <c r="D512" s="2204"/>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2205"/>
      <c r="AV512" s="1790">
        <f t="shared" si="294"/>
        <v>0</v>
      </c>
      <c r="AW512" s="1790">
        <f t="shared" si="295"/>
        <v>0</v>
      </c>
      <c r="AX512" s="1790">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32"/>
      <c r="C513" s="32"/>
      <c r="D513" s="2204"/>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2205"/>
      <c r="AV513" s="1790">
        <f t="shared" si="294"/>
        <v>0</v>
      </c>
      <c r="AW513" s="1790">
        <f t="shared" si="295"/>
        <v>0</v>
      </c>
      <c r="AX513" s="1790">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32"/>
      <c r="C514" s="32"/>
      <c r="D514" s="2204"/>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2205"/>
      <c r="AV514" s="1790">
        <f t="shared" si="294"/>
        <v>0</v>
      </c>
      <c r="AW514" s="1790">
        <f t="shared" si="295"/>
        <v>0</v>
      </c>
      <c r="AX514" s="1790">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32"/>
      <c r="C515" s="32"/>
      <c r="D515" s="2204"/>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2205"/>
      <c r="AV515" s="1790">
        <f t="shared" si="294"/>
        <v>0</v>
      </c>
      <c r="AW515" s="1790">
        <f t="shared" si="295"/>
        <v>0</v>
      </c>
      <c r="AX515" s="1790">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32"/>
      <c r="C516" s="32"/>
      <c r="D516" s="2204"/>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2205"/>
      <c r="AV516" s="1790">
        <f t="shared" si="294"/>
        <v>0</v>
      </c>
      <c r="AW516" s="1790">
        <f t="shared" si="295"/>
        <v>0</v>
      </c>
      <c r="AX516" s="1790">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32"/>
      <c r="C517" s="32"/>
      <c r="D517" s="2204"/>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2205"/>
      <c r="AV517" s="1790">
        <f t="shared" si="294"/>
        <v>0</v>
      </c>
      <c r="AW517" s="1790">
        <f t="shared" si="295"/>
        <v>0</v>
      </c>
      <c r="AX517" s="1790">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32"/>
      <c r="C518" s="32"/>
      <c r="D518" s="2204"/>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2205"/>
      <c r="AV518" s="1790">
        <f t="shared" si="294"/>
        <v>0</v>
      </c>
      <c r="AW518" s="1790">
        <f t="shared" si="295"/>
        <v>0</v>
      </c>
      <c r="AX518" s="1790">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32"/>
      <c r="C519" s="32"/>
      <c r="D519" s="2204"/>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2205"/>
      <c r="AV519" s="1790">
        <f t="shared" si="294"/>
        <v>0</v>
      </c>
      <c r="AW519" s="1790">
        <f t="shared" si="295"/>
        <v>0</v>
      </c>
      <c r="AX519" s="1790">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32"/>
      <c r="C520" s="32"/>
      <c r="D520" s="2204"/>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2205"/>
      <c r="AV520" s="1790">
        <f t="shared" si="294"/>
        <v>0</v>
      </c>
      <c r="AW520" s="1790">
        <f t="shared" si="295"/>
        <v>0</v>
      </c>
      <c r="AX520" s="1790">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32"/>
      <c r="C521" s="32"/>
      <c r="D521" s="2204"/>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2205"/>
      <c r="AV521" s="1790">
        <f t="shared" ref="AV521:AV552" si="298">A521</f>
        <v>0</v>
      </c>
      <c r="AW521" s="1790">
        <f t="shared" ref="AW521:AW552" si="299">B521</f>
        <v>0</v>
      </c>
      <c r="AX521" s="1790">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32"/>
      <c r="C522" s="32"/>
      <c r="D522" s="2204"/>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2205"/>
      <c r="AV522" s="1790">
        <f t="shared" si="298"/>
        <v>0</v>
      </c>
      <c r="AW522" s="1790">
        <f t="shared" si="299"/>
        <v>0</v>
      </c>
      <c r="AX522" s="1790">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32"/>
      <c r="C523" s="32"/>
      <c r="D523" s="2204"/>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2205"/>
      <c r="AV523" s="1790">
        <f t="shared" si="298"/>
        <v>0</v>
      </c>
      <c r="AW523" s="1790">
        <f t="shared" si="299"/>
        <v>0</v>
      </c>
      <c r="AX523" s="1790">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32"/>
      <c r="C524" s="32"/>
      <c r="D524" s="2204"/>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2205"/>
      <c r="AV524" s="1790">
        <f t="shared" si="298"/>
        <v>0</v>
      </c>
      <c r="AW524" s="1790">
        <f t="shared" si="299"/>
        <v>0</v>
      </c>
      <c r="AX524" s="1790">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32"/>
      <c r="C525" s="32"/>
      <c r="D525" s="2204"/>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2205"/>
      <c r="AV525" s="1790">
        <f t="shared" si="298"/>
        <v>0</v>
      </c>
      <c r="AW525" s="1790">
        <f t="shared" si="299"/>
        <v>0</v>
      </c>
      <c r="AX525" s="1790">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32"/>
      <c r="C526" s="32"/>
      <c r="D526" s="2204"/>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2205"/>
      <c r="AV526" s="1790">
        <f t="shared" si="298"/>
        <v>0</v>
      </c>
      <c r="AW526" s="1790">
        <f t="shared" si="299"/>
        <v>0</v>
      </c>
      <c r="AX526" s="1790">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32"/>
      <c r="C527" s="32"/>
      <c r="D527" s="2204"/>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2205"/>
      <c r="AV527" s="1790">
        <f t="shared" si="298"/>
        <v>0</v>
      </c>
      <c r="AW527" s="1790">
        <f t="shared" si="299"/>
        <v>0</v>
      </c>
      <c r="AX527" s="1790">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32"/>
      <c r="C528" s="32"/>
      <c r="D528" s="2204"/>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2205"/>
      <c r="AV528" s="1790">
        <f t="shared" si="298"/>
        <v>0</v>
      </c>
      <c r="AW528" s="1790">
        <f t="shared" si="299"/>
        <v>0</v>
      </c>
      <c r="AX528" s="1790">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32"/>
      <c r="C529" s="32"/>
      <c r="D529" s="2204"/>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2205"/>
      <c r="AV529" s="1790">
        <f t="shared" si="298"/>
        <v>0</v>
      </c>
      <c r="AW529" s="1790">
        <f t="shared" si="299"/>
        <v>0</v>
      </c>
      <c r="AX529" s="1790">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32"/>
      <c r="C530" s="32"/>
      <c r="D530" s="2204"/>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2205"/>
      <c r="AV530" s="1790">
        <f t="shared" si="298"/>
        <v>0</v>
      </c>
      <c r="AW530" s="1790">
        <f t="shared" si="299"/>
        <v>0</v>
      </c>
      <c r="AX530" s="1790">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32"/>
      <c r="C531" s="32"/>
      <c r="D531" s="2204"/>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2205"/>
      <c r="AV531" s="1790">
        <f t="shared" si="298"/>
        <v>0</v>
      </c>
      <c r="AW531" s="1790">
        <f t="shared" si="299"/>
        <v>0</v>
      </c>
      <c r="AX531" s="1790">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32"/>
      <c r="C532" s="32"/>
      <c r="D532" s="2204"/>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2205"/>
      <c r="AV532" s="1790">
        <f t="shared" si="298"/>
        <v>0</v>
      </c>
      <c r="AW532" s="1790">
        <f t="shared" si="299"/>
        <v>0</v>
      </c>
      <c r="AX532" s="1790">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32"/>
      <c r="C533" s="32"/>
      <c r="D533" s="2204"/>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2205"/>
      <c r="AV533" s="1790">
        <f t="shared" si="298"/>
        <v>0</v>
      </c>
      <c r="AW533" s="1790">
        <f t="shared" si="299"/>
        <v>0</v>
      </c>
      <c r="AX533" s="1790">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32"/>
      <c r="C534" s="32"/>
      <c r="D534" s="2204"/>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2205"/>
      <c r="AV534" s="1790">
        <f t="shared" si="298"/>
        <v>0</v>
      </c>
      <c r="AW534" s="1790">
        <f t="shared" si="299"/>
        <v>0</v>
      </c>
      <c r="AX534" s="1790">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32"/>
      <c r="C535" s="32"/>
      <c r="D535" s="2204"/>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2205"/>
      <c r="AV535" s="1790">
        <f t="shared" si="298"/>
        <v>0</v>
      </c>
      <c r="AW535" s="1790">
        <f t="shared" si="299"/>
        <v>0</v>
      </c>
      <c r="AX535" s="1790">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32"/>
      <c r="C536" s="32"/>
      <c r="D536" s="2204"/>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2205"/>
      <c r="AV536" s="1790">
        <f t="shared" si="298"/>
        <v>0</v>
      </c>
      <c r="AW536" s="1790">
        <f t="shared" si="299"/>
        <v>0</v>
      </c>
      <c r="AX536" s="1790">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32"/>
      <c r="C537" s="32"/>
      <c r="D537" s="2204"/>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2205"/>
      <c r="AV537" s="1790">
        <f t="shared" si="298"/>
        <v>0</v>
      </c>
      <c r="AW537" s="1790">
        <f t="shared" si="299"/>
        <v>0</v>
      </c>
      <c r="AX537" s="1790">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32"/>
      <c r="C538" s="32"/>
      <c r="D538" s="2204"/>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2205"/>
      <c r="AV538" s="1790">
        <f t="shared" si="298"/>
        <v>0</v>
      </c>
      <c r="AW538" s="1790">
        <f t="shared" si="299"/>
        <v>0</v>
      </c>
      <c r="AX538" s="1790">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32"/>
      <c r="C539" s="32"/>
      <c r="D539" s="2204"/>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2205"/>
      <c r="AV539" s="1790">
        <f t="shared" si="298"/>
        <v>0</v>
      </c>
      <c r="AW539" s="1790">
        <f t="shared" si="299"/>
        <v>0</v>
      </c>
      <c r="AX539" s="1790">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32"/>
      <c r="C540" s="32"/>
      <c r="D540" s="2204"/>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2205"/>
      <c r="AV540" s="1790">
        <f t="shared" si="298"/>
        <v>0</v>
      </c>
      <c r="AW540" s="1790">
        <f t="shared" si="299"/>
        <v>0</v>
      </c>
      <c r="AX540" s="1790">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32"/>
      <c r="C541" s="32"/>
      <c r="D541" s="2204"/>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2205"/>
      <c r="AV541" s="1790">
        <f t="shared" si="298"/>
        <v>0</v>
      </c>
      <c r="AW541" s="1790">
        <f t="shared" si="299"/>
        <v>0</v>
      </c>
      <c r="AX541" s="1790">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32"/>
      <c r="C542" s="32"/>
      <c r="D542" s="2204"/>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2205"/>
      <c r="AV542" s="1790">
        <f t="shared" si="298"/>
        <v>0</v>
      </c>
      <c r="AW542" s="1790">
        <f t="shared" si="299"/>
        <v>0</v>
      </c>
      <c r="AX542" s="1790">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32"/>
      <c r="C543" s="32"/>
      <c r="D543" s="2204"/>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2205"/>
      <c r="AV543" s="1790">
        <f t="shared" si="298"/>
        <v>0</v>
      </c>
      <c r="AW543" s="1790">
        <f t="shared" si="299"/>
        <v>0</v>
      </c>
      <c r="AX543" s="1790">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32"/>
      <c r="C544" s="32"/>
      <c r="D544" s="2204"/>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2205"/>
      <c r="AV544" s="1790">
        <f t="shared" si="298"/>
        <v>0</v>
      </c>
      <c r="AW544" s="1790">
        <f t="shared" si="299"/>
        <v>0</v>
      </c>
      <c r="AX544" s="1790">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32"/>
      <c r="C545" s="32"/>
      <c r="D545" s="2204"/>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2205"/>
      <c r="AV545" s="1790">
        <f t="shared" si="298"/>
        <v>0</v>
      </c>
      <c r="AW545" s="1790">
        <f t="shared" si="299"/>
        <v>0</v>
      </c>
      <c r="AX545" s="1790">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32"/>
      <c r="C546" s="32"/>
      <c r="D546" s="2204"/>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2205"/>
      <c r="AV546" s="1790">
        <f t="shared" si="298"/>
        <v>0</v>
      </c>
      <c r="AW546" s="1790">
        <f t="shared" si="299"/>
        <v>0</v>
      </c>
      <c r="AX546" s="1790">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32"/>
      <c r="C547" s="32"/>
      <c r="D547" s="2204"/>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2205"/>
      <c r="AV547" s="1790">
        <f t="shared" si="298"/>
        <v>0</v>
      </c>
      <c r="AW547" s="1790">
        <f t="shared" si="299"/>
        <v>0</v>
      </c>
      <c r="AX547" s="1790">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32"/>
      <c r="C548" s="32"/>
      <c r="D548" s="2204"/>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2205"/>
      <c r="AV548" s="1790">
        <f t="shared" si="298"/>
        <v>0</v>
      </c>
      <c r="AW548" s="1790">
        <f t="shared" si="299"/>
        <v>0</v>
      </c>
      <c r="AX548" s="1790">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32"/>
      <c r="C549" s="32"/>
      <c r="D549" s="2204"/>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2205"/>
      <c r="AV549" s="1790">
        <f t="shared" si="298"/>
        <v>0</v>
      </c>
      <c r="AW549" s="1790">
        <f t="shared" si="299"/>
        <v>0</v>
      </c>
      <c r="AX549" s="1790">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32"/>
      <c r="C550" s="32"/>
      <c r="D550" s="2204"/>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2205"/>
      <c r="AV550" s="1790">
        <f t="shared" si="298"/>
        <v>0</v>
      </c>
      <c r="AW550" s="1790">
        <f t="shared" si="299"/>
        <v>0</v>
      </c>
      <c r="AX550" s="1790">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32"/>
      <c r="C551" s="32"/>
      <c r="D551" s="2204"/>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2205"/>
      <c r="AV551" s="1790">
        <f t="shared" si="298"/>
        <v>0</v>
      </c>
      <c r="AW551" s="1790">
        <f t="shared" si="299"/>
        <v>0</v>
      </c>
      <c r="AX551" s="1790">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32"/>
      <c r="C552" s="32"/>
      <c r="D552" s="2204"/>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2205"/>
      <c r="AV552" s="1790">
        <f t="shared" si="298"/>
        <v>0</v>
      </c>
      <c r="AW552" s="1790">
        <f t="shared" si="299"/>
        <v>0</v>
      </c>
      <c r="AX552" s="1790">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32"/>
      <c r="C553" s="32"/>
      <c r="D553" s="2204"/>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2205"/>
      <c r="AV553" s="1790">
        <f t="shared" ref="AV553:AV587" si="330">A553</f>
        <v>0</v>
      </c>
      <c r="AW553" s="1790">
        <f t="shared" ref="AW553:AW587" si="331">B553</f>
        <v>0</v>
      </c>
      <c r="AX553" s="1790">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32"/>
      <c r="C554" s="32"/>
      <c r="D554" s="2204"/>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2205"/>
      <c r="AV554" s="1790">
        <f t="shared" si="330"/>
        <v>0</v>
      </c>
      <c r="AW554" s="1790">
        <f t="shared" si="331"/>
        <v>0</v>
      </c>
      <c r="AX554" s="1790">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32"/>
      <c r="C555" s="32"/>
      <c r="D555" s="2204"/>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2205"/>
      <c r="AV555" s="1790">
        <f t="shared" si="330"/>
        <v>0</v>
      </c>
      <c r="AW555" s="1790">
        <f t="shared" si="331"/>
        <v>0</v>
      </c>
      <c r="AX555" s="1790">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32"/>
      <c r="C556" s="32"/>
      <c r="D556" s="2204"/>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2205"/>
      <c r="AV556" s="1790">
        <f t="shared" si="330"/>
        <v>0</v>
      </c>
      <c r="AW556" s="1790">
        <f t="shared" si="331"/>
        <v>0</v>
      </c>
      <c r="AX556" s="1790">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32"/>
      <c r="C557" s="32"/>
      <c r="D557" s="2204"/>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2205"/>
      <c r="AV557" s="1790">
        <f t="shared" si="330"/>
        <v>0</v>
      </c>
      <c r="AW557" s="1790">
        <f t="shared" si="331"/>
        <v>0</v>
      </c>
      <c r="AX557" s="1790">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32"/>
      <c r="C558" s="32"/>
      <c r="D558" s="2204"/>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2205"/>
      <c r="AV558" s="1790">
        <f t="shared" si="330"/>
        <v>0</v>
      </c>
      <c r="AW558" s="1790">
        <f t="shared" si="331"/>
        <v>0</v>
      </c>
      <c r="AX558" s="1790">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32"/>
      <c r="C559" s="32"/>
      <c r="D559" s="2204"/>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2205"/>
      <c r="AV559" s="1790">
        <f t="shared" si="330"/>
        <v>0</v>
      </c>
      <c r="AW559" s="1790">
        <f t="shared" si="331"/>
        <v>0</v>
      </c>
      <c r="AX559" s="1790">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32"/>
      <c r="C560" s="32"/>
      <c r="D560" s="2204"/>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2205"/>
      <c r="AV560" s="1790">
        <f t="shared" si="330"/>
        <v>0</v>
      </c>
      <c r="AW560" s="1790">
        <f t="shared" si="331"/>
        <v>0</v>
      </c>
      <c r="AX560" s="1790">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32"/>
      <c r="C561" s="32"/>
      <c r="D561" s="2204"/>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2205"/>
      <c r="AV561" s="1790">
        <f t="shared" si="330"/>
        <v>0</v>
      </c>
      <c r="AW561" s="1790">
        <f t="shared" si="331"/>
        <v>0</v>
      </c>
      <c r="AX561" s="1790">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32"/>
      <c r="C562" s="32"/>
      <c r="D562" s="2204"/>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2205"/>
      <c r="AV562" s="1790">
        <f t="shared" si="330"/>
        <v>0</v>
      </c>
      <c r="AW562" s="1790">
        <f t="shared" si="331"/>
        <v>0</v>
      </c>
      <c r="AX562" s="1790">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32"/>
      <c r="C563" s="32"/>
      <c r="D563" s="2204"/>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2205"/>
      <c r="AV563" s="1790">
        <f t="shared" si="330"/>
        <v>0</v>
      </c>
      <c r="AW563" s="1790">
        <f t="shared" si="331"/>
        <v>0</v>
      </c>
      <c r="AX563" s="1790">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32"/>
      <c r="C564" s="32"/>
      <c r="D564" s="2204"/>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2205"/>
      <c r="AV564" s="1790">
        <f t="shared" si="330"/>
        <v>0</v>
      </c>
      <c r="AW564" s="1790">
        <f t="shared" si="331"/>
        <v>0</v>
      </c>
      <c r="AX564" s="1790">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32"/>
      <c r="C565" s="32"/>
      <c r="D565" s="2204"/>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2205"/>
      <c r="AV565" s="1790">
        <f t="shared" si="330"/>
        <v>0</v>
      </c>
      <c r="AW565" s="1790">
        <f t="shared" si="331"/>
        <v>0</v>
      </c>
      <c r="AX565" s="1790">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32"/>
      <c r="C566" s="32"/>
      <c r="D566" s="2204"/>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2205"/>
      <c r="AV566" s="1790">
        <f t="shared" si="330"/>
        <v>0</v>
      </c>
      <c r="AW566" s="1790">
        <f t="shared" si="331"/>
        <v>0</v>
      </c>
      <c r="AX566" s="1790">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32"/>
      <c r="C567" s="32"/>
      <c r="D567" s="2204"/>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2205"/>
      <c r="AV567" s="1790">
        <f t="shared" si="330"/>
        <v>0</v>
      </c>
      <c r="AW567" s="1790">
        <f t="shared" si="331"/>
        <v>0</v>
      </c>
      <c r="AX567" s="1790">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32"/>
      <c r="C568" s="32"/>
      <c r="D568" s="2204"/>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2205"/>
      <c r="AV568" s="1790">
        <f t="shared" si="330"/>
        <v>0</v>
      </c>
      <c r="AW568" s="1790">
        <f t="shared" si="331"/>
        <v>0</v>
      </c>
      <c r="AX568" s="1790">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32"/>
      <c r="C569" s="32"/>
      <c r="D569" s="2204"/>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2205"/>
      <c r="AV569" s="1790">
        <f t="shared" si="330"/>
        <v>0</v>
      </c>
      <c r="AW569" s="1790">
        <f t="shared" si="331"/>
        <v>0</v>
      </c>
      <c r="AX569" s="1790">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32"/>
      <c r="C570" s="32"/>
      <c r="D570" s="2204"/>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2205"/>
      <c r="AV570" s="1790">
        <f t="shared" si="330"/>
        <v>0</v>
      </c>
      <c r="AW570" s="1790">
        <f t="shared" si="331"/>
        <v>0</v>
      </c>
      <c r="AX570" s="1790">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32"/>
      <c r="C571" s="32"/>
      <c r="D571" s="2204"/>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2205"/>
      <c r="AV571" s="1790">
        <f t="shared" si="330"/>
        <v>0</v>
      </c>
      <c r="AW571" s="1790">
        <f t="shared" si="331"/>
        <v>0</v>
      </c>
      <c r="AX571" s="1790">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32"/>
      <c r="C572" s="32"/>
      <c r="D572" s="2204"/>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2205"/>
      <c r="AV572" s="1790">
        <f t="shared" si="330"/>
        <v>0</v>
      </c>
      <c r="AW572" s="1790">
        <f t="shared" si="331"/>
        <v>0</v>
      </c>
      <c r="AX572" s="1790">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32"/>
      <c r="C573" s="32"/>
      <c r="D573" s="2204"/>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2205"/>
      <c r="AV573" s="1790">
        <f t="shared" si="330"/>
        <v>0</v>
      </c>
      <c r="AW573" s="1790">
        <f t="shared" si="331"/>
        <v>0</v>
      </c>
      <c r="AX573" s="1790">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32"/>
      <c r="C574" s="32"/>
      <c r="D574" s="2204"/>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2205"/>
      <c r="AV574" s="1790">
        <f t="shared" si="330"/>
        <v>0</v>
      </c>
      <c r="AW574" s="1790">
        <f t="shared" si="331"/>
        <v>0</v>
      </c>
      <c r="AX574" s="1790">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32"/>
      <c r="C575" s="32"/>
      <c r="D575" s="2204"/>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2205"/>
      <c r="AV575" s="1790">
        <f t="shared" si="330"/>
        <v>0</v>
      </c>
      <c r="AW575" s="1790">
        <f t="shared" si="331"/>
        <v>0</v>
      </c>
      <c r="AX575" s="1790">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32"/>
      <c r="C576" s="32"/>
      <c r="D576" s="2204"/>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2205"/>
      <c r="AV576" s="1790">
        <f t="shared" si="330"/>
        <v>0</v>
      </c>
      <c r="AW576" s="1790">
        <f t="shared" si="331"/>
        <v>0</v>
      </c>
      <c r="AX576" s="1790">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32"/>
      <c r="C577" s="32"/>
      <c r="D577" s="2204"/>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2205"/>
      <c r="AV577" s="1790">
        <f t="shared" si="330"/>
        <v>0</v>
      </c>
      <c r="AW577" s="1790">
        <f t="shared" si="331"/>
        <v>0</v>
      </c>
      <c r="AX577" s="1790">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32"/>
      <c r="C578" s="32"/>
      <c r="D578" s="2204"/>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2205"/>
      <c r="AV578" s="1790">
        <f t="shared" si="330"/>
        <v>0</v>
      </c>
      <c r="AW578" s="1790">
        <f t="shared" si="331"/>
        <v>0</v>
      </c>
      <c r="AX578" s="1790">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32"/>
      <c r="C579" s="32"/>
      <c r="D579" s="2204"/>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2205"/>
      <c r="AV579" s="1790">
        <f t="shared" si="330"/>
        <v>0</v>
      </c>
      <c r="AW579" s="1790">
        <f t="shared" si="331"/>
        <v>0</v>
      </c>
      <c r="AX579" s="1790">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32"/>
      <c r="C580" s="32"/>
      <c r="D580" s="2204"/>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2205"/>
      <c r="AV580" s="1790">
        <f t="shared" si="330"/>
        <v>0</v>
      </c>
      <c r="AW580" s="1790">
        <f t="shared" si="331"/>
        <v>0</v>
      </c>
      <c r="AX580" s="1790">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32"/>
      <c r="C581" s="32"/>
      <c r="D581" s="2204"/>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2205"/>
      <c r="AV581" s="1790">
        <f t="shared" si="330"/>
        <v>0</v>
      </c>
      <c r="AW581" s="1790">
        <f t="shared" si="331"/>
        <v>0</v>
      </c>
      <c r="AX581" s="1790">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32"/>
      <c r="C582" s="32"/>
      <c r="D582" s="2204"/>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2205"/>
      <c r="AV582" s="1790">
        <f t="shared" si="330"/>
        <v>0</v>
      </c>
      <c r="AW582" s="1790">
        <f t="shared" si="331"/>
        <v>0</v>
      </c>
      <c r="AX582" s="1790">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32"/>
      <c r="C583" s="32"/>
      <c r="D583" s="2204"/>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2205"/>
      <c r="AV583" s="1790">
        <f t="shared" si="330"/>
        <v>0</v>
      </c>
      <c r="AW583" s="1790">
        <f t="shared" si="331"/>
        <v>0</v>
      </c>
      <c r="AX583" s="1790">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32"/>
      <c r="C584" s="32"/>
      <c r="D584" s="2204"/>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2205"/>
      <c r="AV584" s="1790">
        <f t="shared" si="330"/>
        <v>0</v>
      </c>
      <c r="AW584" s="1790">
        <f t="shared" si="331"/>
        <v>0</v>
      </c>
      <c r="AX584" s="1790">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9"/>
      <c r="C585" s="9"/>
      <c r="D585" s="2204"/>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2145"/>
      <c r="AV585" s="1790">
        <f t="shared" si="330"/>
        <v>0</v>
      </c>
      <c r="AW585" s="1790">
        <f t="shared" si="331"/>
        <v>0</v>
      </c>
      <c r="AX585" s="1790">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2204"/>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2145"/>
      <c r="AV586" s="1790">
        <f t="shared" si="330"/>
        <v>0</v>
      </c>
      <c r="AW586" s="1790">
        <f t="shared" si="331"/>
        <v>0</v>
      </c>
      <c r="AX586" s="1790">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2204"/>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2145"/>
      <c r="AV587" s="1790">
        <f t="shared" si="330"/>
        <v>0</v>
      </c>
      <c r="AW587" s="1790">
        <f t="shared" si="331"/>
        <v>0</v>
      </c>
      <c r="AX587" s="1790">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45">
      <c r="A3" s="3115"/>
      <c r="B3" s="3115"/>
      <c r="C3" s="3115"/>
      <c r="D3" s="3116"/>
      <c r="E3" s="311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S50"/>
  <sheetViews>
    <sheetView topLeftCell="C1" workbookViewId="0">
      <selection activeCell="O14" sqref="O14"/>
    </sheetView>
  </sheetViews>
  <sheetFormatPr defaultRowHeight="14"/>
  <cols>
    <col min="1" max="1" width="11.90625" customWidth="1"/>
    <col min="7" max="7" width="10.453125" customWidth="1"/>
    <col min="8" max="8" width="10.08984375" customWidth="1"/>
    <col min="13" max="13" width="16.453125" customWidth="1"/>
  </cols>
  <sheetData>
    <row r="1" spans="1:19">
      <c r="D1" s="2954" t="s">
        <v>3094</v>
      </c>
      <c r="G1" s="2954" t="s">
        <v>3354</v>
      </c>
      <c r="K1" s="2954" t="s">
        <v>3362</v>
      </c>
      <c r="L1" s="2954"/>
    </row>
    <row r="2" spans="1:19">
      <c r="A2" s="2954" t="s">
        <v>3372</v>
      </c>
      <c r="B2" s="2954" t="s">
        <v>3089</v>
      </c>
      <c r="C2" s="2954" t="s">
        <v>3092</v>
      </c>
      <c r="D2" s="2954" t="s">
        <v>3096</v>
      </c>
      <c r="E2" s="2954" t="s">
        <v>3097</v>
      </c>
      <c r="F2" s="2954" t="s">
        <v>3095</v>
      </c>
      <c r="G2" s="2954" t="s">
        <v>3355</v>
      </c>
      <c r="H2" s="2954" t="s">
        <v>3356</v>
      </c>
      <c r="I2" s="2954" t="s">
        <v>3357</v>
      </c>
      <c r="J2" s="2954" t="s">
        <v>3358</v>
      </c>
      <c r="K2" s="2954" t="s">
        <v>3096</v>
      </c>
      <c r="L2" s="2954" t="s">
        <v>3097</v>
      </c>
      <c r="M2" s="2954" t="s">
        <v>3359</v>
      </c>
      <c r="Q2" s="2954" t="s">
        <v>3354</v>
      </c>
      <c r="S2" s="2954" t="s">
        <v>3359</v>
      </c>
    </row>
    <row r="3" spans="1:19">
      <c r="A3">
        <f>'数据-基础表'!G13-'数据-基础表'!J13-'数据-基础表'!AT13</f>
        <v>3626.3900000000003</v>
      </c>
      <c r="B3" s="2954" t="s">
        <v>3090</v>
      </c>
      <c r="C3" t="str">
        <f>'数据-基础表'!C13</f>
        <v>31#住宅</v>
      </c>
      <c r="D3">
        <v>4</v>
      </c>
      <c r="F3" s="2954" t="s">
        <v>3098</v>
      </c>
      <c r="G3">
        <f>'数据-基础表'!I13-'数据-基础表'!J13</f>
        <v>2739.2000000000003</v>
      </c>
      <c r="H3">
        <f>'数据-基础表'!K13</f>
        <v>887.19</v>
      </c>
      <c r="I3">
        <f>'数据-基础表'!M13</f>
        <v>0</v>
      </c>
      <c r="J3">
        <f>'数据-基础表'!O13</f>
        <v>0</v>
      </c>
      <c r="K3">
        <f>'数据-基础表'!AL13</f>
        <v>0</v>
      </c>
      <c r="L3">
        <f>'数据-基础表'!AN13</f>
        <v>0</v>
      </c>
      <c r="M3" s="2954" t="s">
        <v>3360</v>
      </c>
      <c r="N3" s="2982">
        <v>0.7</v>
      </c>
      <c r="P3" s="2954" t="s">
        <v>3098</v>
      </c>
      <c r="Q3">
        <f>G50-Q4-Q5</f>
        <v>91312.59</v>
      </c>
      <c r="R3">
        <f>SUM(G3:G22)*N3</f>
        <v>39842.005000000005</v>
      </c>
      <c r="S3">
        <f>ROUND(R3/Q3,2)</f>
        <v>0.44</v>
      </c>
    </row>
    <row r="4" spans="1:19">
      <c r="A4">
        <f>'数据-基础表'!G14-'数据-基础表'!J14-'数据-基础表'!AT14-'数据-基础表'!AC14</f>
        <v>5989.71</v>
      </c>
      <c r="C4" t="str">
        <f>'数据-基础表'!C14</f>
        <v>32#住宅</v>
      </c>
      <c r="D4">
        <v>4</v>
      </c>
      <c r="F4" s="2954" t="s">
        <v>3098</v>
      </c>
      <c r="G4">
        <f>'数据-基础表'!I14-'数据-基础表'!J14</f>
        <v>4950.04</v>
      </c>
      <c r="H4">
        <f>'数据-基础表'!K14</f>
        <v>1039.67</v>
      </c>
      <c r="I4">
        <f>'数据-基础表'!M14</f>
        <v>0</v>
      </c>
      <c r="J4">
        <f>'数据-基础表'!O14</f>
        <v>0</v>
      </c>
      <c r="K4">
        <f>'数据-基础表'!AL14</f>
        <v>164.4</v>
      </c>
      <c r="L4">
        <f>'数据-基础表'!AN14</f>
        <v>0</v>
      </c>
      <c r="M4" s="2954" t="s">
        <v>3360</v>
      </c>
      <c r="N4" s="2982">
        <f>N3</f>
        <v>0.7</v>
      </c>
      <c r="P4" s="2954" t="s">
        <v>3099</v>
      </c>
      <c r="Q4">
        <f>SUM(G23:G35)-Q5</f>
        <v>18832.780000000002</v>
      </c>
      <c r="S4">
        <v>0</v>
      </c>
    </row>
    <row r="5" spans="1:19">
      <c r="A5">
        <f>'数据-基础表'!G15-'数据-基础表'!J15-'数据-基础表'!AT15</f>
        <v>3920.2300000000005</v>
      </c>
      <c r="C5" t="str">
        <f>'数据-基础表'!C15</f>
        <v>35#住宅</v>
      </c>
      <c r="D5">
        <v>4</v>
      </c>
      <c r="F5" s="2954" t="s">
        <v>3098</v>
      </c>
      <c r="G5">
        <f>'数据-基础表'!I15-'数据-基础表'!J15</f>
        <v>2814.09</v>
      </c>
      <c r="H5">
        <f>'数据-基础表'!K15</f>
        <v>1106.1400000000001</v>
      </c>
      <c r="I5">
        <f>'数据-基础表'!M15</f>
        <v>0</v>
      </c>
      <c r="J5">
        <f>'数据-基础表'!O15</f>
        <v>0</v>
      </c>
      <c r="K5">
        <f>'数据-基础表'!AL15</f>
        <v>0</v>
      </c>
      <c r="L5">
        <f>'数据-基础表'!AN15</f>
        <v>0</v>
      </c>
      <c r="M5" s="2954" t="s">
        <v>3360</v>
      </c>
      <c r="N5" s="2982">
        <f t="shared" ref="N5:N22" si="0">N4</f>
        <v>0.7</v>
      </c>
      <c r="P5" s="2954" t="s">
        <v>3100</v>
      </c>
      <c r="Q5">
        <f>G26+G31</f>
        <v>2018.48</v>
      </c>
      <c r="S5">
        <v>0</v>
      </c>
    </row>
    <row r="6" spans="1:19">
      <c r="A6">
        <f>'数据-基础表'!G16-'数据-基础表'!J16-'数据-基础表'!AT16-'数据-基础表'!AC16</f>
        <v>2310.2800000000002</v>
      </c>
      <c r="C6" t="str">
        <f>'数据-基础表'!C16</f>
        <v>36#住宅</v>
      </c>
      <c r="D6">
        <v>3</v>
      </c>
      <c r="E6">
        <v>1</v>
      </c>
      <c r="F6" s="2954" t="s">
        <v>3098</v>
      </c>
      <c r="G6">
        <f>'数据-基础表'!I16-'数据-基础表'!J16</f>
        <v>1551.19</v>
      </c>
      <c r="H6">
        <f>'数据-基础表'!K16</f>
        <v>759.09</v>
      </c>
      <c r="I6">
        <f>'数据-基础表'!M16</f>
        <v>0</v>
      </c>
      <c r="J6">
        <f>'数据-基础表'!O16</f>
        <v>0</v>
      </c>
      <c r="K6">
        <f>'数据-基础表'!AL16</f>
        <v>0</v>
      </c>
      <c r="L6">
        <f>'数据-基础表'!AN16</f>
        <v>1521.44</v>
      </c>
      <c r="M6" s="2954" t="s">
        <v>3360</v>
      </c>
      <c r="N6" s="2982">
        <f t="shared" si="0"/>
        <v>0.7</v>
      </c>
      <c r="Q6">
        <f>SUM(Q3:Q5)</f>
        <v>112163.84999999999</v>
      </c>
    </row>
    <row r="7" spans="1:19">
      <c r="A7">
        <f>'数据-基础表'!G17-'数据-基础表'!J17-'数据-基础表'!AT17</f>
        <v>2695.04</v>
      </c>
      <c r="C7" t="str">
        <f>'数据-基础表'!C17</f>
        <v>37#住宅</v>
      </c>
      <c r="D7">
        <v>4</v>
      </c>
      <c r="F7" s="2954" t="s">
        <v>3098</v>
      </c>
      <c r="G7">
        <f>'数据-基础表'!I17-'数据-基础表'!J17</f>
        <v>1974.56</v>
      </c>
      <c r="H7">
        <f>'数据-基础表'!K17</f>
        <v>720.48</v>
      </c>
      <c r="I7">
        <f>'数据-基础表'!M17</f>
        <v>0</v>
      </c>
      <c r="J7">
        <f>'数据-基础表'!O17</f>
        <v>0</v>
      </c>
      <c r="K7">
        <f>'数据-基础表'!AL17</f>
        <v>0</v>
      </c>
      <c r="L7">
        <f>'数据-基础表'!AN17</f>
        <v>0</v>
      </c>
      <c r="M7" s="2954" t="s">
        <v>3360</v>
      </c>
      <c r="N7" s="2982">
        <f t="shared" si="0"/>
        <v>0.7</v>
      </c>
      <c r="P7" s="2954" t="s">
        <v>3356</v>
      </c>
      <c r="Q7">
        <f>H50</f>
        <v>11127.55</v>
      </c>
      <c r="R7">
        <f>SUM(H3:H22)*N3</f>
        <v>5620.5729999999994</v>
      </c>
      <c r="S7">
        <f>ROUND(R7/Q7,2)</f>
        <v>0.51</v>
      </c>
    </row>
    <row r="8" spans="1:19">
      <c r="A8">
        <f>'数据-基础表'!G18-'数据-基础表'!J18-'数据-基础表'!AT18</f>
        <v>3556.3</v>
      </c>
      <c r="C8" t="str">
        <f>'数据-基础表'!C18</f>
        <v>38#住宅</v>
      </c>
      <c r="D8">
        <v>4</v>
      </c>
      <c r="F8" s="2954" t="s">
        <v>3098</v>
      </c>
      <c r="G8">
        <f>'数据-基础表'!I18-'数据-基础表'!J18</f>
        <v>3556.3</v>
      </c>
      <c r="H8">
        <f>'数据-基础表'!K18</f>
        <v>0</v>
      </c>
      <c r="I8">
        <f>'数据-基础表'!M18</f>
        <v>0</v>
      </c>
      <c r="J8">
        <f>'数据-基础表'!O18</f>
        <v>0</v>
      </c>
      <c r="K8">
        <f>'数据-基础表'!AL18</f>
        <v>0</v>
      </c>
      <c r="L8">
        <f>'数据-基础表'!AN18</f>
        <v>0</v>
      </c>
      <c r="M8" s="2954" t="s">
        <v>3360</v>
      </c>
      <c r="N8" s="2982">
        <f t="shared" si="0"/>
        <v>0.7</v>
      </c>
    </row>
    <row r="9" spans="1:19">
      <c r="A9">
        <f>'数据-基础表'!G19-'数据-基础表'!J19-'数据-基础表'!AT19</f>
        <v>4084.6899999999996</v>
      </c>
      <c r="C9" t="str">
        <f>'数据-基础表'!C19</f>
        <v>39#住宅</v>
      </c>
      <c r="D9">
        <v>6</v>
      </c>
      <c r="F9" s="2954" t="s">
        <v>3098</v>
      </c>
      <c r="G9">
        <f>'数据-基础表'!I19-'数据-基础表'!J19</f>
        <v>4084.6899999999996</v>
      </c>
      <c r="H9">
        <f>'数据-基础表'!K19</f>
        <v>0</v>
      </c>
      <c r="I9">
        <f>'数据-基础表'!M19</f>
        <v>0</v>
      </c>
      <c r="J9">
        <f>'数据-基础表'!O19</f>
        <v>0</v>
      </c>
      <c r="K9">
        <f>'数据-基础表'!AL19</f>
        <v>0</v>
      </c>
      <c r="L9">
        <f>'数据-基础表'!AN19</f>
        <v>0</v>
      </c>
      <c r="M9" s="2954" t="s">
        <v>3360</v>
      </c>
      <c r="N9" s="2982">
        <f t="shared" si="0"/>
        <v>0.7</v>
      </c>
      <c r="Q9" s="2954" t="s">
        <v>3096</v>
      </c>
      <c r="R9" s="2954" t="s">
        <v>3097</v>
      </c>
    </row>
    <row r="10" spans="1:19">
      <c r="A10">
        <f>'数据-基础表'!G20-'数据-基础表'!J20-'数据-基础表'!AT20</f>
        <v>4529.3499999999995</v>
      </c>
      <c r="C10" t="str">
        <f>'数据-基础表'!C20</f>
        <v>40#住宅</v>
      </c>
      <c r="D10">
        <v>6</v>
      </c>
      <c r="F10" s="2954" t="s">
        <v>3098</v>
      </c>
      <c r="G10">
        <f>'数据-基础表'!I20-'数据-基础表'!J20</f>
        <v>4529.3499999999995</v>
      </c>
      <c r="H10">
        <f>'数据-基础表'!K20</f>
        <v>0</v>
      </c>
      <c r="I10">
        <f>'数据-基础表'!M20</f>
        <v>0</v>
      </c>
      <c r="J10">
        <f>'数据-基础表'!O20</f>
        <v>0</v>
      </c>
      <c r="K10">
        <f>'数据-基础表'!AL20</f>
        <v>0</v>
      </c>
      <c r="L10">
        <f>'数据-基础表'!AN20</f>
        <v>0</v>
      </c>
      <c r="M10" s="2954" t="s">
        <v>3360</v>
      </c>
      <c r="N10" s="2982">
        <f t="shared" si="0"/>
        <v>0.7</v>
      </c>
      <c r="P10" s="2954" t="s">
        <v>3362</v>
      </c>
      <c r="Q10">
        <f>'数据-基础表'!AL5-'数据-基础表'!AM5</f>
        <v>272.34000000000015</v>
      </c>
      <c r="R10">
        <f>'数据-基础表'!AN5-'数据-基础表'!AO5</f>
        <v>24734.829999999998</v>
      </c>
      <c r="S10">
        <f>ROUND(L13*N3/(Q10+R10),2)</f>
        <v>0.01</v>
      </c>
    </row>
    <row r="11" spans="1:19">
      <c r="A11">
        <f>'数据-基础表'!G21-'数据-基础表'!J21-'数据-基础表'!AT21</f>
        <v>2638.3700000000003</v>
      </c>
      <c r="C11" t="str">
        <f>'数据-基础表'!C21</f>
        <v>41#住宅</v>
      </c>
      <c r="D11">
        <v>5</v>
      </c>
      <c r="F11" s="2954" t="s">
        <v>3098</v>
      </c>
      <c r="G11">
        <f>'数据-基础表'!I21-'数据-基础表'!J21</f>
        <v>2638.3700000000003</v>
      </c>
      <c r="H11">
        <f>'数据-基础表'!K21</f>
        <v>0</v>
      </c>
      <c r="I11">
        <f>'数据-基础表'!M21</f>
        <v>0</v>
      </c>
      <c r="J11">
        <f>'数据-基础表'!O21</f>
        <v>0</v>
      </c>
      <c r="K11">
        <f>'数据-基础表'!AL21</f>
        <v>0</v>
      </c>
      <c r="L11">
        <f>'数据-基础表'!AN21</f>
        <v>0</v>
      </c>
      <c r="M11" s="2954" t="s">
        <v>3360</v>
      </c>
      <c r="N11" s="2982">
        <f t="shared" si="0"/>
        <v>0.7</v>
      </c>
    </row>
    <row r="12" spans="1:19">
      <c r="A12">
        <f>'数据-基础表'!G22-'数据-基础表'!J22-'数据-基础表'!AT22</f>
        <v>5901.4900000000007</v>
      </c>
      <c r="C12" t="str">
        <f>'数据-基础表'!C22</f>
        <v>42#住宅</v>
      </c>
      <c r="D12">
        <v>5</v>
      </c>
      <c r="F12" s="2954" t="s">
        <v>3098</v>
      </c>
      <c r="G12">
        <f>'数据-基础表'!I22-'数据-基础表'!J22</f>
        <v>5901.4900000000007</v>
      </c>
      <c r="H12">
        <f>'数据-基础表'!K22</f>
        <v>0</v>
      </c>
      <c r="I12">
        <f>'数据-基础表'!M22</f>
        <v>0</v>
      </c>
      <c r="J12">
        <f>'数据-基础表'!O22</f>
        <v>0</v>
      </c>
      <c r="K12">
        <f>'数据-基础表'!AL22</f>
        <v>0</v>
      </c>
      <c r="L12">
        <f>'数据-基础表'!AN22</f>
        <v>0</v>
      </c>
      <c r="M12" s="2954" t="s">
        <v>3360</v>
      </c>
      <c r="N12" s="2982">
        <f t="shared" si="0"/>
        <v>0.7</v>
      </c>
    </row>
    <row r="13" spans="1:19">
      <c r="A13">
        <f>'数据-基础表'!G23-'数据-基础表'!J23-'数据-基础表'!AT23</f>
        <v>983.33</v>
      </c>
      <c r="C13" t="str">
        <f>'数据-基础表'!C23</f>
        <v>30#商业</v>
      </c>
      <c r="D13">
        <v>2</v>
      </c>
      <c r="E13">
        <v>1</v>
      </c>
      <c r="F13" s="2954" t="s">
        <v>3098</v>
      </c>
      <c r="G13">
        <f>'数据-基础表'!I23-'数据-基础表'!J23</f>
        <v>0</v>
      </c>
      <c r="H13">
        <f>'数据-基础表'!K23</f>
        <v>661.2</v>
      </c>
      <c r="I13">
        <f>'数据-基础表'!M23</f>
        <v>0</v>
      </c>
      <c r="J13">
        <f>'数据-基础表'!O23</f>
        <v>0</v>
      </c>
      <c r="K13">
        <f>'数据-基础表'!AL23</f>
        <v>0</v>
      </c>
      <c r="L13">
        <f>'数据-基础表'!AN23</f>
        <v>322.13</v>
      </c>
      <c r="M13" s="2954" t="s">
        <v>3360</v>
      </c>
      <c r="N13" s="2982">
        <f t="shared" si="0"/>
        <v>0.7</v>
      </c>
    </row>
    <row r="14" spans="1:19">
      <c r="C14" t="str">
        <f>'数据-基础表'!C24</f>
        <v>低基配电室1</v>
      </c>
      <c r="F14" s="2954"/>
      <c r="G14">
        <f>'数据-基础表'!I24-'数据-基础表'!J24</f>
        <v>0</v>
      </c>
      <c r="H14">
        <f>'数据-基础表'!K24</f>
        <v>0</v>
      </c>
      <c r="I14">
        <f>'数据-基础表'!M24</f>
        <v>0</v>
      </c>
      <c r="J14">
        <f>'数据-基础表'!O24</f>
        <v>0</v>
      </c>
      <c r="K14">
        <f>'数据-基础表'!AL24</f>
        <v>186.96</v>
      </c>
      <c r="L14">
        <f>'数据-基础表'!AN24</f>
        <v>0</v>
      </c>
      <c r="M14" s="2954" t="s">
        <v>3360</v>
      </c>
      <c r="N14" s="2982">
        <f t="shared" si="0"/>
        <v>0.7</v>
      </c>
    </row>
    <row r="15" spans="1:19">
      <c r="C15" t="str">
        <f>'数据-基础表'!C25</f>
        <v>低基配电室2</v>
      </c>
      <c r="F15" s="2954"/>
      <c r="G15">
        <f>'数据-基础表'!I25-'数据-基础表'!J25</f>
        <v>0</v>
      </c>
      <c r="H15">
        <f>'数据-基础表'!K25</f>
        <v>0</v>
      </c>
      <c r="I15">
        <f>'数据-基础表'!M25</f>
        <v>0</v>
      </c>
      <c r="J15">
        <f>'数据-基础表'!O25</f>
        <v>0</v>
      </c>
      <c r="K15">
        <f>'数据-基础表'!AL25</f>
        <v>180</v>
      </c>
      <c r="L15">
        <f>'数据-基础表'!AN25</f>
        <v>0</v>
      </c>
      <c r="M15" s="2954" t="s">
        <v>3360</v>
      </c>
      <c r="N15" s="2982">
        <f t="shared" si="0"/>
        <v>0.7</v>
      </c>
    </row>
    <row r="16" spans="1:19">
      <c r="C16" t="str">
        <f>'数据-基础表'!C26</f>
        <v>中水处理站</v>
      </c>
      <c r="F16" s="2954"/>
      <c r="G16">
        <f>'数据-基础表'!I26-'数据-基础表'!J26</f>
        <v>0</v>
      </c>
      <c r="H16">
        <f>'数据-基础表'!K26</f>
        <v>0</v>
      </c>
      <c r="I16">
        <f>'数据-基础表'!M26</f>
        <v>0</v>
      </c>
      <c r="J16">
        <f>'数据-基础表'!O26</f>
        <v>0</v>
      </c>
      <c r="K16">
        <f>'数据-基础表'!AL26</f>
        <v>26.5</v>
      </c>
      <c r="L16">
        <f>'数据-基础表'!AN26</f>
        <v>300</v>
      </c>
      <c r="M16" s="2954" t="s">
        <v>3360</v>
      </c>
      <c r="N16" s="2982">
        <f t="shared" si="0"/>
        <v>0.7</v>
      </c>
    </row>
    <row r="17" spans="1:14">
      <c r="A17">
        <f>'数据-基础表'!G27-'数据-基础表'!J27-'数据-基础表'!AT27-'数据-基础表'!AC27</f>
        <v>668.79000000000246</v>
      </c>
      <c r="C17" t="str">
        <f>'数据-基础表'!C27</f>
        <v>23#住宅</v>
      </c>
      <c r="D17">
        <v>4</v>
      </c>
      <c r="F17" s="2954" t="s">
        <v>3098</v>
      </c>
      <c r="G17">
        <f>'数据-基础表'!I27-'数据-基础表'!J27</f>
        <v>0</v>
      </c>
      <c r="H17">
        <f>'数据-基础表'!K27</f>
        <v>668.79</v>
      </c>
      <c r="I17">
        <f>'数据-基础表'!M27</f>
        <v>0</v>
      </c>
      <c r="J17">
        <f>'数据-基础表'!O27</f>
        <v>0</v>
      </c>
      <c r="K17">
        <f>'数据-基础表'!AL27</f>
        <v>0</v>
      </c>
      <c r="L17">
        <f>'数据-基础表'!AN27</f>
        <v>0</v>
      </c>
      <c r="M17" s="2954" t="s">
        <v>3360</v>
      </c>
      <c r="N17" s="2982">
        <f t="shared" si="0"/>
        <v>0.7</v>
      </c>
    </row>
    <row r="18" spans="1:14">
      <c r="A18">
        <f>'数据-基础表'!G28-'数据-基础表'!J28-'数据-基础表'!AT28</f>
        <v>3355.62</v>
      </c>
      <c r="C18" t="str">
        <f>'数据-基础表'!C28</f>
        <v>25#住宅</v>
      </c>
      <c r="D18">
        <v>4</v>
      </c>
      <c r="F18" s="2954" t="s">
        <v>3098</v>
      </c>
      <c r="G18">
        <f>'数据-基础表'!I28-'数据-基础表'!J28</f>
        <v>2635.23</v>
      </c>
      <c r="H18">
        <f>'数据-基础表'!K28</f>
        <v>720.39</v>
      </c>
      <c r="I18">
        <f>'数据-基础表'!M28</f>
        <v>0</v>
      </c>
      <c r="J18">
        <f>'数据-基础表'!O28</f>
        <v>0</v>
      </c>
      <c r="K18">
        <f>'数据-基础表'!AL28</f>
        <v>0</v>
      </c>
      <c r="L18">
        <f>'数据-基础表'!AN28</f>
        <v>0</v>
      </c>
      <c r="M18" s="2954" t="s">
        <v>3360</v>
      </c>
      <c r="N18" s="2982">
        <f t="shared" si="0"/>
        <v>0.7</v>
      </c>
    </row>
    <row r="19" spans="1:14">
      <c r="A19">
        <f>'数据-基础表'!G29-'数据-基础表'!J29-'数据-基础表'!AT29-'数据-基础表'!AC29</f>
        <v>7099.95</v>
      </c>
      <c r="C19" t="str">
        <f>'数据-基础表'!C29</f>
        <v>26#住宅</v>
      </c>
      <c r="D19">
        <v>4</v>
      </c>
      <c r="F19" s="2954" t="s">
        <v>3098</v>
      </c>
      <c r="G19">
        <f>'数据-基础表'!I29-'数据-基础表'!J29</f>
        <v>6537.12</v>
      </c>
      <c r="H19">
        <f>'数据-基础表'!K29</f>
        <v>562.83000000000004</v>
      </c>
      <c r="I19">
        <f>'数据-基础表'!M29</f>
        <v>0</v>
      </c>
      <c r="J19">
        <f>'数据-基础表'!O29</f>
        <v>0</v>
      </c>
      <c r="K19">
        <f>'数据-基础表'!AL29</f>
        <v>15.99</v>
      </c>
      <c r="L19">
        <f>'数据-基础表'!AN29</f>
        <v>0</v>
      </c>
      <c r="M19" s="2954" t="s">
        <v>3360</v>
      </c>
      <c r="N19" s="2982">
        <f t="shared" si="0"/>
        <v>0.7</v>
      </c>
    </row>
    <row r="20" spans="1:14">
      <c r="A20">
        <f>'数据-基础表'!G30-'数据-基础表'!J30-'数据-基础表'!AT30</f>
        <v>3793.75</v>
      </c>
      <c r="C20" t="str">
        <f>'数据-基础表'!C30</f>
        <v>29#住宅</v>
      </c>
      <c r="D20">
        <v>4</v>
      </c>
      <c r="F20" s="2954" t="s">
        <v>3098</v>
      </c>
      <c r="G20">
        <f>'数据-基础表'!I30-'数据-基础表'!J30</f>
        <v>2890.14</v>
      </c>
      <c r="H20">
        <f>'数据-基础表'!K30</f>
        <v>903.61</v>
      </c>
      <c r="I20">
        <f>'数据-基础表'!M30</f>
        <v>0</v>
      </c>
      <c r="J20">
        <f>'数据-基础表'!O30</f>
        <v>0</v>
      </c>
      <c r="K20">
        <f>'数据-基础表'!AL30</f>
        <v>0</v>
      </c>
      <c r="L20">
        <f>'数据-基础表'!AN30</f>
        <v>0</v>
      </c>
      <c r="M20" s="2954" t="s">
        <v>3360</v>
      </c>
      <c r="N20" s="2982">
        <f t="shared" si="0"/>
        <v>0.7</v>
      </c>
    </row>
    <row r="21" spans="1:14">
      <c r="A21">
        <f>'数据-基础表'!G31-'数据-基础表'!J31-'数据-基础表'!AT31</f>
        <v>3425.54</v>
      </c>
      <c r="C21" t="str">
        <f>'数据-基础表'!C31</f>
        <v>33#住宅</v>
      </c>
      <c r="D21">
        <v>5</v>
      </c>
      <c r="F21" s="2954" t="s">
        <v>3098</v>
      </c>
      <c r="G21">
        <f>'数据-基础表'!I31-'数据-基础表'!J31</f>
        <v>3425.54</v>
      </c>
      <c r="H21">
        <f>'数据-基础表'!K31</f>
        <v>0</v>
      </c>
      <c r="I21">
        <f>'数据-基础表'!M31</f>
        <v>0</v>
      </c>
      <c r="J21">
        <f>'数据-基础表'!O31</f>
        <v>0</v>
      </c>
      <c r="K21">
        <f>'数据-基础表'!AL31</f>
        <v>0</v>
      </c>
      <c r="L21">
        <f>'数据-基础表'!AN31</f>
        <v>0</v>
      </c>
      <c r="M21" s="2954" t="s">
        <v>3360</v>
      </c>
      <c r="N21" s="2982">
        <f t="shared" si="0"/>
        <v>0.7</v>
      </c>
    </row>
    <row r="22" spans="1:14">
      <c r="A22">
        <f>'数据-基础表'!G32-'数据-基础表'!J32-'数据-基础表'!AT32</f>
        <v>6689.84</v>
      </c>
      <c r="C22" t="str">
        <f>'数据-基础表'!C32</f>
        <v>34#住宅</v>
      </c>
      <c r="D22">
        <v>6</v>
      </c>
      <c r="F22" s="2954" t="s">
        <v>3098</v>
      </c>
      <c r="G22">
        <f>'数据-基础表'!I32-'数据-基础表'!J32</f>
        <v>6689.84</v>
      </c>
      <c r="H22">
        <f>'数据-基础表'!K32</f>
        <v>0</v>
      </c>
      <c r="I22">
        <f>'数据-基础表'!M32</f>
        <v>0</v>
      </c>
      <c r="J22">
        <f>'数据-基础表'!O32</f>
        <v>0</v>
      </c>
      <c r="K22">
        <f>'数据-基础表'!AL32</f>
        <v>0</v>
      </c>
      <c r="L22">
        <f>'数据-基础表'!AN32</f>
        <v>0</v>
      </c>
      <c r="M22" s="2954" t="s">
        <v>3360</v>
      </c>
      <c r="N22" s="2982">
        <f t="shared" si="0"/>
        <v>0.7</v>
      </c>
    </row>
    <row r="23" spans="1:14">
      <c r="A23">
        <f>'数据-基础表'!G33-'数据-基础表'!J33-'数据-基础表'!AT33</f>
        <v>1174.6600000000001</v>
      </c>
      <c r="B23" s="2954" t="s">
        <v>3093</v>
      </c>
      <c r="C23" t="str">
        <f>'数据-基础表'!C33</f>
        <v>1#住宅</v>
      </c>
      <c r="D23">
        <v>4</v>
      </c>
      <c r="E23">
        <v>2</v>
      </c>
      <c r="F23" s="2954" t="s">
        <v>3099</v>
      </c>
      <c r="G23">
        <f>'数据-基础表'!I33-'数据-基础表'!J33</f>
        <v>836.81</v>
      </c>
      <c r="H23">
        <f>'数据-基础表'!K33</f>
        <v>0</v>
      </c>
      <c r="I23">
        <f>'数据-基础表'!M33</f>
        <v>265.91000000000003</v>
      </c>
      <c r="J23">
        <f>'数据-基础表'!O33</f>
        <v>0</v>
      </c>
      <c r="K23">
        <f>'数据-基础表'!AL33</f>
        <v>0</v>
      </c>
      <c r="L23">
        <f>'数据-基础表'!AN33</f>
        <v>71.94</v>
      </c>
      <c r="M23" s="2954" t="s">
        <v>3361</v>
      </c>
      <c r="N23" s="2982">
        <v>0</v>
      </c>
    </row>
    <row r="24" spans="1:14">
      <c r="A24">
        <f>'数据-基础表'!G34-'数据-基础表'!J34-'数据-基础表'!AT34</f>
        <v>2315.02</v>
      </c>
      <c r="C24" t="str">
        <f>'数据-基础表'!C34</f>
        <v>2#住宅</v>
      </c>
      <c r="D24">
        <v>4</v>
      </c>
      <c r="E24">
        <v>2</v>
      </c>
      <c r="F24" s="2954" t="s">
        <v>3099</v>
      </c>
      <c r="G24">
        <f>'数据-基础表'!I34-'数据-基础表'!J34</f>
        <v>1644.34</v>
      </c>
      <c r="H24">
        <f>'数据-基础表'!K34</f>
        <v>0</v>
      </c>
      <c r="I24">
        <f>'数据-基础表'!M34</f>
        <v>523.25</v>
      </c>
      <c r="J24">
        <f>'数据-基础表'!O34</f>
        <v>0</v>
      </c>
      <c r="K24">
        <f>'数据-基础表'!AL34</f>
        <v>3.75</v>
      </c>
      <c r="L24">
        <f>'数据-基础表'!AN34</f>
        <v>143.68</v>
      </c>
      <c r="M24" s="2954" t="s">
        <v>3361</v>
      </c>
      <c r="N24" s="2982">
        <v>0</v>
      </c>
    </row>
    <row r="25" spans="1:14">
      <c r="A25">
        <f>'数据-基础表'!G35-'数据-基础表'!J35-'数据-基础表'!AT35</f>
        <v>2309.2499999999995</v>
      </c>
      <c r="C25" t="str">
        <f>'数据-基础表'!C35</f>
        <v>3#住宅</v>
      </c>
      <c r="D25">
        <v>4</v>
      </c>
      <c r="E25">
        <v>2</v>
      </c>
      <c r="F25" s="2954" t="s">
        <v>3099</v>
      </c>
      <c r="G25">
        <f>'数据-基础表'!I35-'数据-基础表'!J35</f>
        <v>1644.34</v>
      </c>
      <c r="H25">
        <f>'数据-基础表'!K35</f>
        <v>0</v>
      </c>
      <c r="I25">
        <f>'数据-基础表'!M35</f>
        <v>521.23</v>
      </c>
      <c r="J25">
        <f>'数据-基础表'!O35</f>
        <v>0</v>
      </c>
      <c r="K25">
        <f>'数据-基础表'!AL35</f>
        <v>0</v>
      </c>
      <c r="L25">
        <f>'数据-基础表'!AN35</f>
        <v>143.68</v>
      </c>
      <c r="M25" s="2954" t="s">
        <v>3361</v>
      </c>
      <c r="N25" s="2982">
        <v>0</v>
      </c>
    </row>
    <row r="26" spans="1:14">
      <c r="A26">
        <f>'数据-基础表'!G36-'数据-基础表'!J36-'数据-基础表'!AT36</f>
        <v>1520.63</v>
      </c>
      <c r="C26" t="str">
        <f>'数据-基础表'!C36</f>
        <v>4#住宅</v>
      </c>
      <c r="D26">
        <v>3</v>
      </c>
      <c r="E26">
        <v>2</v>
      </c>
      <c r="F26" s="2954" t="s">
        <v>3100</v>
      </c>
      <c r="G26">
        <f>'数据-基础表'!I36-'数据-基础表'!J36</f>
        <v>1008.99</v>
      </c>
      <c r="H26">
        <f>'数据-基础表'!K36</f>
        <v>0</v>
      </c>
      <c r="I26">
        <f>'数据-基础表'!M36</f>
        <v>507.69</v>
      </c>
      <c r="J26">
        <f>'数据-基础表'!O36</f>
        <v>0</v>
      </c>
      <c r="K26">
        <f>'数据-基础表'!AL36</f>
        <v>3.95</v>
      </c>
      <c r="L26">
        <f>'数据-基础表'!AN36</f>
        <v>0</v>
      </c>
      <c r="M26" s="2954" t="s">
        <v>3361</v>
      </c>
      <c r="N26" s="2982">
        <v>0</v>
      </c>
    </row>
    <row r="27" spans="1:14">
      <c r="A27">
        <f>'数据-基础表'!G37-'数据-基础表'!J37-'数据-基础表'!AT37</f>
        <v>2306.39</v>
      </c>
      <c r="C27" t="str">
        <f>'数据-基础表'!C37</f>
        <v>5#住宅</v>
      </c>
      <c r="D27">
        <v>4</v>
      </c>
      <c r="E27">
        <v>2</v>
      </c>
      <c r="F27" s="2954" t="s">
        <v>3099</v>
      </c>
      <c r="G27">
        <f>'数据-基础表'!I37-'数据-基础表'!J37</f>
        <v>1644.34</v>
      </c>
      <c r="H27">
        <f>'数据-基础表'!K37</f>
        <v>0</v>
      </c>
      <c r="I27">
        <f>'数据-基础表'!M37</f>
        <v>518.37</v>
      </c>
      <c r="J27">
        <f>'数据-基础表'!O37</f>
        <v>0</v>
      </c>
      <c r="K27">
        <f>'数据-基础表'!AL37</f>
        <v>0</v>
      </c>
      <c r="L27">
        <f>'数据-基础表'!AN37</f>
        <v>143.68</v>
      </c>
      <c r="M27" s="2954" t="s">
        <v>3361</v>
      </c>
      <c r="N27" s="2982">
        <v>0</v>
      </c>
    </row>
    <row r="28" spans="1:14">
      <c r="A28">
        <f>'数据-基础表'!G38-'数据-基础表'!J38-'数据-基础表'!AT38</f>
        <v>2314.1899999999996</v>
      </c>
      <c r="C28" t="str">
        <f>'数据-基础表'!C38</f>
        <v>6#住宅</v>
      </c>
      <c r="D28">
        <v>4</v>
      </c>
      <c r="E28">
        <v>2</v>
      </c>
      <c r="F28" s="2954" t="s">
        <v>3099</v>
      </c>
      <c r="G28">
        <f>'数据-基础表'!I38-'数据-基础表'!J38</f>
        <v>1644.34</v>
      </c>
      <c r="H28">
        <f>'数据-基础表'!K38</f>
        <v>0</v>
      </c>
      <c r="I28">
        <f>'数据-基础表'!M38</f>
        <v>526.16999999999996</v>
      </c>
      <c r="J28">
        <f>'数据-基础表'!O38</f>
        <v>0</v>
      </c>
      <c r="K28">
        <f>'数据-基础表'!AL38</f>
        <v>0</v>
      </c>
      <c r="L28">
        <f>'数据-基础表'!AN38</f>
        <v>143.68</v>
      </c>
      <c r="M28" s="2954" t="s">
        <v>3361</v>
      </c>
      <c r="N28" s="2982">
        <v>0</v>
      </c>
    </row>
    <row r="29" spans="1:14">
      <c r="A29">
        <f>'数据-基础表'!G39-'数据-基础表'!J39-'数据-基础表'!AT39</f>
        <v>2311.0699999999997</v>
      </c>
      <c r="C29" t="str">
        <f>'数据-基础表'!C39</f>
        <v>7#住宅</v>
      </c>
      <c r="D29">
        <v>4</v>
      </c>
      <c r="E29">
        <v>2</v>
      </c>
      <c r="F29" s="2954" t="s">
        <v>3099</v>
      </c>
      <c r="G29">
        <f>'数据-基础表'!I39-'数据-基础表'!J39</f>
        <v>1644.34</v>
      </c>
      <c r="H29">
        <f>'数据-基础表'!K39</f>
        <v>0</v>
      </c>
      <c r="I29">
        <f>'数据-基础表'!M39</f>
        <v>523.04999999999995</v>
      </c>
      <c r="J29">
        <f>'数据-基础表'!O39</f>
        <v>0</v>
      </c>
      <c r="K29">
        <f>'数据-基础表'!AL39</f>
        <v>0</v>
      </c>
      <c r="L29">
        <f>'数据-基础表'!AN39</f>
        <v>143.68</v>
      </c>
      <c r="M29" s="2954" t="s">
        <v>3361</v>
      </c>
      <c r="N29" s="2982">
        <v>0</v>
      </c>
    </row>
    <row r="30" spans="1:14">
      <c r="A30">
        <f>'数据-基础表'!G40-'数据-基础表'!J40-'数据-基础表'!AT40</f>
        <v>2314.7099999999996</v>
      </c>
      <c r="C30" t="str">
        <f>'数据-基础表'!C40</f>
        <v>8#住宅</v>
      </c>
      <c r="D30">
        <v>4</v>
      </c>
      <c r="E30">
        <v>2</v>
      </c>
      <c r="F30" s="2954" t="s">
        <v>3099</v>
      </c>
      <c r="G30">
        <f>'数据-基础表'!I40-'数据-基础表'!J40</f>
        <v>1644.34</v>
      </c>
      <c r="H30">
        <f>'数据-基础表'!K40</f>
        <v>0</v>
      </c>
      <c r="I30">
        <f>'数据-基础表'!M40</f>
        <v>526.69000000000005</v>
      </c>
      <c r="J30">
        <f>'数据-基础表'!O40</f>
        <v>0</v>
      </c>
      <c r="K30">
        <f>'数据-基础表'!AL40</f>
        <v>0</v>
      </c>
      <c r="L30">
        <f>'数据-基础表'!AN40</f>
        <v>143.68</v>
      </c>
      <c r="M30" s="2954" t="s">
        <v>3361</v>
      </c>
      <c r="N30" s="2982">
        <v>0</v>
      </c>
    </row>
    <row r="31" spans="1:14">
      <c r="A31">
        <f>'数据-基础表'!G41-'数据-基础表'!J41-'数据-基础表'!AT41</f>
        <v>1517.18</v>
      </c>
      <c r="C31" t="str">
        <f>'数据-基础表'!C41</f>
        <v>9#住宅</v>
      </c>
      <c r="D31">
        <v>3</v>
      </c>
      <c r="E31">
        <v>2</v>
      </c>
      <c r="F31" s="2954" t="s">
        <v>3100</v>
      </c>
      <c r="G31">
        <f>'数据-基础表'!I41-'数据-基础表'!J41</f>
        <v>1009.49</v>
      </c>
      <c r="H31">
        <f>'数据-基础表'!K41</f>
        <v>0</v>
      </c>
      <c r="I31">
        <f>'数据-基础表'!M41</f>
        <v>507.69</v>
      </c>
      <c r="J31">
        <f>'数据-基础表'!O41</f>
        <v>0</v>
      </c>
      <c r="K31">
        <f>'数据-基础表'!AL41</f>
        <v>0</v>
      </c>
      <c r="L31">
        <f>'数据-基础表'!AN41</f>
        <v>0</v>
      </c>
      <c r="M31" s="2954" t="s">
        <v>3361</v>
      </c>
      <c r="N31" s="2982">
        <v>0</v>
      </c>
    </row>
    <row r="32" spans="1:14">
      <c r="A32">
        <f>'数据-基础表'!G42-'数据-基础表'!J42-'数据-基础表'!AT42</f>
        <v>2308.54</v>
      </c>
      <c r="C32" t="str">
        <f>'数据-基础表'!C42</f>
        <v>10#住宅</v>
      </c>
      <c r="D32">
        <v>4</v>
      </c>
      <c r="E32">
        <v>2</v>
      </c>
      <c r="F32" s="2954" t="s">
        <v>3099</v>
      </c>
      <c r="G32">
        <f>'数据-基础表'!I42-'数据-基础表'!J42</f>
        <v>1644.34</v>
      </c>
      <c r="H32">
        <f>'数据-基础表'!K42</f>
        <v>0</v>
      </c>
      <c r="I32">
        <f>'数据-基础表'!M42</f>
        <v>655.74</v>
      </c>
      <c r="J32">
        <f>'数据-基础表'!O42</f>
        <v>0</v>
      </c>
      <c r="K32">
        <f>'数据-基础表'!AL42</f>
        <v>8.4600000000000009</v>
      </c>
      <c r="L32">
        <f>'数据-基础表'!AN42</f>
        <v>0</v>
      </c>
      <c r="M32" s="2954" t="s">
        <v>3361</v>
      </c>
      <c r="N32" s="2982">
        <v>0</v>
      </c>
    </row>
    <row r="33" spans="1:14">
      <c r="A33">
        <f>'数据-基础表'!G43-'数据-基础表'!J43-'数据-基础表'!AT43</f>
        <v>3404.41</v>
      </c>
      <c r="C33" t="str">
        <f>'数据-基础表'!C43</f>
        <v>11#住宅</v>
      </c>
      <c r="D33">
        <v>4</v>
      </c>
      <c r="E33">
        <v>2</v>
      </c>
      <c r="F33" s="2954" t="s">
        <v>3099</v>
      </c>
      <c r="G33">
        <f>'数据-基础表'!I43-'数据-基础表'!J43</f>
        <v>2420.63</v>
      </c>
      <c r="H33">
        <f>'数据-基础表'!K43</f>
        <v>0</v>
      </c>
      <c r="I33">
        <f>'数据-基础表'!M43</f>
        <v>983.78</v>
      </c>
      <c r="J33">
        <f>'数据-基础表'!O43</f>
        <v>0</v>
      </c>
      <c r="K33">
        <f>'数据-基础表'!AL43</f>
        <v>0</v>
      </c>
      <c r="L33">
        <f>'数据-基础表'!AN43</f>
        <v>0</v>
      </c>
      <c r="M33" s="2954" t="s">
        <v>3361</v>
      </c>
      <c r="N33" s="2982">
        <v>0</v>
      </c>
    </row>
    <row r="34" spans="1:14">
      <c r="A34">
        <f>'数据-基础表'!G44-'数据-基础表'!J44-'数据-基础表'!AT44</f>
        <v>3391.63</v>
      </c>
      <c r="C34" t="str">
        <f>'数据-基础表'!C44</f>
        <v>12#住宅</v>
      </c>
      <c r="D34">
        <v>4</v>
      </c>
      <c r="E34">
        <v>2</v>
      </c>
      <c r="F34" s="2954" t="s">
        <v>3099</v>
      </c>
      <c r="G34">
        <f>'数据-基础表'!I44-'数据-基础表'!J44</f>
        <v>2420.63</v>
      </c>
      <c r="H34">
        <f>'数据-基础表'!K44</f>
        <v>0</v>
      </c>
      <c r="I34">
        <f>'数据-基础表'!M44</f>
        <v>960.02</v>
      </c>
      <c r="J34">
        <f>'数据-基础表'!O44</f>
        <v>0</v>
      </c>
      <c r="K34">
        <f>'数据-基础表'!AL44</f>
        <v>10.98</v>
      </c>
      <c r="L34">
        <f>'数据-基础表'!AN44</f>
        <v>0</v>
      </c>
      <c r="M34" s="2954" t="s">
        <v>3361</v>
      </c>
      <c r="N34" s="2982">
        <v>0</v>
      </c>
    </row>
    <row r="35" spans="1:14">
      <c r="A35">
        <f>'数据-基础表'!G45-'数据-基础表'!J45-'数据-基础表'!AT45</f>
        <v>2305.7199999999998</v>
      </c>
      <c r="C35" t="str">
        <f>'数据-基础表'!C45</f>
        <v>13#住宅</v>
      </c>
      <c r="D35">
        <v>4</v>
      </c>
      <c r="E35">
        <v>2</v>
      </c>
      <c r="F35" s="2954" t="s">
        <v>3099</v>
      </c>
      <c r="G35">
        <f>'数据-基础表'!I45-'数据-基础表'!J45</f>
        <v>1644.33</v>
      </c>
      <c r="H35">
        <f>'数据-基础表'!K45</f>
        <v>0</v>
      </c>
      <c r="I35">
        <f>'数据-基础表'!M45</f>
        <v>650.41</v>
      </c>
      <c r="J35">
        <f>'数据-基础表'!O45</f>
        <v>0</v>
      </c>
      <c r="K35">
        <f>'数据-基础表'!AL45</f>
        <v>10.98</v>
      </c>
      <c r="L35">
        <f>'数据-基础表'!AN45</f>
        <v>0</v>
      </c>
      <c r="M35" s="2954" t="s">
        <v>3361</v>
      </c>
      <c r="N35" s="2982">
        <v>0</v>
      </c>
    </row>
    <row r="36" spans="1:14">
      <c r="A36">
        <f>'数据-基础表'!G46-'数据-基础表'!J46-'数据-基础表'!AT46</f>
        <v>2700.47</v>
      </c>
      <c r="C36" s="2955" t="str">
        <f>'数据-基础表'!C46</f>
        <v>14#住宅</v>
      </c>
      <c r="D36" s="2955">
        <v>3</v>
      </c>
      <c r="E36" s="2955">
        <v>2</v>
      </c>
      <c r="F36" s="2954" t="s">
        <v>3098</v>
      </c>
      <c r="G36">
        <f>'数据-基础表'!I46-'数据-基础表'!J46</f>
        <v>1000.68</v>
      </c>
      <c r="H36">
        <f>'数据-基础表'!K46</f>
        <v>519.41999999999996</v>
      </c>
      <c r="I36">
        <f>'数据-基础表'!M46</f>
        <v>0</v>
      </c>
      <c r="J36">
        <f>'数据-基础表'!O46</f>
        <v>0</v>
      </c>
      <c r="K36">
        <f>'数据-基础表'!AL46</f>
        <v>3.36</v>
      </c>
      <c r="L36">
        <f>'数据-基础表'!AN46</f>
        <v>1177.01</v>
      </c>
      <c r="M36" s="2954" t="s">
        <v>3361</v>
      </c>
      <c r="N36" s="2982">
        <v>0</v>
      </c>
    </row>
    <row r="37" spans="1:14">
      <c r="A37">
        <f>'数据-基础表'!G47-'数据-基础表'!J47-'数据-基础表'!AT47</f>
        <v>4524.82</v>
      </c>
      <c r="C37" t="str">
        <f>'数据-基础表'!C47</f>
        <v>15#住宅</v>
      </c>
      <c r="D37">
        <v>4</v>
      </c>
      <c r="E37">
        <v>3</v>
      </c>
      <c r="F37" s="2954" t="s">
        <v>3098</v>
      </c>
      <c r="G37">
        <f>'数据-基础表'!I47-'数据-基础表'!J47</f>
        <v>2595.46</v>
      </c>
      <c r="H37">
        <f>'数据-基础表'!K47</f>
        <v>0</v>
      </c>
      <c r="I37">
        <f>'数据-基础表'!M47</f>
        <v>0</v>
      </c>
      <c r="J37">
        <f>'数据-基础表'!O47</f>
        <v>0</v>
      </c>
      <c r="K37">
        <f>'数据-基础表'!AL47</f>
        <v>9.1199999999999992</v>
      </c>
      <c r="L37">
        <f>'数据-基础表'!AN47</f>
        <v>1920.2399999999998</v>
      </c>
      <c r="M37" s="2954" t="s">
        <v>3361</v>
      </c>
      <c r="N37" s="2982">
        <v>0</v>
      </c>
    </row>
    <row r="38" spans="1:14">
      <c r="A38">
        <f>'数据-基础表'!G48-'数据-基础表'!J48-'数据-基础表'!AT48</f>
        <v>5097.12</v>
      </c>
      <c r="C38" t="str">
        <f>'数据-基础表'!C48</f>
        <v>16#住宅</v>
      </c>
      <c r="D38">
        <v>5</v>
      </c>
      <c r="E38">
        <v>3</v>
      </c>
      <c r="F38" s="2954" t="s">
        <v>3098</v>
      </c>
      <c r="G38">
        <f>'数据-基础表'!I48-'数据-基础表'!J48</f>
        <v>3233.29</v>
      </c>
      <c r="H38">
        <f>'数据-基础表'!K48</f>
        <v>0</v>
      </c>
      <c r="I38">
        <f>'数据-基础表'!M48</f>
        <v>0</v>
      </c>
      <c r="J38">
        <f>'数据-基础表'!O48</f>
        <v>0</v>
      </c>
      <c r="K38">
        <f>'数据-基础表'!AL48</f>
        <v>0</v>
      </c>
      <c r="L38">
        <f>'数据-基础表'!AN48</f>
        <v>1863.83</v>
      </c>
      <c r="M38" s="2954" t="s">
        <v>3361</v>
      </c>
      <c r="N38" s="2982">
        <v>0</v>
      </c>
    </row>
    <row r="39" spans="1:14">
      <c r="A39">
        <f>'数据-基础表'!G49-'数据-基础表'!J49-'数据-基础表'!AT49</f>
        <v>4716.6499999999996</v>
      </c>
      <c r="C39" t="str">
        <f>'数据-基础表'!C49</f>
        <v>17#住宅</v>
      </c>
      <c r="D39">
        <v>5</v>
      </c>
      <c r="E39">
        <v>3</v>
      </c>
      <c r="F39" s="2954" t="s">
        <v>3098</v>
      </c>
      <c r="G39">
        <f>'数据-基础表'!I49-'数据-基础表'!J49</f>
        <v>2956.92</v>
      </c>
      <c r="H39">
        <f>'数据-基础表'!K49</f>
        <v>0</v>
      </c>
      <c r="I39">
        <f>'数据-基础表'!M49</f>
        <v>0</v>
      </c>
      <c r="J39">
        <f>'数据-基础表'!O49</f>
        <v>0</v>
      </c>
      <c r="K39">
        <f>'数据-基础表'!AL49</f>
        <v>0</v>
      </c>
      <c r="L39">
        <f>'数据-基础表'!AN49</f>
        <v>1759.73</v>
      </c>
      <c r="M39" s="2954" t="s">
        <v>3361</v>
      </c>
      <c r="N39" s="2982">
        <v>0</v>
      </c>
    </row>
    <row r="40" spans="1:14">
      <c r="A40">
        <f>'数据-基础表'!G50-'数据-基础表'!J50-'数据-基础表'!AT50</f>
        <v>3899.5200000000004</v>
      </c>
      <c r="C40" t="str">
        <f>'数据-基础表'!C50</f>
        <v>18#住宅</v>
      </c>
      <c r="D40">
        <v>4</v>
      </c>
      <c r="E40">
        <v>3</v>
      </c>
      <c r="F40" s="2954" t="s">
        <v>3098</v>
      </c>
      <c r="G40">
        <f>'数据-基础表'!I50-'数据-基础表'!J50</f>
        <v>2090.06</v>
      </c>
      <c r="H40">
        <f>'数据-基础表'!K50</f>
        <v>589.03</v>
      </c>
      <c r="I40">
        <f>'数据-基础表'!M50</f>
        <v>0</v>
      </c>
      <c r="J40">
        <f>'数据-基础表'!O50</f>
        <v>0</v>
      </c>
      <c r="K40">
        <f>'数据-基础表'!AL50</f>
        <v>8.6999999999999993</v>
      </c>
      <c r="L40">
        <f>'数据-基础表'!AN50</f>
        <v>1211.73</v>
      </c>
      <c r="M40" s="2954" t="s">
        <v>3361</v>
      </c>
      <c r="N40" s="2982">
        <v>0</v>
      </c>
    </row>
    <row r="41" spans="1:14">
      <c r="A41">
        <f>'数据-基础表'!G51-'数据-基础表'!J51-'数据-基础表'!AT51</f>
        <v>4005.1000000000004</v>
      </c>
      <c r="C41" s="2955" t="str">
        <f>'数据-基础表'!C51</f>
        <v>19#住宅</v>
      </c>
      <c r="D41" s="2955">
        <v>3</v>
      </c>
      <c r="E41" s="2955">
        <v>2</v>
      </c>
      <c r="F41" s="2954" t="s">
        <v>3098</v>
      </c>
      <c r="G41">
        <f>'数据-基础表'!I51-'数据-基础表'!J51</f>
        <v>1492</v>
      </c>
      <c r="H41">
        <f>'数据-基础表'!K51</f>
        <v>758.3</v>
      </c>
      <c r="I41">
        <f>'数据-基础表'!M51</f>
        <v>0</v>
      </c>
      <c r="J41">
        <f>'数据-基础表'!O51</f>
        <v>0</v>
      </c>
      <c r="K41">
        <f>'数据-基础表'!AL51</f>
        <v>4.42</v>
      </c>
      <c r="L41">
        <f>'数据-基础表'!AN51</f>
        <v>1750.38</v>
      </c>
      <c r="M41" s="2954" t="s">
        <v>3361</v>
      </c>
      <c r="N41" s="2982">
        <v>0</v>
      </c>
    </row>
    <row r="42" spans="1:14">
      <c r="A42">
        <f>'数据-基础表'!G52-'数据-基础表'!J52-'数据-基础表'!AT52</f>
        <v>4183.21</v>
      </c>
      <c r="C42" s="2955" t="str">
        <f>'数据-基础表'!C52</f>
        <v>20#住宅</v>
      </c>
      <c r="D42" s="2955">
        <v>4</v>
      </c>
      <c r="E42" s="2955">
        <v>3</v>
      </c>
      <c r="F42" s="2954" t="s">
        <v>3098</v>
      </c>
      <c r="G42">
        <f>'数据-基础表'!I52-'数据-基础表'!J52</f>
        <v>2112.1</v>
      </c>
      <c r="H42">
        <f>'数据-基础表'!K52</f>
        <v>608.53</v>
      </c>
      <c r="I42">
        <f>'数据-基础表'!M52</f>
        <v>0</v>
      </c>
      <c r="J42">
        <f>'数据-基础表'!O52</f>
        <v>0</v>
      </c>
      <c r="K42">
        <f>'数据-基础表'!AL52</f>
        <v>0</v>
      </c>
      <c r="L42">
        <f>'数据-基础表'!AN52</f>
        <v>1462.58</v>
      </c>
      <c r="M42" s="2954" t="s">
        <v>3361</v>
      </c>
      <c r="N42" s="2982">
        <v>0</v>
      </c>
    </row>
    <row r="43" spans="1:14">
      <c r="A43">
        <f>'数据-基础表'!G53-'数据-基础表'!J53-'数据-基础表'!AT53</f>
        <v>5682.43</v>
      </c>
      <c r="C43" t="str">
        <f>'数据-基础表'!C53</f>
        <v>21#住宅</v>
      </c>
      <c r="D43">
        <v>5</v>
      </c>
      <c r="E43">
        <v>3</v>
      </c>
      <c r="F43" s="2954" t="s">
        <v>3098</v>
      </c>
      <c r="G43">
        <f>'数据-基础表'!I53-'数据-基础表'!J53</f>
        <v>3645.85</v>
      </c>
      <c r="H43">
        <f>'数据-基础表'!K53</f>
        <v>0</v>
      </c>
      <c r="I43">
        <f>'数据-基础表'!M53</f>
        <v>0</v>
      </c>
      <c r="J43">
        <f>'数据-基础表'!O53</f>
        <v>0</v>
      </c>
      <c r="K43">
        <f>'数据-基础表'!AL53</f>
        <v>0</v>
      </c>
      <c r="L43">
        <f>'数据-基础表'!AN53</f>
        <v>2036.58</v>
      </c>
      <c r="M43" s="2954" t="s">
        <v>3361</v>
      </c>
      <c r="N43" s="2982">
        <v>0</v>
      </c>
    </row>
    <row r="44" spans="1:14">
      <c r="A44">
        <f>'数据-基础表'!G54-'数据-基础表'!J54-'数据-基础表'!AT54</f>
        <v>8837.98</v>
      </c>
      <c r="C44" t="str">
        <f>'数据-基础表'!C54</f>
        <v>22#住宅</v>
      </c>
      <c r="D44">
        <v>6</v>
      </c>
      <c r="E44">
        <v>3</v>
      </c>
      <c r="F44" s="2954" t="s">
        <v>3098</v>
      </c>
      <c r="G44">
        <f>'数据-基础表'!I54-'数据-基础表'!J54</f>
        <v>5710.81</v>
      </c>
      <c r="H44">
        <f>'数据-基础表'!K54</f>
        <v>0</v>
      </c>
      <c r="I44">
        <f>'数据-基础表'!M54</f>
        <v>0</v>
      </c>
      <c r="J44">
        <f>'数据-基础表'!O54</f>
        <v>0</v>
      </c>
      <c r="K44">
        <f>'数据-基础表'!AL54</f>
        <v>6.75</v>
      </c>
      <c r="L44">
        <f>'数据-基础表'!AN54</f>
        <v>3120.42</v>
      </c>
      <c r="M44" s="2954" t="s">
        <v>3361</v>
      </c>
      <c r="N44" s="2982">
        <v>0</v>
      </c>
    </row>
    <row r="45" spans="1:14">
      <c r="A45">
        <f>'数据-基础表'!G55-'数据-基础表'!J55-'数据-基础表'!AT55</f>
        <v>2827.34</v>
      </c>
      <c r="C45" s="2955" t="str">
        <f>'数据-基础表'!C55</f>
        <v>24#住宅</v>
      </c>
      <c r="D45" s="2955">
        <v>3</v>
      </c>
      <c r="E45" s="2955">
        <v>2</v>
      </c>
      <c r="F45" s="2954" t="s">
        <v>3098</v>
      </c>
      <c r="G45">
        <f>'数据-基础表'!I55-'数据-基础表'!J55</f>
        <v>1000.68</v>
      </c>
      <c r="H45">
        <f>'数据-基础表'!K55</f>
        <v>622.88</v>
      </c>
      <c r="I45">
        <f>'数据-基础表'!M55</f>
        <v>0</v>
      </c>
      <c r="J45">
        <f>'数据-基础表'!O55</f>
        <v>0</v>
      </c>
      <c r="K45">
        <f>'数据-基础表'!AL55</f>
        <v>3.36</v>
      </c>
      <c r="L45">
        <f>'数据-基础表'!AN55</f>
        <v>1165.0899999999999</v>
      </c>
      <c r="M45" s="2954" t="s">
        <v>3361</v>
      </c>
      <c r="N45" s="2982">
        <v>0</v>
      </c>
    </row>
    <row r="46" spans="1:14">
      <c r="A46">
        <f>'数据-基础表'!G56-'数据-基础表'!J56-'数据-基础表'!AT56</f>
        <v>5617.6</v>
      </c>
      <c r="C46" t="str">
        <f>'数据-基础表'!C56</f>
        <v>27#住宅</v>
      </c>
      <c r="D46">
        <v>5</v>
      </c>
      <c r="E46">
        <v>3</v>
      </c>
      <c r="F46" s="2954" t="s">
        <v>3098</v>
      </c>
      <c r="G46">
        <f>'数据-基础表'!I56-'数据-基础表'!J56</f>
        <v>3645.76</v>
      </c>
      <c r="H46">
        <f>'数据-基础表'!K56</f>
        <v>0</v>
      </c>
      <c r="I46">
        <f>'数据-基础表'!M56</f>
        <v>0</v>
      </c>
      <c r="J46">
        <f>'数据-基础表'!O56</f>
        <v>0</v>
      </c>
      <c r="K46">
        <f>'数据-基础表'!AL56</f>
        <v>0</v>
      </c>
      <c r="L46">
        <f>'数据-基础表'!AN56</f>
        <v>1971.84</v>
      </c>
      <c r="M46" s="2954" t="s">
        <v>3361</v>
      </c>
      <c r="N46" s="2982">
        <v>0</v>
      </c>
    </row>
    <row r="47" spans="1:14">
      <c r="A47">
        <f>'数据-基础表'!G57-'数据-基础表'!J57-'数据-基础表'!AT57</f>
        <v>7758.3899999999994</v>
      </c>
      <c r="C47" t="str">
        <f>'数据-基础表'!C57</f>
        <v>28#住宅</v>
      </c>
      <c r="D47">
        <v>6</v>
      </c>
      <c r="E47">
        <v>3</v>
      </c>
      <c r="F47" s="2954" t="s">
        <v>3098</v>
      </c>
      <c r="G47">
        <f>'数据-基础表'!I57-'数据-基础表'!J57</f>
        <v>4911.83</v>
      </c>
      <c r="H47">
        <f>'数据-基础表'!K57</f>
        <v>0</v>
      </c>
      <c r="I47">
        <f>'数据-基础表'!M57</f>
        <v>0</v>
      </c>
      <c r="J47">
        <f>'数据-基础表'!O57</f>
        <v>0</v>
      </c>
      <c r="K47">
        <f>'数据-基础表'!AL57</f>
        <v>3.66</v>
      </c>
      <c r="L47">
        <f>'数据-基础表'!AN57</f>
        <v>2842.9</v>
      </c>
      <c r="M47" s="2954" t="s">
        <v>3361</v>
      </c>
      <c r="N47" s="2982">
        <v>0</v>
      </c>
    </row>
    <row r="48" spans="1:14">
      <c r="A48">
        <f>'数据-基础表'!G58-'数据-基础表'!J58-'数据-基础表'!AT58</f>
        <v>57472.100000000006</v>
      </c>
      <c r="C48" t="str">
        <f>'数据-基础表'!C58</f>
        <v>地下车库及人防出入口</v>
      </c>
      <c r="G48">
        <f>'数据-基础表'!I58-'数据-基础表'!J58</f>
        <v>0</v>
      </c>
      <c r="H48">
        <f>'数据-基础表'!K58</f>
        <v>0</v>
      </c>
      <c r="I48">
        <f>'数据-基础表'!M58</f>
        <v>0</v>
      </c>
      <c r="J48">
        <f>'数据-基础表'!O58</f>
        <v>56260.9</v>
      </c>
      <c r="K48">
        <f>'数据-基础表'!AL58</f>
        <v>14.85</v>
      </c>
      <c r="L48">
        <f>'数据-基础表'!AN58</f>
        <v>1196.3499999999999</v>
      </c>
      <c r="M48" s="2954" t="s">
        <v>3361</v>
      </c>
      <c r="N48" s="2982">
        <v>0</v>
      </c>
    </row>
    <row r="49" spans="1:14">
      <c r="A49">
        <f>'数据-基础表'!G59-'数据-基础表'!J59-'数据-基础表'!AT59</f>
        <v>180</v>
      </c>
      <c r="C49" t="str">
        <f>'数据-基础表'!C59</f>
        <v>低基配电室</v>
      </c>
      <c r="G49">
        <f>'数据-基础表'!I59-'数据-基础表'!J59</f>
        <v>0</v>
      </c>
      <c r="H49">
        <f>'数据-基础表'!K59</f>
        <v>0</v>
      </c>
      <c r="I49">
        <f>'数据-基础表'!M59</f>
        <v>0</v>
      </c>
      <c r="J49">
        <f>'数据-基础表'!O59</f>
        <v>0</v>
      </c>
      <c r="K49">
        <f>'数据-基础表'!AL59</f>
        <v>180</v>
      </c>
      <c r="L49">
        <f>'数据-基础表'!AN59</f>
        <v>0</v>
      </c>
      <c r="M49" s="2954" t="s">
        <v>3361</v>
      </c>
      <c r="N49" s="2982">
        <v>0</v>
      </c>
    </row>
    <row r="50" spans="1:14">
      <c r="A50">
        <f>SUM(A3:A49)</f>
        <v>212264.80000000002</v>
      </c>
      <c r="G50">
        <f>SUM(G3:G49)</f>
        <v>112163.84999999999</v>
      </c>
      <c r="H50">
        <f>SUM(H3:H49)</f>
        <v>11127.55</v>
      </c>
      <c r="I50">
        <f>SUM(I3:I49)</f>
        <v>7670</v>
      </c>
      <c r="K50">
        <f>SUM(K3:K49)</f>
        <v>846.19000000000017</v>
      </c>
      <c r="L50">
        <f>SUM(L3:L49)</f>
        <v>26556.269999999997</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192"/>
  <sheetViews>
    <sheetView workbookViewId="0">
      <selection activeCell="L13" sqref="L13"/>
    </sheetView>
  </sheetViews>
  <sheetFormatPr defaultColWidth="9.08984375" defaultRowHeight="14"/>
  <cols>
    <col min="1" max="1" width="9.08984375" style="2960"/>
    <col min="2" max="2" width="10.7265625" style="1630" customWidth="1"/>
    <col min="3" max="3" width="14.7265625" style="1630" customWidth="1"/>
    <col min="4" max="4" width="9.08984375" style="1630"/>
    <col min="5" max="5" width="9.453125" style="1630" bestFit="1" customWidth="1"/>
    <col min="6" max="6" width="13.90625" style="1630" customWidth="1"/>
    <col min="7" max="7" width="10.90625" style="1630" customWidth="1"/>
    <col min="8" max="232" width="9.08984375" style="1630"/>
    <col min="233" max="233" width="10.7265625" style="1630" bestFit="1" customWidth="1"/>
    <col min="234" max="234" width="9.08984375" style="1630"/>
    <col min="235" max="235" width="20.7265625" style="1630" customWidth="1"/>
    <col min="236" max="236" width="16.7265625" style="1630" customWidth="1"/>
    <col min="237" max="237" width="9.453125" style="1630" bestFit="1" customWidth="1"/>
    <col min="238" max="238" width="13.90625" style="1630" customWidth="1"/>
    <col min="239" max="239" width="10.90625" style="1630" bestFit="1" customWidth="1"/>
    <col min="240" max="240" width="17.26953125" style="1630" customWidth="1"/>
    <col min="241" max="241" width="9.08984375" style="1630"/>
    <col min="242" max="242" width="14.453125" style="1630" bestFit="1" customWidth="1"/>
    <col min="243" max="243" width="17.08984375" style="1630" customWidth="1"/>
    <col min="244" max="244" width="14.453125" style="1630" customWidth="1"/>
    <col min="245" max="245" width="26.90625" style="1630" customWidth="1"/>
    <col min="246" max="246" width="26.7265625" style="1630" customWidth="1"/>
    <col min="247" max="248" width="9.08984375" style="1630"/>
    <col min="249" max="249" width="10.7265625" style="1630" customWidth="1"/>
    <col min="250" max="250" width="14.7265625" style="1630" customWidth="1"/>
    <col min="251" max="252" width="0" style="1630" hidden="1" customWidth="1"/>
    <col min="253" max="253" width="22.7265625" style="1630" customWidth="1"/>
    <col min="254" max="254" width="0" style="1630" hidden="1" customWidth="1"/>
    <col min="255" max="255" width="24.90625" style="1630" customWidth="1"/>
    <col min="256" max="256" width="25.26953125" style="1630" customWidth="1"/>
    <col min="257" max="257" width="20.7265625" style="1630" customWidth="1"/>
    <col min="258" max="258" width="13.90625" style="1630" customWidth="1"/>
    <col min="259" max="259" width="10.90625" style="1630" customWidth="1"/>
    <col min="260" max="260" width="16" style="1630" customWidth="1"/>
    <col min="261" max="262" width="17.453125" style="1630" customWidth="1"/>
    <col min="263" max="263" width="20.453125" style="1630" customWidth="1"/>
    <col min="264" max="488" width="9.08984375" style="1630"/>
    <col min="489" max="489" width="10.7265625" style="1630" bestFit="1" customWidth="1"/>
    <col min="490" max="490" width="9.08984375" style="1630"/>
    <col min="491" max="491" width="20.7265625" style="1630" customWidth="1"/>
    <col min="492" max="492" width="16.7265625" style="1630" customWidth="1"/>
    <col min="493" max="493" width="9.453125" style="1630" bestFit="1" customWidth="1"/>
    <col min="494" max="494" width="13.90625" style="1630" customWidth="1"/>
    <col min="495" max="495" width="10.90625" style="1630" bestFit="1" customWidth="1"/>
    <col min="496" max="496" width="17.26953125" style="1630" customWidth="1"/>
    <col min="497" max="497" width="9.08984375" style="1630"/>
    <col min="498" max="498" width="14.453125" style="1630" bestFit="1" customWidth="1"/>
    <col min="499" max="499" width="17.08984375" style="1630" customWidth="1"/>
    <col min="500" max="500" width="14.453125" style="1630" customWidth="1"/>
    <col min="501" max="501" width="26.90625" style="1630" customWidth="1"/>
    <col min="502" max="502" width="26.7265625" style="1630" customWidth="1"/>
    <col min="503" max="504" width="9.08984375" style="1630"/>
    <col min="505" max="505" width="10.7265625" style="1630" customWidth="1"/>
    <col min="506" max="506" width="14.7265625" style="1630" customWidth="1"/>
    <col min="507" max="508" width="0" style="1630" hidden="1" customWidth="1"/>
    <col min="509" max="509" width="22.7265625" style="1630" customWidth="1"/>
    <col min="510" max="510" width="0" style="1630" hidden="1" customWidth="1"/>
    <col min="511" max="511" width="24.90625" style="1630" customWidth="1"/>
    <col min="512" max="512" width="25.26953125" style="1630" customWidth="1"/>
    <col min="513" max="513" width="20.7265625" style="1630" customWidth="1"/>
    <col min="514" max="514" width="13.90625" style="1630" customWidth="1"/>
    <col min="515" max="515" width="10.90625" style="1630" customWidth="1"/>
    <col min="516" max="516" width="16" style="1630" customWidth="1"/>
    <col min="517" max="518" width="17.453125" style="1630" customWidth="1"/>
    <col min="519" max="519" width="20.453125" style="1630" customWidth="1"/>
    <col min="520" max="744" width="9.08984375" style="1630"/>
    <col min="745" max="745" width="10.7265625" style="1630" bestFit="1" customWidth="1"/>
    <col min="746" max="746" width="9.08984375" style="1630"/>
    <col min="747" max="747" width="20.7265625" style="1630" customWidth="1"/>
    <col min="748" max="748" width="16.7265625" style="1630" customWidth="1"/>
    <col min="749" max="749" width="9.453125" style="1630" bestFit="1" customWidth="1"/>
    <col min="750" max="750" width="13.90625" style="1630" customWidth="1"/>
    <col min="751" max="751" width="10.90625" style="1630" bestFit="1" customWidth="1"/>
    <col min="752" max="752" width="17.26953125" style="1630" customWidth="1"/>
    <col min="753" max="753" width="9.08984375" style="1630"/>
    <col min="754" max="754" width="14.453125" style="1630" bestFit="1" customWidth="1"/>
    <col min="755" max="755" width="17.08984375" style="1630" customWidth="1"/>
    <col min="756" max="756" width="14.453125" style="1630" customWidth="1"/>
    <col min="757" max="757" width="26.90625" style="1630" customWidth="1"/>
    <col min="758" max="758" width="26.7265625" style="1630" customWidth="1"/>
    <col min="759" max="760" width="9.08984375" style="1630"/>
    <col min="761" max="761" width="10.7265625" style="1630" customWidth="1"/>
    <col min="762" max="762" width="14.7265625" style="1630" customWidth="1"/>
    <col min="763" max="764" width="0" style="1630" hidden="1" customWidth="1"/>
    <col min="765" max="765" width="22.7265625" style="1630" customWidth="1"/>
    <col min="766" max="766" width="0" style="1630" hidden="1" customWidth="1"/>
    <col min="767" max="767" width="24.90625" style="1630" customWidth="1"/>
    <col min="768" max="768" width="25.26953125" style="1630" customWidth="1"/>
    <col min="769" max="769" width="20.7265625" style="1630" customWidth="1"/>
    <col min="770" max="770" width="13.90625" style="1630" customWidth="1"/>
    <col min="771" max="771" width="10.90625" style="1630" customWidth="1"/>
    <col min="772" max="772" width="16" style="1630" customWidth="1"/>
    <col min="773" max="774" width="17.453125" style="1630" customWidth="1"/>
    <col min="775" max="775" width="20.453125" style="1630" customWidth="1"/>
    <col min="776" max="1000" width="9.08984375" style="1630"/>
    <col min="1001" max="1001" width="10.7265625" style="1630" bestFit="1" customWidth="1"/>
    <col min="1002" max="1002" width="9.08984375" style="1630"/>
    <col min="1003" max="1003" width="20.7265625" style="1630" customWidth="1"/>
    <col min="1004" max="1004" width="16.7265625" style="1630" customWidth="1"/>
    <col min="1005" max="1005" width="9.453125" style="1630" bestFit="1" customWidth="1"/>
    <col min="1006" max="1006" width="13.90625" style="1630" customWidth="1"/>
    <col min="1007" max="1007" width="10.90625" style="1630" bestFit="1" customWidth="1"/>
    <col min="1008" max="1008" width="17.26953125" style="1630" customWidth="1"/>
    <col min="1009" max="1009" width="9.08984375" style="1630"/>
    <col min="1010" max="1010" width="14.453125" style="1630" bestFit="1" customWidth="1"/>
    <col min="1011" max="1011" width="17.08984375" style="1630" customWidth="1"/>
    <col min="1012" max="1012" width="14.453125" style="1630" customWidth="1"/>
    <col min="1013" max="1013" width="26.90625" style="1630" customWidth="1"/>
    <col min="1014" max="1014" width="26.7265625" style="1630" customWidth="1"/>
    <col min="1015" max="1016" width="9.08984375" style="1630"/>
    <col min="1017" max="1017" width="10.7265625" style="1630" customWidth="1"/>
    <col min="1018" max="1018" width="14.7265625" style="1630" customWidth="1"/>
    <col min="1019" max="1020" width="0" style="1630" hidden="1" customWidth="1"/>
    <col min="1021" max="1021" width="22.7265625" style="1630" customWidth="1"/>
    <col min="1022" max="1022" width="0" style="1630" hidden="1" customWidth="1"/>
    <col min="1023" max="1023" width="24.90625" style="1630" customWidth="1"/>
    <col min="1024" max="1024" width="25.26953125" style="1630" customWidth="1"/>
    <col min="1025" max="1025" width="20.7265625" style="1630" customWidth="1"/>
    <col min="1026" max="1026" width="13.90625" style="1630" customWidth="1"/>
    <col min="1027" max="1027" width="10.90625" style="1630" customWidth="1"/>
    <col min="1028" max="1028" width="16" style="1630" customWidth="1"/>
    <col min="1029" max="1030" width="17.453125" style="1630" customWidth="1"/>
    <col min="1031" max="1031" width="20.453125" style="1630" customWidth="1"/>
    <col min="1032" max="1256" width="9.08984375" style="1630"/>
    <col min="1257" max="1257" width="10.7265625" style="1630" bestFit="1" customWidth="1"/>
    <col min="1258" max="1258" width="9.08984375" style="1630"/>
    <col min="1259" max="1259" width="20.7265625" style="1630" customWidth="1"/>
    <col min="1260" max="1260" width="16.7265625" style="1630" customWidth="1"/>
    <col min="1261" max="1261" width="9.453125" style="1630" bestFit="1" customWidth="1"/>
    <col min="1262" max="1262" width="13.90625" style="1630" customWidth="1"/>
    <col min="1263" max="1263" width="10.90625" style="1630" bestFit="1" customWidth="1"/>
    <col min="1264" max="1264" width="17.26953125" style="1630" customWidth="1"/>
    <col min="1265" max="1265" width="9.08984375" style="1630"/>
    <col min="1266" max="1266" width="14.453125" style="1630" bestFit="1" customWidth="1"/>
    <col min="1267" max="1267" width="17.08984375" style="1630" customWidth="1"/>
    <col min="1268" max="1268" width="14.453125" style="1630" customWidth="1"/>
    <col min="1269" max="1269" width="26.90625" style="1630" customWidth="1"/>
    <col min="1270" max="1270" width="26.7265625" style="1630" customWidth="1"/>
    <col min="1271" max="1272" width="9.08984375" style="1630"/>
    <col min="1273" max="1273" width="10.7265625" style="1630" customWidth="1"/>
    <col min="1274" max="1274" width="14.7265625" style="1630" customWidth="1"/>
    <col min="1275" max="1276" width="0" style="1630" hidden="1" customWidth="1"/>
    <col min="1277" max="1277" width="22.7265625" style="1630" customWidth="1"/>
    <col min="1278" max="1278" width="0" style="1630" hidden="1" customWidth="1"/>
    <col min="1279" max="1279" width="24.90625" style="1630" customWidth="1"/>
    <col min="1280" max="1280" width="25.26953125" style="1630" customWidth="1"/>
    <col min="1281" max="1281" width="20.7265625" style="1630" customWidth="1"/>
    <col min="1282" max="1282" width="13.90625" style="1630" customWidth="1"/>
    <col min="1283" max="1283" width="10.90625" style="1630" customWidth="1"/>
    <col min="1284" max="1284" width="16" style="1630" customWidth="1"/>
    <col min="1285" max="1286" width="17.453125" style="1630" customWidth="1"/>
    <col min="1287" max="1287" width="20.453125" style="1630" customWidth="1"/>
    <col min="1288" max="1512" width="9.08984375" style="1630"/>
    <col min="1513" max="1513" width="10.7265625" style="1630" bestFit="1" customWidth="1"/>
    <col min="1514" max="1514" width="9.08984375" style="1630"/>
    <col min="1515" max="1515" width="20.7265625" style="1630" customWidth="1"/>
    <col min="1516" max="1516" width="16.7265625" style="1630" customWidth="1"/>
    <col min="1517" max="1517" width="9.453125" style="1630" bestFit="1" customWidth="1"/>
    <col min="1518" max="1518" width="13.90625" style="1630" customWidth="1"/>
    <col min="1519" max="1519" width="10.90625" style="1630" bestFit="1" customWidth="1"/>
    <col min="1520" max="1520" width="17.26953125" style="1630" customWidth="1"/>
    <col min="1521" max="1521" width="9.08984375" style="1630"/>
    <col min="1522" max="1522" width="14.453125" style="1630" bestFit="1" customWidth="1"/>
    <col min="1523" max="1523" width="17.08984375" style="1630" customWidth="1"/>
    <col min="1524" max="1524" width="14.453125" style="1630" customWidth="1"/>
    <col min="1525" max="1525" width="26.90625" style="1630" customWidth="1"/>
    <col min="1526" max="1526" width="26.7265625" style="1630" customWidth="1"/>
    <col min="1527" max="1528" width="9.08984375" style="1630"/>
    <col min="1529" max="1529" width="10.7265625" style="1630" customWidth="1"/>
    <col min="1530" max="1530" width="14.7265625" style="1630" customWidth="1"/>
    <col min="1531" max="1532" width="0" style="1630" hidden="1" customWidth="1"/>
    <col min="1533" max="1533" width="22.7265625" style="1630" customWidth="1"/>
    <col min="1534" max="1534" width="0" style="1630" hidden="1" customWidth="1"/>
    <col min="1535" max="1535" width="24.90625" style="1630" customWidth="1"/>
    <col min="1536" max="1536" width="25.26953125" style="1630" customWidth="1"/>
    <col min="1537" max="1537" width="20.7265625" style="1630" customWidth="1"/>
    <col min="1538" max="1538" width="13.90625" style="1630" customWidth="1"/>
    <col min="1539" max="1539" width="10.90625" style="1630" customWidth="1"/>
    <col min="1540" max="1540" width="16" style="1630" customWidth="1"/>
    <col min="1541" max="1542" width="17.453125" style="1630" customWidth="1"/>
    <col min="1543" max="1543" width="20.453125" style="1630" customWidth="1"/>
    <col min="1544" max="1768" width="9.08984375" style="1630"/>
    <col min="1769" max="1769" width="10.7265625" style="1630" bestFit="1" customWidth="1"/>
    <col min="1770" max="1770" width="9.08984375" style="1630"/>
    <col min="1771" max="1771" width="20.7265625" style="1630" customWidth="1"/>
    <col min="1772" max="1772" width="16.7265625" style="1630" customWidth="1"/>
    <col min="1773" max="1773" width="9.453125" style="1630" bestFit="1" customWidth="1"/>
    <col min="1774" max="1774" width="13.90625" style="1630" customWidth="1"/>
    <col min="1775" max="1775" width="10.90625" style="1630" bestFit="1" customWidth="1"/>
    <col min="1776" max="1776" width="17.26953125" style="1630" customWidth="1"/>
    <col min="1777" max="1777" width="9.08984375" style="1630"/>
    <col min="1778" max="1778" width="14.453125" style="1630" bestFit="1" customWidth="1"/>
    <col min="1779" max="1779" width="17.08984375" style="1630" customWidth="1"/>
    <col min="1780" max="1780" width="14.453125" style="1630" customWidth="1"/>
    <col min="1781" max="1781" width="26.90625" style="1630" customWidth="1"/>
    <col min="1782" max="1782" width="26.7265625" style="1630" customWidth="1"/>
    <col min="1783" max="1784" width="9.08984375" style="1630"/>
    <col min="1785" max="1785" width="10.7265625" style="1630" customWidth="1"/>
    <col min="1786" max="1786" width="14.7265625" style="1630" customWidth="1"/>
    <col min="1787" max="1788" width="0" style="1630" hidden="1" customWidth="1"/>
    <col min="1789" max="1789" width="22.7265625" style="1630" customWidth="1"/>
    <col min="1790" max="1790" width="0" style="1630" hidden="1" customWidth="1"/>
    <col min="1791" max="1791" width="24.90625" style="1630" customWidth="1"/>
    <col min="1792" max="1792" width="25.26953125" style="1630" customWidth="1"/>
    <col min="1793" max="1793" width="20.7265625" style="1630" customWidth="1"/>
    <col min="1794" max="1794" width="13.90625" style="1630" customWidth="1"/>
    <col min="1795" max="1795" width="10.90625" style="1630" customWidth="1"/>
    <col min="1796" max="1796" width="16" style="1630" customWidth="1"/>
    <col min="1797" max="1798" width="17.453125" style="1630" customWidth="1"/>
    <col min="1799" max="1799" width="20.453125" style="1630" customWidth="1"/>
    <col min="1800" max="2024" width="9.08984375" style="1630"/>
    <col min="2025" max="2025" width="10.7265625" style="1630" bestFit="1" customWidth="1"/>
    <col min="2026" max="2026" width="9.08984375" style="1630"/>
    <col min="2027" max="2027" width="20.7265625" style="1630" customWidth="1"/>
    <col min="2028" max="2028" width="16.7265625" style="1630" customWidth="1"/>
    <col min="2029" max="2029" width="9.453125" style="1630" bestFit="1" customWidth="1"/>
    <col min="2030" max="2030" width="13.90625" style="1630" customWidth="1"/>
    <col min="2031" max="2031" width="10.90625" style="1630" bestFit="1" customWidth="1"/>
    <col min="2032" max="2032" width="17.26953125" style="1630" customWidth="1"/>
    <col min="2033" max="2033" width="9.08984375" style="1630"/>
    <col min="2034" max="2034" width="14.453125" style="1630" bestFit="1" customWidth="1"/>
    <col min="2035" max="2035" width="17.08984375" style="1630" customWidth="1"/>
    <col min="2036" max="2036" width="14.453125" style="1630" customWidth="1"/>
    <col min="2037" max="2037" width="26.90625" style="1630" customWidth="1"/>
    <col min="2038" max="2038" width="26.7265625" style="1630" customWidth="1"/>
    <col min="2039" max="2040" width="9.08984375" style="1630"/>
    <col min="2041" max="2041" width="10.7265625" style="1630" customWidth="1"/>
    <col min="2042" max="2042" width="14.7265625" style="1630" customWidth="1"/>
    <col min="2043" max="2044" width="0" style="1630" hidden="1" customWidth="1"/>
    <col min="2045" max="2045" width="22.7265625" style="1630" customWidth="1"/>
    <col min="2046" max="2046" width="0" style="1630" hidden="1" customWidth="1"/>
    <col min="2047" max="2047" width="24.90625" style="1630" customWidth="1"/>
    <col min="2048" max="2048" width="25.26953125" style="1630" customWidth="1"/>
    <col min="2049" max="2049" width="20.7265625" style="1630" customWidth="1"/>
    <col min="2050" max="2050" width="13.90625" style="1630" customWidth="1"/>
    <col min="2051" max="2051" width="10.90625" style="1630" customWidth="1"/>
    <col min="2052" max="2052" width="16" style="1630" customWidth="1"/>
    <col min="2053" max="2054" width="17.453125" style="1630" customWidth="1"/>
    <col min="2055" max="2055" width="20.453125" style="1630" customWidth="1"/>
    <col min="2056" max="2280" width="9.08984375" style="1630"/>
    <col min="2281" max="2281" width="10.7265625" style="1630" bestFit="1" customWidth="1"/>
    <col min="2282" max="2282" width="9.08984375" style="1630"/>
    <col min="2283" max="2283" width="20.7265625" style="1630" customWidth="1"/>
    <col min="2284" max="2284" width="16.7265625" style="1630" customWidth="1"/>
    <col min="2285" max="2285" width="9.453125" style="1630" bestFit="1" customWidth="1"/>
    <col min="2286" max="2286" width="13.90625" style="1630" customWidth="1"/>
    <col min="2287" max="2287" width="10.90625" style="1630" bestFit="1" customWidth="1"/>
    <col min="2288" max="2288" width="17.26953125" style="1630" customWidth="1"/>
    <col min="2289" max="2289" width="9.08984375" style="1630"/>
    <col min="2290" max="2290" width="14.453125" style="1630" bestFit="1" customWidth="1"/>
    <col min="2291" max="2291" width="17.08984375" style="1630" customWidth="1"/>
    <col min="2292" max="2292" width="14.453125" style="1630" customWidth="1"/>
    <col min="2293" max="2293" width="26.90625" style="1630" customWidth="1"/>
    <col min="2294" max="2294" width="26.7265625" style="1630" customWidth="1"/>
    <col min="2295" max="2296" width="9.08984375" style="1630"/>
    <col min="2297" max="2297" width="10.7265625" style="1630" customWidth="1"/>
    <col min="2298" max="2298" width="14.7265625" style="1630" customWidth="1"/>
    <col min="2299" max="2300" width="0" style="1630" hidden="1" customWidth="1"/>
    <col min="2301" max="2301" width="22.7265625" style="1630" customWidth="1"/>
    <col min="2302" max="2302" width="0" style="1630" hidden="1" customWidth="1"/>
    <col min="2303" max="2303" width="24.90625" style="1630" customWidth="1"/>
    <col min="2304" max="2304" width="25.26953125" style="1630" customWidth="1"/>
    <col min="2305" max="2305" width="20.7265625" style="1630" customWidth="1"/>
    <col min="2306" max="2306" width="13.90625" style="1630" customWidth="1"/>
    <col min="2307" max="2307" width="10.90625" style="1630" customWidth="1"/>
    <col min="2308" max="2308" width="16" style="1630" customWidth="1"/>
    <col min="2309" max="2310" width="17.453125" style="1630" customWidth="1"/>
    <col min="2311" max="2311" width="20.453125" style="1630" customWidth="1"/>
    <col min="2312" max="2536" width="9.08984375" style="1630"/>
    <col min="2537" max="2537" width="10.7265625" style="1630" bestFit="1" customWidth="1"/>
    <col min="2538" max="2538" width="9.08984375" style="1630"/>
    <col min="2539" max="2539" width="20.7265625" style="1630" customWidth="1"/>
    <col min="2540" max="2540" width="16.7265625" style="1630" customWidth="1"/>
    <col min="2541" max="2541" width="9.453125" style="1630" bestFit="1" customWidth="1"/>
    <col min="2542" max="2542" width="13.90625" style="1630" customWidth="1"/>
    <col min="2543" max="2543" width="10.90625" style="1630" bestFit="1" customWidth="1"/>
    <col min="2544" max="2544" width="17.26953125" style="1630" customWidth="1"/>
    <col min="2545" max="2545" width="9.08984375" style="1630"/>
    <col min="2546" max="2546" width="14.453125" style="1630" bestFit="1" customWidth="1"/>
    <col min="2547" max="2547" width="17.08984375" style="1630" customWidth="1"/>
    <col min="2548" max="2548" width="14.453125" style="1630" customWidth="1"/>
    <col min="2549" max="2549" width="26.90625" style="1630" customWidth="1"/>
    <col min="2550" max="2550" width="26.7265625" style="1630" customWidth="1"/>
    <col min="2551" max="2552" width="9.08984375" style="1630"/>
    <col min="2553" max="2553" width="10.7265625" style="1630" customWidth="1"/>
    <col min="2554" max="2554" width="14.7265625" style="1630" customWidth="1"/>
    <col min="2555" max="2556" width="0" style="1630" hidden="1" customWidth="1"/>
    <col min="2557" max="2557" width="22.7265625" style="1630" customWidth="1"/>
    <col min="2558" max="2558" width="0" style="1630" hidden="1" customWidth="1"/>
    <col min="2559" max="2559" width="24.90625" style="1630" customWidth="1"/>
    <col min="2560" max="2560" width="25.26953125" style="1630" customWidth="1"/>
    <col min="2561" max="2561" width="20.7265625" style="1630" customWidth="1"/>
    <col min="2562" max="2562" width="13.90625" style="1630" customWidth="1"/>
    <col min="2563" max="2563" width="10.90625" style="1630" customWidth="1"/>
    <col min="2564" max="2564" width="16" style="1630" customWidth="1"/>
    <col min="2565" max="2566" width="17.453125" style="1630" customWidth="1"/>
    <col min="2567" max="2567" width="20.453125" style="1630" customWidth="1"/>
    <col min="2568" max="2792" width="9.08984375" style="1630"/>
    <col min="2793" max="2793" width="10.7265625" style="1630" bestFit="1" customWidth="1"/>
    <col min="2794" max="2794" width="9.08984375" style="1630"/>
    <col min="2795" max="2795" width="20.7265625" style="1630" customWidth="1"/>
    <col min="2796" max="2796" width="16.7265625" style="1630" customWidth="1"/>
    <col min="2797" max="2797" width="9.453125" style="1630" bestFit="1" customWidth="1"/>
    <col min="2798" max="2798" width="13.90625" style="1630" customWidth="1"/>
    <col min="2799" max="2799" width="10.90625" style="1630" bestFit="1" customWidth="1"/>
    <col min="2800" max="2800" width="17.26953125" style="1630" customWidth="1"/>
    <col min="2801" max="2801" width="9.08984375" style="1630"/>
    <col min="2802" max="2802" width="14.453125" style="1630" bestFit="1" customWidth="1"/>
    <col min="2803" max="2803" width="17.08984375" style="1630" customWidth="1"/>
    <col min="2804" max="2804" width="14.453125" style="1630" customWidth="1"/>
    <col min="2805" max="2805" width="26.90625" style="1630" customWidth="1"/>
    <col min="2806" max="2806" width="26.7265625" style="1630" customWidth="1"/>
    <col min="2807" max="2808" width="9.08984375" style="1630"/>
    <col min="2809" max="2809" width="10.7265625" style="1630" customWidth="1"/>
    <col min="2810" max="2810" width="14.7265625" style="1630" customWidth="1"/>
    <col min="2811" max="2812" width="0" style="1630" hidden="1" customWidth="1"/>
    <col min="2813" max="2813" width="22.7265625" style="1630" customWidth="1"/>
    <col min="2814" max="2814" width="0" style="1630" hidden="1" customWidth="1"/>
    <col min="2815" max="2815" width="24.90625" style="1630" customWidth="1"/>
    <col min="2816" max="2816" width="25.26953125" style="1630" customWidth="1"/>
    <col min="2817" max="2817" width="20.7265625" style="1630" customWidth="1"/>
    <col min="2818" max="2818" width="13.90625" style="1630" customWidth="1"/>
    <col min="2819" max="2819" width="10.90625" style="1630" customWidth="1"/>
    <col min="2820" max="2820" width="16" style="1630" customWidth="1"/>
    <col min="2821" max="2822" width="17.453125" style="1630" customWidth="1"/>
    <col min="2823" max="2823" width="20.453125" style="1630" customWidth="1"/>
    <col min="2824" max="3048" width="9.08984375" style="1630"/>
    <col min="3049" max="3049" width="10.7265625" style="1630" bestFit="1" customWidth="1"/>
    <col min="3050" max="3050" width="9.08984375" style="1630"/>
    <col min="3051" max="3051" width="20.7265625" style="1630" customWidth="1"/>
    <col min="3052" max="3052" width="16.7265625" style="1630" customWidth="1"/>
    <col min="3053" max="3053" width="9.453125" style="1630" bestFit="1" customWidth="1"/>
    <col min="3054" max="3054" width="13.90625" style="1630" customWidth="1"/>
    <col min="3055" max="3055" width="10.90625" style="1630" bestFit="1" customWidth="1"/>
    <col min="3056" max="3056" width="17.26953125" style="1630" customWidth="1"/>
    <col min="3057" max="3057" width="9.08984375" style="1630"/>
    <col min="3058" max="3058" width="14.453125" style="1630" bestFit="1" customWidth="1"/>
    <col min="3059" max="3059" width="17.08984375" style="1630" customWidth="1"/>
    <col min="3060" max="3060" width="14.453125" style="1630" customWidth="1"/>
    <col min="3061" max="3061" width="26.90625" style="1630" customWidth="1"/>
    <col min="3062" max="3062" width="26.7265625" style="1630" customWidth="1"/>
    <col min="3063" max="3064" width="9.08984375" style="1630"/>
    <col min="3065" max="3065" width="10.7265625" style="1630" customWidth="1"/>
    <col min="3066" max="3066" width="14.7265625" style="1630" customWidth="1"/>
    <col min="3067" max="3068" width="0" style="1630" hidden="1" customWidth="1"/>
    <col min="3069" max="3069" width="22.7265625" style="1630" customWidth="1"/>
    <col min="3070" max="3070" width="0" style="1630" hidden="1" customWidth="1"/>
    <col min="3071" max="3071" width="24.90625" style="1630" customWidth="1"/>
    <col min="3072" max="3072" width="25.26953125" style="1630" customWidth="1"/>
    <col min="3073" max="3073" width="20.7265625" style="1630" customWidth="1"/>
    <col min="3074" max="3074" width="13.90625" style="1630" customWidth="1"/>
    <col min="3075" max="3075" width="10.90625" style="1630" customWidth="1"/>
    <col min="3076" max="3076" width="16" style="1630" customWidth="1"/>
    <col min="3077" max="3078" width="17.453125" style="1630" customWidth="1"/>
    <col min="3079" max="3079" width="20.453125" style="1630" customWidth="1"/>
    <col min="3080" max="3304" width="9.08984375" style="1630"/>
    <col min="3305" max="3305" width="10.7265625" style="1630" bestFit="1" customWidth="1"/>
    <col min="3306" max="3306" width="9.08984375" style="1630"/>
    <col min="3307" max="3307" width="20.7265625" style="1630" customWidth="1"/>
    <col min="3308" max="3308" width="16.7265625" style="1630" customWidth="1"/>
    <col min="3309" max="3309" width="9.453125" style="1630" bestFit="1" customWidth="1"/>
    <col min="3310" max="3310" width="13.90625" style="1630" customWidth="1"/>
    <col min="3311" max="3311" width="10.90625" style="1630" bestFit="1" customWidth="1"/>
    <col min="3312" max="3312" width="17.26953125" style="1630" customWidth="1"/>
    <col min="3313" max="3313" width="9.08984375" style="1630"/>
    <col min="3314" max="3314" width="14.453125" style="1630" bestFit="1" customWidth="1"/>
    <col min="3315" max="3315" width="17.08984375" style="1630" customWidth="1"/>
    <col min="3316" max="3316" width="14.453125" style="1630" customWidth="1"/>
    <col min="3317" max="3317" width="26.90625" style="1630" customWidth="1"/>
    <col min="3318" max="3318" width="26.7265625" style="1630" customWidth="1"/>
    <col min="3319" max="3320" width="9.08984375" style="1630"/>
    <col min="3321" max="3321" width="10.7265625" style="1630" customWidth="1"/>
    <col min="3322" max="3322" width="14.7265625" style="1630" customWidth="1"/>
    <col min="3323" max="3324" width="0" style="1630" hidden="1" customWidth="1"/>
    <col min="3325" max="3325" width="22.7265625" style="1630" customWidth="1"/>
    <col min="3326" max="3326" width="0" style="1630" hidden="1" customWidth="1"/>
    <col min="3327" max="3327" width="24.90625" style="1630" customWidth="1"/>
    <col min="3328" max="3328" width="25.26953125" style="1630" customWidth="1"/>
    <col min="3329" max="3329" width="20.7265625" style="1630" customWidth="1"/>
    <col min="3330" max="3330" width="13.90625" style="1630" customWidth="1"/>
    <col min="3331" max="3331" width="10.90625" style="1630" customWidth="1"/>
    <col min="3332" max="3332" width="16" style="1630" customWidth="1"/>
    <col min="3333" max="3334" width="17.453125" style="1630" customWidth="1"/>
    <col min="3335" max="3335" width="20.453125" style="1630" customWidth="1"/>
    <col min="3336" max="3560" width="9.08984375" style="1630"/>
    <col min="3561" max="3561" width="10.7265625" style="1630" bestFit="1" customWidth="1"/>
    <col min="3562" max="3562" width="9.08984375" style="1630"/>
    <col min="3563" max="3563" width="20.7265625" style="1630" customWidth="1"/>
    <col min="3564" max="3564" width="16.7265625" style="1630" customWidth="1"/>
    <col min="3565" max="3565" width="9.453125" style="1630" bestFit="1" customWidth="1"/>
    <col min="3566" max="3566" width="13.90625" style="1630" customWidth="1"/>
    <col min="3567" max="3567" width="10.90625" style="1630" bestFit="1" customWidth="1"/>
    <col min="3568" max="3568" width="17.26953125" style="1630" customWidth="1"/>
    <col min="3569" max="3569" width="9.08984375" style="1630"/>
    <col min="3570" max="3570" width="14.453125" style="1630" bestFit="1" customWidth="1"/>
    <col min="3571" max="3571" width="17.08984375" style="1630" customWidth="1"/>
    <col min="3572" max="3572" width="14.453125" style="1630" customWidth="1"/>
    <col min="3573" max="3573" width="26.90625" style="1630" customWidth="1"/>
    <col min="3574" max="3574" width="26.7265625" style="1630" customWidth="1"/>
    <col min="3575" max="3576" width="9.08984375" style="1630"/>
    <col min="3577" max="3577" width="10.7265625" style="1630" customWidth="1"/>
    <col min="3578" max="3578" width="14.7265625" style="1630" customWidth="1"/>
    <col min="3579" max="3580" width="0" style="1630" hidden="1" customWidth="1"/>
    <col min="3581" max="3581" width="22.7265625" style="1630" customWidth="1"/>
    <col min="3582" max="3582" width="0" style="1630" hidden="1" customWidth="1"/>
    <col min="3583" max="3583" width="24.90625" style="1630" customWidth="1"/>
    <col min="3584" max="3584" width="25.26953125" style="1630" customWidth="1"/>
    <col min="3585" max="3585" width="20.7265625" style="1630" customWidth="1"/>
    <col min="3586" max="3586" width="13.90625" style="1630" customWidth="1"/>
    <col min="3587" max="3587" width="10.90625" style="1630" customWidth="1"/>
    <col min="3588" max="3588" width="16" style="1630" customWidth="1"/>
    <col min="3589" max="3590" width="17.453125" style="1630" customWidth="1"/>
    <col min="3591" max="3591" width="20.453125" style="1630" customWidth="1"/>
    <col min="3592" max="3816" width="9.08984375" style="1630"/>
    <col min="3817" max="3817" width="10.7265625" style="1630" bestFit="1" customWidth="1"/>
    <col min="3818" max="3818" width="9.08984375" style="1630"/>
    <col min="3819" max="3819" width="20.7265625" style="1630" customWidth="1"/>
    <col min="3820" max="3820" width="16.7265625" style="1630" customWidth="1"/>
    <col min="3821" max="3821" width="9.453125" style="1630" bestFit="1" customWidth="1"/>
    <col min="3822" max="3822" width="13.90625" style="1630" customWidth="1"/>
    <col min="3823" max="3823" width="10.90625" style="1630" bestFit="1" customWidth="1"/>
    <col min="3824" max="3824" width="17.26953125" style="1630" customWidth="1"/>
    <col min="3825" max="3825" width="9.08984375" style="1630"/>
    <col min="3826" max="3826" width="14.453125" style="1630" bestFit="1" customWidth="1"/>
    <col min="3827" max="3827" width="17.08984375" style="1630" customWidth="1"/>
    <col min="3828" max="3828" width="14.453125" style="1630" customWidth="1"/>
    <col min="3829" max="3829" width="26.90625" style="1630" customWidth="1"/>
    <col min="3830" max="3830" width="26.7265625" style="1630" customWidth="1"/>
    <col min="3831" max="3832" width="9.08984375" style="1630"/>
    <col min="3833" max="3833" width="10.7265625" style="1630" customWidth="1"/>
    <col min="3834" max="3834" width="14.7265625" style="1630" customWidth="1"/>
    <col min="3835" max="3836" width="0" style="1630" hidden="1" customWidth="1"/>
    <col min="3837" max="3837" width="22.7265625" style="1630" customWidth="1"/>
    <col min="3838" max="3838" width="0" style="1630" hidden="1" customWidth="1"/>
    <col min="3839" max="3839" width="24.90625" style="1630" customWidth="1"/>
    <col min="3840" max="3840" width="25.26953125" style="1630" customWidth="1"/>
    <col min="3841" max="3841" width="20.7265625" style="1630" customWidth="1"/>
    <col min="3842" max="3842" width="13.90625" style="1630" customWidth="1"/>
    <col min="3843" max="3843" width="10.90625" style="1630" customWidth="1"/>
    <col min="3844" max="3844" width="16" style="1630" customWidth="1"/>
    <col min="3845" max="3846" width="17.453125" style="1630" customWidth="1"/>
    <col min="3847" max="3847" width="20.453125" style="1630" customWidth="1"/>
    <col min="3848" max="4072" width="9.08984375" style="1630"/>
    <col min="4073" max="4073" width="10.7265625" style="1630" bestFit="1" customWidth="1"/>
    <col min="4074" max="4074" width="9.08984375" style="1630"/>
    <col min="4075" max="4075" width="20.7265625" style="1630" customWidth="1"/>
    <col min="4076" max="4076" width="16.7265625" style="1630" customWidth="1"/>
    <col min="4077" max="4077" width="9.453125" style="1630" bestFit="1" customWidth="1"/>
    <col min="4078" max="4078" width="13.90625" style="1630" customWidth="1"/>
    <col min="4079" max="4079" width="10.90625" style="1630" bestFit="1" customWidth="1"/>
    <col min="4080" max="4080" width="17.26953125" style="1630" customWidth="1"/>
    <col min="4081" max="4081" width="9.08984375" style="1630"/>
    <col min="4082" max="4082" width="14.453125" style="1630" bestFit="1" customWidth="1"/>
    <col min="4083" max="4083" width="17.08984375" style="1630" customWidth="1"/>
    <col min="4084" max="4084" width="14.453125" style="1630" customWidth="1"/>
    <col min="4085" max="4085" width="26.90625" style="1630" customWidth="1"/>
    <col min="4086" max="4086" width="26.7265625" style="1630" customWidth="1"/>
    <col min="4087" max="4088" width="9.08984375" style="1630"/>
    <col min="4089" max="4089" width="10.7265625" style="1630" customWidth="1"/>
    <col min="4090" max="4090" width="14.7265625" style="1630" customWidth="1"/>
    <col min="4091" max="4092" width="0" style="1630" hidden="1" customWidth="1"/>
    <col min="4093" max="4093" width="22.7265625" style="1630" customWidth="1"/>
    <col min="4094" max="4094" width="0" style="1630" hidden="1" customWidth="1"/>
    <col min="4095" max="4095" width="24.90625" style="1630" customWidth="1"/>
    <col min="4096" max="4096" width="25.26953125" style="1630" customWidth="1"/>
    <col min="4097" max="4097" width="20.7265625" style="1630" customWidth="1"/>
    <col min="4098" max="4098" width="13.90625" style="1630" customWidth="1"/>
    <col min="4099" max="4099" width="10.90625" style="1630" customWidth="1"/>
    <col min="4100" max="4100" width="16" style="1630" customWidth="1"/>
    <col min="4101" max="4102" width="17.453125" style="1630" customWidth="1"/>
    <col min="4103" max="4103" width="20.453125" style="1630" customWidth="1"/>
    <col min="4104" max="4328" width="9.08984375" style="1630"/>
    <col min="4329" max="4329" width="10.7265625" style="1630" bestFit="1" customWidth="1"/>
    <col min="4330" max="4330" width="9.08984375" style="1630"/>
    <col min="4331" max="4331" width="20.7265625" style="1630" customWidth="1"/>
    <col min="4332" max="4332" width="16.7265625" style="1630" customWidth="1"/>
    <col min="4333" max="4333" width="9.453125" style="1630" bestFit="1" customWidth="1"/>
    <col min="4334" max="4334" width="13.90625" style="1630" customWidth="1"/>
    <col min="4335" max="4335" width="10.90625" style="1630" bestFit="1" customWidth="1"/>
    <col min="4336" max="4336" width="17.26953125" style="1630" customWidth="1"/>
    <col min="4337" max="4337" width="9.08984375" style="1630"/>
    <col min="4338" max="4338" width="14.453125" style="1630" bestFit="1" customWidth="1"/>
    <col min="4339" max="4339" width="17.08984375" style="1630" customWidth="1"/>
    <col min="4340" max="4340" width="14.453125" style="1630" customWidth="1"/>
    <col min="4341" max="4341" width="26.90625" style="1630" customWidth="1"/>
    <col min="4342" max="4342" width="26.7265625" style="1630" customWidth="1"/>
    <col min="4343" max="4344" width="9.08984375" style="1630"/>
    <col min="4345" max="4345" width="10.7265625" style="1630" customWidth="1"/>
    <col min="4346" max="4346" width="14.7265625" style="1630" customWidth="1"/>
    <col min="4347" max="4348" width="0" style="1630" hidden="1" customWidth="1"/>
    <col min="4349" max="4349" width="22.7265625" style="1630" customWidth="1"/>
    <col min="4350" max="4350" width="0" style="1630" hidden="1" customWidth="1"/>
    <col min="4351" max="4351" width="24.90625" style="1630" customWidth="1"/>
    <col min="4352" max="4352" width="25.26953125" style="1630" customWidth="1"/>
    <col min="4353" max="4353" width="20.7265625" style="1630" customWidth="1"/>
    <col min="4354" max="4354" width="13.90625" style="1630" customWidth="1"/>
    <col min="4355" max="4355" width="10.90625" style="1630" customWidth="1"/>
    <col min="4356" max="4356" width="16" style="1630" customWidth="1"/>
    <col min="4357" max="4358" width="17.453125" style="1630" customWidth="1"/>
    <col min="4359" max="4359" width="20.453125" style="1630" customWidth="1"/>
    <col min="4360" max="4584" width="9.08984375" style="1630"/>
    <col min="4585" max="4585" width="10.7265625" style="1630" bestFit="1" customWidth="1"/>
    <col min="4586" max="4586" width="9.08984375" style="1630"/>
    <col min="4587" max="4587" width="20.7265625" style="1630" customWidth="1"/>
    <col min="4588" max="4588" width="16.7265625" style="1630" customWidth="1"/>
    <col min="4589" max="4589" width="9.453125" style="1630" bestFit="1" customWidth="1"/>
    <col min="4590" max="4590" width="13.90625" style="1630" customWidth="1"/>
    <col min="4591" max="4591" width="10.90625" style="1630" bestFit="1" customWidth="1"/>
    <col min="4592" max="4592" width="17.26953125" style="1630" customWidth="1"/>
    <col min="4593" max="4593" width="9.08984375" style="1630"/>
    <col min="4594" max="4594" width="14.453125" style="1630" bestFit="1" customWidth="1"/>
    <col min="4595" max="4595" width="17.08984375" style="1630" customWidth="1"/>
    <col min="4596" max="4596" width="14.453125" style="1630" customWidth="1"/>
    <col min="4597" max="4597" width="26.90625" style="1630" customWidth="1"/>
    <col min="4598" max="4598" width="26.7265625" style="1630" customWidth="1"/>
    <col min="4599" max="4600" width="9.08984375" style="1630"/>
    <col min="4601" max="4601" width="10.7265625" style="1630" customWidth="1"/>
    <col min="4602" max="4602" width="14.7265625" style="1630" customWidth="1"/>
    <col min="4603" max="4604" width="0" style="1630" hidden="1" customWidth="1"/>
    <col min="4605" max="4605" width="22.7265625" style="1630" customWidth="1"/>
    <col min="4606" max="4606" width="0" style="1630" hidden="1" customWidth="1"/>
    <col min="4607" max="4607" width="24.90625" style="1630" customWidth="1"/>
    <col min="4608" max="4608" width="25.26953125" style="1630" customWidth="1"/>
    <col min="4609" max="4609" width="20.7265625" style="1630" customWidth="1"/>
    <col min="4610" max="4610" width="13.90625" style="1630" customWidth="1"/>
    <col min="4611" max="4611" width="10.90625" style="1630" customWidth="1"/>
    <col min="4612" max="4612" width="16" style="1630" customWidth="1"/>
    <col min="4613" max="4614" width="17.453125" style="1630" customWidth="1"/>
    <col min="4615" max="4615" width="20.453125" style="1630" customWidth="1"/>
    <col min="4616" max="4840" width="9.08984375" style="1630"/>
    <col min="4841" max="4841" width="10.7265625" style="1630" bestFit="1" customWidth="1"/>
    <col min="4842" max="4842" width="9.08984375" style="1630"/>
    <col min="4843" max="4843" width="20.7265625" style="1630" customWidth="1"/>
    <col min="4844" max="4844" width="16.7265625" style="1630" customWidth="1"/>
    <col min="4845" max="4845" width="9.453125" style="1630" bestFit="1" customWidth="1"/>
    <col min="4846" max="4846" width="13.90625" style="1630" customWidth="1"/>
    <col min="4847" max="4847" width="10.90625" style="1630" bestFit="1" customWidth="1"/>
    <col min="4848" max="4848" width="17.26953125" style="1630" customWidth="1"/>
    <col min="4849" max="4849" width="9.08984375" style="1630"/>
    <col min="4850" max="4850" width="14.453125" style="1630" bestFit="1" customWidth="1"/>
    <col min="4851" max="4851" width="17.08984375" style="1630" customWidth="1"/>
    <col min="4852" max="4852" width="14.453125" style="1630" customWidth="1"/>
    <col min="4853" max="4853" width="26.90625" style="1630" customWidth="1"/>
    <col min="4854" max="4854" width="26.7265625" style="1630" customWidth="1"/>
    <col min="4855" max="4856" width="9.08984375" style="1630"/>
    <col min="4857" max="4857" width="10.7265625" style="1630" customWidth="1"/>
    <col min="4858" max="4858" width="14.7265625" style="1630" customWidth="1"/>
    <col min="4859" max="4860" width="0" style="1630" hidden="1" customWidth="1"/>
    <col min="4861" max="4861" width="22.7265625" style="1630" customWidth="1"/>
    <col min="4862" max="4862" width="0" style="1630" hidden="1" customWidth="1"/>
    <col min="4863" max="4863" width="24.90625" style="1630" customWidth="1"/>
    <col min="4864" max="4864" width="25.26953125" style="1630" customWidth="1"/>
    <col min="4865" max="4865" width="20.7265625" style="1630" customWidth="1"/>
    <col min="4866" max="4866" width="13.90625" style="1630" customWidth="1"/>
    <col min="4867" max="4867" width="10.90625" style="1630" customWidth="1"/>
    <col min="4868" max="4868" width="16" style="1630" customWidth="1"/>
    <col min="4869" max="4870" width="17.453125" style="1630" customWidth="1"/>
    <col min="4871" max="4871" width="20.453125" style="1630" customWidth="1"/>
    <col min="4872" max="5096" width="9.08984375" style="1630"/>
    <col min="5097" max="5097" width="10.7265625" style="1630" bestFit="1" customWidth="1"/>
    <col min="5098" max="5098" width="9.08984375" style="1630"/>
    <col min="5099" max="5099" width="20.7265625" style="1630" customWidth="1"/>
    <col min="5100" max="5100" width="16.7265625" style="1630" customWidth="1"/>
    <col min="5101" max="5101" width="9.453125" style="1630" bestFit="1" customWidth="1"/>
    <col min="5102" max="5102" width="13.90625" style="1630" customWidth="1"/>
    <col min="5103" max="5103" width="10.90625" style="1630" bestFit="1" customWidth="1"/>
    <col min="5104" max="5104" width="17.26953125" style="1630" customWidth="1"/>
    <col min="5105" max="5105" width="9.08984375" style="1630"/>
    <col min="5106" max="5106" width="14.453125" style="1630" bestFit="1" customWidth="1"/>
    <col min="5107" max="5107" width="17.08984375" style="1630" customWidth="1"/>
    <col min="5108" max="5108" width="14.453125" style="1630" customWidth="1"/>
    <col min="5109" max="5109" width="26.90625" style="1630" customWidth="1"/>
    <col min="5110" max="5110" width="26.7265625" style="1630" customWidth="1"/>
    <col min="5111" max="5112" width="9.08984375" style="1630"/>
    <col min="5113" max="5113" width="10.7265625" style="1630" customWidth="1"/>
    <col min="5114" max="5114" width="14.7265625" style="1630" customWidth="1"/>
    <col min="5115" max="5116" width="0" style="1630" hidden="1" customWidth="1"/>
    <col min="5117" max="5117" width="22.7265625" style="1630" customWidth="1"/>
    <col min="5118" max="5118" width="0" style="1630" hidden="1" customWidth="1"/>
    <col min="5119" max="5119" width="24.90625" style="1630" customWidth="1"/>
    <col min="5120" max="5120" width="25.26953125" style="1630" customWidth="1"/>
    <col min="5121" max="5121" width="20.7265625" style="1630" customWidth="1"/>
    <col min="5122" max="5122" width="13.90625" style="1630" customWidth="1"/>
    <col min="5123" max="5123" width="10.90625" style="1630" customWidth="1"/>
    <col min="5124" max="5124" width="16" style="1630" customWidth="1"/>
    <col min="5125" max="5126" width="17.453125" style="1630" customWidth="1"/>
    <col min="5127" max="5127" width="20.453125" style="1630" customWidth="1"/>
    <col min="5128" max="5352" width="9.08984375" style="1630"/>
    <col min="5353" max="5353" width="10.7265625" style="1630" bestFit="1" customWidth="1"/>
    <col min="5354" max="5354" width="9.08984375" style="1630"/>
    <col min="5355" max="5355" width="20.7265625" style="1630" customWidth="1"/>
    <col min="5356" max="5356" width="16.7265625" style="1630" customWidth="1"/>
    <col min="5357" max="5357" width="9.453125" style="1630" bestFit="1" customWidth="1"/>
    <col min="5358" max="5358" width="13.90625" style="1630" customWidth="1"/>
    <col min="5359" max="5359" width="10.90625" style="1630" bestFit="1" customWidth="1"/>
    <col min="5360" max="5360" width="17.26953125" style="1630" customWidth="1"/>
    <col min="5361" max="5361" width="9.08984375" style="1630"/>
    <col min="5362" max="5362" width="14.453125" style="1630" bestFit="1" customWidth="1"/>
    <col min="5363" max="5363" width="17.08984375" style="1630" customWidth="1"/>
    <col min="5364" max="5364" width="14.453125" style="1630" customWidth="1"/>
    <col min="5365" max="5365" width="26.90625" style="1630" customWidth="1"/>
    <col min="5366" max="5366" width="26.7265625" style="1630" customWidth="1"/>
    <col min="5367" max="5368" width="9.08984375" style="1630"/>
    <col min="5369" max="5369" width="10.7265625" style="1630" customWidth="1"/>
    <col min="5370" max="5370" width="14.7265625" style="1630" customWidth="1"/>
    <col min="5371" max="5372" width="0" style="1630" hidden="1" customWidth="1"/>
    <col min="5373" max="5373" width="22.7265625" style="1630" customWidth="1"/>
    <col min="5374" max="5374" width="0" style="1630" hidden="1" customWidth="1"/>
    <col min="5375" max="5375" width="24.90625" style="1630" customWidth="1"/>
    <col min="5376" max="5376" width="25.26953125" style="1630" customWidth="1"/>
    <col min="5377" max="5377" width="20.7265625" style="1630" customWidth="1"/>
    <col min="5378" max="5378" width="13.90625" style="1630" customWidth="1"/>
    <col min="5379" max="5379" width="10.90625" style="1630" customWidth="1"/>
    <col min="5380" max="5380" width="16" style="1630" customWidth="1"/>
    <col min="5381" max="5382" width="17.453125" style="1630" customWidth="1"/>
    <col min="5383" max="5383" width="20.453125" style="1630" customWidth="1"/>
    <col min="5384" max="5608" width="9.08984375" style="1630"/>
    <col min="5609" max="5609" width="10.7265625" style="1630" bestFit="1" customWidth="1"/>
    <col min="5610" max="5610" width="9.08984375" style="1630"/>
    <col min="5611" max="5611" width="20.7265625" style="1630" customWidth="1"/>
    <col min="5612" max="5612" width="16.7265625" style="1630" customWidth="1"/>
    <col min="5613" max="5613" width="9.453125" style="1630" bestFit="1" customWidth="1"/>
    <col min="5614" max="5614" width="13.90625" style="1630" customWidth="1"/>
    <col min="5615" max="5615" width="10.90625" style="1630" bestFit="1" customWidth="1"/>
    <col min="5616" max="5616" width="17.26953125" style="1630" customWidth="1"/>
    <col min="5617" max="5617" width="9.08984375" style="1630"/>
    <col min="5618" max="5618" width="14.453125" style="1630" bestFit="1" customWidth="1"/>
    <col min="5619" max="5619" width="17.08984375" style="1630" customWidth="1"/>
    <col min="5620" max="5620" width="14.453125" style="1630" customWidth="1"/>
    <col min="5621" max="5621" width="26.90625" style="1630" customWidth="1"/>
    <col min="5622" max="5622" width="26.7265625" style="1630" customWidth="1"/>
    <col min="5623" max="5624" width="9.08984375" style="1630"/>
    <col min="5625" max="5625" width="10.7265625" style="1630" customWidth="1"/>
    <col min="5626" max="5626" width="14.7265625" style="1630" customWidth="1"/>
    <col min="5627" max="5628" width="0" style="1630" hidden="1" customWidth="1"/>
    <col min="5629" max="5629" width="22.7265625" style="1630" customWidth="1"/>
    <col min="5630" max="5630" width="0" style="1630" hidden="1" customWidth="1"/>
    <col min="5631" max="5631" width="24.90625" style="1630" customWidth="1"/>
    <col min="5632" max="5632" width="25.26953125" style="1630" customWidth="1"/>
    <col min="5633" max="5633" width="20.7265625" style="1630" customWidth="1"/>
    <col min="5634" max="5634" width="13.90625" style="1630" customWidth="1"/>
    <col min="5635" max="5635" width="10.90625" style="1630" customWidth="1"/>
    <col min="5636" max="5636" width="16" style="1630" customWidth="1"/>
    <col min="5637" max="5638" width="17.453125" style="1630" customWidth="1"/>
    <col min="5639" max="5639" width="20.453125" style="1630" customWidth="1"/>
    <col min="5640" max="5864" width="9.08984375" style="1630"/>
    <col min="5865" max="5865" width="10.7265625" style="1630" bestFit="1" customWidth="1"/>
    <col min="5866" max="5866" width="9.08984375" style="1630"/>
    <col min="5867" max="5867" width="20.7265625" style="1630" customWidth="1"/>
    <col min="5868" max="5868" width="16.7265625" style="1630" customWidth="1"/>
    <col min="5869" max="5869" width="9.453125" style="1630" bestFit="1" customWidth="1"/>
    <col min="5870" max="5870" width="13.90625" style="1630" customWidth="1"/>
    <col min="5871" max="5871" width="10.90625" style="1630" bestFit="1" customWidth="1"/>
    <col min="5872" max="5872" width="17.26953125" style="1630" customWidth="1"/>
    <col min="5873" max="5873" width="9.08984375" style="1630"/>
    <col min="5874" max="5874" width="14.453125" style="1630" bestFit="1" customWidth="1"/>
    <col min="5875" max="5875" width="17.08984375" style="1630" customWidth="1"/>
    <col min="5876" max="5876" width="14.453125" style="1630" customWidth="1"/>
    <col min="5877" max="5877" width="26.90625" style="1630" customWidth="1"/>
    <col min="5878" max="5878" width="26.7265625" style="1630" customWidth="1"/>
    <col min="5879" max="5880" width="9.08984375" style="1630"/>
    <col min="5881" max="5881" width="10.7265625" style="1630" customWidth="1"/>
    <col min="5882" max="5882" width="14.7265625" style="1630" customWidth="1"/>
    <col min="5883" max="5884" width="0" style="1630" hidden="1" customWidth="1"/>
    <col min="5885" max="5885" width="22.7265625" style="1630" customWidth="1"/>
    <col min="5886" max="5886" width="0" style="1630" hidden="1" customWidth="1"/>
    <col min="5887" max="5887" width="24.90625" style="1630" customWidth="1"/>
    <col min="5888" max="5888" width="25.26953125" style="1630" customWidth="1"/>
    <col min="5889" max="5889" width="20.7265625" style="1630" customWidth="1"/>
    <col min="5890" max="5890" width="13.90625" style="1630" customWidth="1"/>
    <col min="5891" max="5891" width="10.90625" style="1630" customWidth="1"/>
    <col min="5892" max="5892" width="16" style="1630" customWidth="1"/>
    <col min="5893" max="5894" width="17.453125" style="1630" customWidth="1"/>
    <col min="5895" max="5895" width="20.453125" style="1630" customWidth="1"/>
    <col min="5896" max="6120" width="9.08984375" style="1630"/>
    <col min="6121" max="6121" width="10.7265625" style="1630" bestFit="1" customWidth="1"/>
    <col min="6122" max="6122" width="9.08984375" style="1630"/>
    <col min="6123" max="6123" width="20.7265625" style="1630" customWidth="1"/>
    <col min="6124" max="6124" width="16.7265625" style="1630" customWidth="1"/>
    <col min="6125" max="6125" width="9.453125" style="1630" bestFit="1" customWidth="1"/>
    <col min="6126" max="6126" width="13.90625" style="1630" customWidth="1"/>
    <col min="6127" max="6127" width="10.90625" style="1630" bestFit="1" customWidth="1"/>
    <col min="6128" max="6128" width="17.26953125" style="1630" customWidth="1"/>
    <col min="6129" max="6129" width="9.08984375" style="1630"/>
    <col min="6130" max="6130" width="14.453125" style="1630" bestFit="1" customWidth="1"/>
    <col min="6131" max="6131" width="17.08984375" style="1630" customWidth="1"/>
    <col min="6132" max="6132" width="14.453125" style="1630" customWidth="1"/>
    <col min="6133" max="6133" width="26.90625" style="1630" customWidth="1"/>
    <col min="6134" max="6134" width="26.7265625" style="1630" customWidth="1"/>
    <col min="6135" max="6136" width="9.08984375" style="1630"/>
    <col min="6137" max="6137" width="10.7265625" style="1630" customWidth="1"/>
    <col min="6138" max="6138" width="14.7265625" style="1630" customWidth="1"/>
    <col min="6139" max="6140" width="0" style="1630" hidden="1" customWidth="1"/>
    <col min="6141" max="6141" width="22.7265625" style="1630" customWidth="1"/>
    <col min="6142" max="6142" width="0" style="1630" hidden="1" customWidth="1"/>
    <col min="6143" max="6143" width="24.90625" style="1630" customWidth="1"/>
    <col min="6144" max="6144" width="25.26953125" style="1630" customWidth="1"/>
    <col min="6145" max="6145" width="20.7265625" style="1630" customWidth="1"/>
    <col min="6146" max="6146" width="13.90625" style="1630" customWidth="1"/>
    <col min="6147" max="6147" width="10.90625" style="1630" customWidth="1"/>
    <col min="6148" max="6148" width="16" style="1630" customWidth="1"/>
    <col min="6149" max="6150" width="17.453125" style="1630" customWidth="1"/>
    <col min="6151" max="6151" width="20.453125" style="1630" customWidth="1"/>
    <col min="6152" max="6376" width="9.08984375" style="1630"/>
    <col min="6377" max="6377" width="10.7265625" style="1630" bestFit="1" customWidth="1"/>
    <col min="6378" max="6378" width="9.08984375" style="1630"/>
    <col min="6379" max="6379" width="20.7265625" style="1630" customWidth="1"/>
    <col min="6380" max="6380" width="16.7265625" style="1630" customWidth="1"/>
    <col min="6381" max="6381" width="9.453125" style="1630" bestFit="1" customWidth="1"/>
    <col min="6382" max="6382" width="13.90625" style="1630" customWidth="1"/>
    <col min="6383" max="6383" width="10.90625" style="1630" bestFit="1" customWidth="1"/>
    <col min="6384" max="6384" width="17.26953125" style="1630" customWidth="1"/>
    <col min="6385" max="6385" width="9.08984375" style="1630"/>
    <col min="6386" max="6386" width="14.453125" style="1630" bestFit="1" customWidth="1"/>
    <col min="6387" max="6387" width="17.08984375" style="1630" customWidth="1"/>
    <col min="6388" max="6388" width="14.453125" style="1630" customWidth="1"/>
    <col min="6389" max="6389" width="26.90625" style="1630" customWidth="1"/>
    <col min="6390" max="6390" width="26.7265625" style="1630" customWidth="1"/>
    <col min="6391" max="6392" width="9.08984375" style="1630"/>
    <col min="6393" max="6393" width="10.7265625" style="1630" customWidth="1"/>
    <col min="6394" max="6394" width="14.7265625" style="1630" customWidth="1"/>
    <col min="6395" max="6396" width="0" style="1630" hidden="1" customWidth="1"/>
    <col min="6397" max="6397" width="22.7265625" style="1630" customWidth="1"/>
    <col min="6398" max="6398" width="0" style="1630" hidden="1" customWidth="1"/>
    <col min="6399" max="6399" width="24.90625" style="1630" customWidth="1"/>
    <col min="6400" max="6400" width="25.26953125" style="1630" customWidth="1"/>
    <col min="6401" max="6401" width="20.7265625" style="1630" customWidth="1"/>
    <col min="6402" max="6402" width="13.90625" style="1630" customWidth="1"/>
    <col min="6403" max="6403" width="10.90625" style="1630" customWidth="1"/>
    <col min="6404" max="6404" width="16" style="1630" customWidth="1"/>
    <col min="6405" max="6406" width="17.453125" style="1630" customWidth="1"/>
    <col min="6407" max="6407" width="20.453125" style="1630" customWidth="1"/>
    <col min="6408" max="6632" width="9.08984375" style="1630"/>
    <col min="6633" max="6633" width="10.7265625" style="1630" bestFit="1" customWidth="1"/>
    <col min="6634" max="6634" width="9.08984375" style="1630"/>
    <col min="6635" max="6635" width="20.7265625" style="1630" customWidth="1"/>
    <col min="6636" max="6636" width="16.7265625" style="1630" customWidth="1"/>
    <col min="6637" max="6637" width="9.453125" style="1630" bestFit="1" customWidth="1"/>
    <col min="6638" max="6638" width="13.90625" style="1630" customWidth="1"/>
    <col min="6639" max="6639" width="10.90625" style="1630" bestFit="1" customWidth="1"/>
    <col min="6640" max="6640" width="17.26953125" style="1630" customWidth="1"/>
    <col min="6641" max="6641" width="9.08984375" style="1630"/>
    <col min="6642" max="6642" width="14.453125" style="1630" bestFit="1" customWidth="1"/>
    <col min="6643" max="6643" width="17.08984375" style="1630" customWidth="1"/>
    <col min="6644" max="6644" width="14.453125" style="1630" customWidth="1"/>
    <col min="6645" max="6645" width="26.90625" style="1630" customWidth="1"/>
    <col min="6646" max="6646" width="26.7265625" style="1630" customWidth="1"/>
    <col min="6647" max="6648" width="9.08984375" style="1630"/>
    <col min="6649" max="6649" width="10.7265625" style="1630" customWidth="1"/>
    <col min="6650" max="6650" width="14.7265625" style="1630" customWidth="1"/>
    <col min="6651" max="6652" width="0" style="1630" hidden="1" customWidth="1"/>
    <col min="6653" max="6653" width="22.7265625" style="1630" customWidth="1"/>
    <col min="6654" max="6654" width="0" style="1630" hidden="1" customWidth="1"/>
    <col min="6655" max="6655" width="24.90625" style="1630" customWidth="1"/>
    <col min="6656" max="6656" width="25.26953125" style="1630" customWidth="1"/>
    <col min="6657" max="6657" width="20.7265625" style="1630" customWidth="1"/>
    <col min="6658" max="6658" width="13.90625" style="1630" customWidth="1"/>
    <col min="6659" max="6659" width="10.90625" style="1630" customWidth="1"/>
    <col min="6660" max="6660" width="16" style="1630" customWidth="1"/>
    <col min="6661" max="6662" width="17.453125" style="1630" customWidth="1"/>
    <col min="6663" max="6663" width="20.453125" style="1630" customWidth="1"/>
    <col min="6664" max="6888" width="9.08984375" style="1630"/>
    <col min="6889" max="6889" width="10.7265625" style="1630" bestFit="1" customWidth="1"/>
    <col min="6890" max="6890" width="9.08984375" style="1630"/>
    <col min="6891" max="6891" width="20.7265625" style="1630" customWidth="1"/>
    <col min="6892" max="6892" width="16.7265625" style="1630" customWidth="1"/>
    <col min="6893" max="6893" width="9.453125" style="1630" bestFit="1" customWidth="1"/>
    <col min="6894" max="6894" width="13.90625" style="1630" customWidth="1"/>
    <col min="6895" max="6895" width="10.90625" style="1630" bestFit="1" customWidth="1"/>
    <col min="6896" max="6896" width="17.26953125" style="1630" customWidth="1"/>
    <col min="6897" max="6897" width="9.08984375" style="1630"/>
    <col min="6898" max="6898" width="14.453125" style="1630" bestFit="1" customWidth="1"/>
    <col min="6899" max="6899" width="17.08984375" style="1630" customWidth="1"/>
    <col min="6900" max="6900" width="14.453125" style="1630" customWidth="1"/>
    <col min="6901" max="6901" width="26.90625" style="1630" customWidth="1"/>
    <col min="6902" max="6902" width="26.7265625" style="1630" customWidth="1"/>
    <col min="6903" max="6904" width="9.08984375" style="1630"/>
    <col min="6905" max="6905" width="10.7265625" style="1630" customWidth="1"/>
    <col min="6906" max="6906" width="14.7265625" style="1630" customWidth="1"/>
    <col min="6907" max="6908" width="0" style="1630" hidden="1" customWidth="1"/>
    <col min="6909" max="6909" width="22.7265625" style="1630" customWidth="1"/>
    <col min="6910" max="6910" width="0" style="1630" hidden="1" customWidth="1"/>
    <col min="6911" max="6911" width="24.90625" style="1630" customWidth="1"/>
    <col min="6912" max="6912" width="25.26953125" style="1630" customWidth="1"/>
    <col min="6913" max="6913" width="20.7265625" style="1630" customWidth="1"/>
    <col min="6914" max="6914" width="13.90625" style="1630" customWidth="1"/>
    <col min="6915" max="6915" width="10.90625" style="1630" customWidth="1"/>
    <col min="6916" max="6916" width="16" style="1630" customWidth="1"/>
    <col min="6917" max="6918" width="17.453125" style="1630" customWidth="1"/>
    <col min="6919" max="6919" width="20.453125" style="1630" customWidth="1"/>
    <col min="6920" max="7144" width="9.08984375" style="1630"/>
    <col min="7145" max="7145" width="10.7265625" style="1630" bestFit="1" customWidth="1"/>
    <col min="7146" max="7146" width="9.08984375" style="1630"/>
    <col min="7147" max="7147" width="20.7265625" style="1630" customWidth="1"/>
    <col min="7148" max="7148" width="16.7265625" style="1630" customWidth="1"/>
    <col min="7149" max="7149" width="9.453125" style="1630" bestFit="1" customWidth="1"/>
    <col min="7150" max="7150" width="13.90625" style="1630" customWidth="1"/>
    <col min="7151" max="7151" width="10.90625" style="1630" bestFit="1" customWidth="1"/>
    <col min="7152" max="7152" width="17.26953125" style="1630" customWidth="1"/>
    <col min="7153" max="7153" width="9.08984375" style="1630"/>
    <col min="7154" max="7154" width="14.453125" style="1630" bestFit="1" customWidth="1"/>
    <col min="7155" max="7155" width="17.08984375" style="1630" customWidth="1"/>
    <col min="7156" max="7156" width="14.453125" style="1630" customWidth="1"/>
    <col min="7157" max="7157" width="26.90625" style="1630" customWidth="1"/>
    <col min="7158" max="7158" width="26.7265625" style="1630" customWidth="1"/>
    <col min="7159" max="7160" width="9.08984375" style="1630"/>
    <col min="7161" max="7161" width="10.7265625" style="1630" customWidth="1"/>
    <col min="7162" max="7162" width="14.7265625" style="1630" customWidth="1"/>
    <col min="7163" max="7164" width="0" style="1630" hidden="1" customWidth="1"/>
    <col min="7165" max="7165" width="22.7265625" style="1630" customWidth="1"/>
    <col min="7166" max="7166" width="0" style="1630" hidden="1" customWidth="1"/>
    <col min="7167" max="7167" width="24.90625" style="1630" customWidth="1"/>
    <col min="7168" max="7168" width="25.26953125" style="1630" customWidth="1"/>
    <col min="7169" max="7169" width="20.7265625" style="1630" customWidth="1"/>
    <col min="7170" max="7170" width="13.90625" style="1630" customWidth="1"/>
    <col min="7171" max="7171" width="10.90625" style="1630" customWidth="1"/>
    <col min="7172" max="7172" width="16" style="1630" customWidth="1"/>
    <col min="7173" max="7174" width="17.453125" style="1630" customWidth="1"/>
    <col min="7175" max="7175" width="20.453125" style="1630" customWidth="1"/>
    <col min="7176" max="7400" width="9.08984375" style="1630"/>
    <col min="7401" max="7401" width="10.7265625" style="1630" bestFit="1" customWidth="1"/>
    <col min="7402" max="7402" width="9.08984375" style="1630"/>
    <col min="7403" max="7403" width="20.7265625" style="1630" customWidth="1"/>
    <col min="7404" max="7404" width="16.7265625" style="1630" customWidth="1"/>
    <col min="7405" max="7405" width="9.453125" style="1630" bestFit="1" customWidth="1"/>
    <col min="7406" max="7406" width="13.90625" style="1630" customWidth="1"/>
    <col min="7407" max="7407" width="10.90625" style="1630" bestFit="1" customWidth="1"/>
    <col min="7408" max="7408" width="17.26953125" style="1630" customWidth="1"/>
    <col min="7409" max="7409" width="9.08984375" style="1630"/>
    <col min="7410" max="7410" width="14.453125" style="1630" bestFit="1" customWidth="1"/>
    <col min="7411" max="7411" width="17.08984375" style="1630" customWidth="1"/>
    <col min="7412" max="7412" width="14.453125" style="1630" customWidth="1"/>
    <col min="7413" max="7413" width="26.90625" style="1630" customWidth="1"/>
    <col min="7414" max="7414" width="26.7265625" style="1630" customWidth="1"/>
    <col min="7415" max="7416" width="9.08984375" style="1630"/>
    <col min="7417" max="7417" width="10.7265625" style="1630" customWidth="1"/>
    <col min="7418" max="7418" width="14.7265625" style="1630" customWidth="1"/>
    <col min="7419" max="7420" width="0" style="1630" hidden="1" customWidth="1"/>
    <col min="7421" max="7421" width="22.7265625" style="1630" customWidth="1"/>
    <col min="7422" max="7422" width="0" style="1630" hidden="1" customWidth="1"/>
    <col min="7423" max="7423" width="24.90625" style="1630" customWidth="1"/>
    <col min="7424" max="7424" width="25.26953125" style="1630" customWidth="1"/>
    <col min="7425" max="7425" width="20.7265625" style="1630" customWidth="1"/>
    <col min="7426" max="7426" width="13.90625" style="1630" customWidth="1"/>
    <col min="7427" max="7427" width="10.90625" style="1630" customWidth="1"/>
    <col min="7428" max="7428" width="16" style="1630" customWidth="1"/>
    <col min="7429" max="7430" width="17.453125" style="1630" customWidth="1"/>
    <col min="7431" max="7431" width="20.453125" style="1630" customWidth="1"/>
    <col min="7432" max="7656" width="9.08984375" style="1630"/>
    <col min="7657" max="7657" width="10.7265625" style="1630" bestFit="1" customWidth="1"/>
    <col min="7658" max="7658" width="9.08984375" style="1630"/>
    <col min="7659" max="7659" width="20.7265625" style="1630" customWidth="1"/>
    <col min="7660" max="7660" width="16.7265625" style="1630" customWidth="1"/>
    <col min="7661" max="7661" width="9.453125" style="1630" bestFit="1" customWidth="1"/>
    <col min="7662" max="7662" width="13.90625" style="1630" customWidth="1"/>
    <col min="7663" max="7663" width="10.90625" style="1630" bestFit="1" customWidth="1"/>
    <col min="7664" max="7664" width="17.26953125" style="1630" customWidth="1"/>
    <col min="7665" max="7665" width="9.08984375" style="1630"/>
    <col min="7666" max="7666" width="14.453125" style="1630" bestFit="1" customWidth="1"/>
    <col min="7667" max="7667" width="17.08984375" style="1630" customWidth="1"/>
    <col min="7668" max="7668" width="14.453125" style="1630" customWidth="1"/>
    <col min="7669" max="7669" width="26.90625" style="1630" customWidth="1"/>
    <col min="7670" max="7670" width="26.7265625" style="1630" customWidth="1"/>
    <col min="7671" max="7672" width="9.08984375" style="1630"/>
    <col min="7673" max="7673" width="10.7265625" style="1630" customWidth="1"/>
    <col min="7674" max="7674" width="14.7265625" style="1630" customWidth="1"/>
    <col min="7675" max="7676" width="0" style="1630" hidden="1" customWidth="1"/>
    <col min="7677" max="7677" width="22.7265625" style="1630" customWidth="1"/>
    <col min="7678" max="7678" width="0" style="1630" hidden="1" customWidth="1"/>
    <col min="7679" max="7679" width="24.90625" style="1630" customWidth="1"/>
    <col min="7680" max="7680" width="25.26953125" style="1630" customWidth="1"/>
    <col min="7681" max="7681" width="20.7265625" style="1630" customWidth="1"/>
    <col min="7682" max="7682" width="13.90625" style="1630" customWidth="1"/>
    <col min="7683" max="7683" width="10.90625" style="1630" customWidth="1"/>
    <col min="7684" max="7684" width="16" style="1630" customWidth="1"/>
    <col min="7685" max="7686" width="17.453125" style="1630" customWidth="1"/>
    <col min="7687" max="7687" width="20.453125" style="1630" customWidth="1"/>
    <col min="7688" max="7912" width="9.08984375" style="1630"/>
    <col min="7913" max="7913" width="10.7265625" style="1630" bestFit="1" customWidth="1"/>
    <col min="7914" max="7914" width="9.08984375" style="1630"/>
    <col min="7915" max="7915" width="20.7265625" style="1630" customWidth="1"/>
    <col min="7916" max="7916" width="16.7265625" style="1630" customWidth="1"/>
    <col min="7917" max="7917" width="9.453125" style="1630" bestFit="1" customWidth="1"/>
    <col min="7918" max="7918" width="13.90625" style="1630" customWidth="1"/>
    <col min="7919" max="7919" width="10.90625" style="1630" bestFit="1" customWidth="1"/>
    <col min="7920" max="7920" width="17.26953125" style="1630" customWidth="1"/>
    <col min="7921" max="7921" width="9.08984375" style="1630"/>
    <col min="7922" max="7922" width="14.453125" style="1630" bestFit="1" customWidth="1"/>
    <col min="7923" max="7923" width="17.08984375" style="1630" customWidth="1"/>
    <col min="7924" max="7924" width="14.453125" style="1630" customWidth="1"/>
    <col min="7925" max="7925" width="26.90625" style="1630" customWidth="1"/>
    <col min="7926" max="7926" width="26.7265625" style="1630" customWidth="1"/>
    <col min="7927" max="7928" width="9.08984375" style="1630"/>
    <col min="7929" max="7929" width="10.7265625" style="1630" customWidth="1"/>
    <col min="7930" max="7930" width="14.7265625" style="1630" customWidth="1"/>
    <col min="7931" max="7932" width="0" style="1630" hidden="1" customWidth="1"/>
    <col min="7933" max="7933" width="22.7265625" style="1630" customWidth="1"/>
    <col min="7934" max="7934" width="0" style="1630" hidden="1" customWidth="1"/>
    <col min="7935" max="7935" width="24.90625" style="1630" customWidth="1"/>
    <col min="7936" max="7936" width="25.26953125" style="1630" customWidth="1"/>
    <col min="7937" max="7937" width="20.7265625" style="1630" customWidth="1"/>
    <col min="7938" max="7938" width="13.90625" style="1630" customWidth="1"/>
    <col min="7939" max="7939" width="10.90625" style="1630" customWidth="1"/>
    <col min="7940" max="7940" width="16" style="1630" customWidth="1"/>
    <col min="7941" max="7942" width="17.453125" style="1630" customWidth="1"/>
    <col min="7943" max="7943" width="20.453125" style="1630" customWidth="1"/>
    <col min="7944" max="8168" width="9.08984375" style="1630"/>
    <col min="8169" max="8169" width="10.7265625" style="1630" bestFit="1" customWidth="1"/>
    <col min="8170" max="8170" width="9.08984375" style="1630"/>
    <col min="8171" max="8171" width="20.7265625" style="1630" customWidth="1"/>
    <col min="8172" max="8172" width="16.7265625" style="1630" customWidth="1"/>
    <col min="8173" max="8173" width="9.453125" style="1630" bestFit="1" customWidth="1"/>
    <col min="8174" max="8174" width="13.90625" style="1630" customWidth="1"/>
    <col min="8175" max="8175" width="10.90625" style="1630" bestFit="1" customWidth="1"/>
    <col min="8176" max="8176" width="17.26953125" style="1630" customWidth="1"/>
    <col min="8177" max="8177" width="9.08984375" style="1630"/>
    <col min="8178" max="8178" width="14.453125" style="1630" bestFit="1" customWidth="1"/>
    <col min="8179" max="8179" width="17.08984375" style="1630" customWidth="1"/>
    <col min="8180" max="8180" width="14.453125" style="1630" customWidth="1"/>
    <col min="8181" max="8181" width="26.90625" style="1630" customWidth="1"/>
    <col min="8182" max="8182" width="26.7265625" style="1630" customWidth="1"/>
    <col min="8183" max="8184" width="9.08984375" style="1630"/>
    <col min="8185" max="8185" width="10.7265625" style="1630" customWidth="1"/>
    <col min="8186" max="8186" width="14.7265625" style="1630" customWidth="1"/>
    <col min="8187" max="8188" width="0" style="1630" hidden="1" customWidth="1"/>
    <col min="8189" max="8189" width="22.7265625" style="1630" customWidth="1"/>
    <col min="8190" max="8190" width="0" style="1630" hidden="1" customWidth="1"/>
    <col min="8191" max="8191" width="24.90625" style="1630" customWidth="1"/>
    <col min="8192" max="8192" width="25.26953125" style="1630" customWidth="1"/>
    <col min="8193" max="8193" width="20.7265625" style="1630" customWidth="1"/>
    <col min="8194" max="8194" width="13.90625" style="1630" customWidth="1"/>
    <col min="8195" max="8195" width="10.90625" style="1630" customWidth="1"/>
    <col min="8196" max="8196" width="16" style="1630" customWidth="1"/>
    <col min="8197" max="8198" width="17.453125" style="1630" customWidth="1"/>
    <col min="8199" max="8199" width="20.453125" style="1630" customWidth="1"/>
    <col min="8200" max="8424" width="9.08984375" style="1630"/>
    <col min="8425" max="8425" width="10.7265625" style="1630" bestFit="1" customWidth="1"/>
    <col min="8426" max="8426" width="9.08984375" style="1630"/>
    <col min="8427" max="8427" width="20.7265625" style="1630" customWidth="1"/>
    <col min="8428" max="8428" width="16.7265625" style="1630" customWidth="1"/>
    <col min="8429" max="8429" width="9.453125" style="1630" bestFit="1" customWidth="1"/>
    <col min="8430" max="8430" width="13.90625" style="1630" customWidth="1"/>
    <col min="8431" max="8431" width="10.90625" style="1630" bestFit="1" customWidth="1"/>
    <col min="8432" max="8432" width="17.26953125" style="1630" customWidth="1"/>
    <col min="8433" max="8433" width="9.08984375" style="1630"/>
    <col min="8434" max="8434" width="14.453125" style="1630" bestFit="1" customWidth="1"/>
    <col min="8435" max="8435" width="17.08984375" style="1630" customWidth="1"/>
    <col min="8436" max="8436" width="14.453125" style="1630" customWidth="1"/>
    <col min="8437" max="8437" width="26.90625" style="1630" customWidth="1"/>
    <col min="8438" max="8438" width="26.7265625" style="1630" customWidth="1"/>
    <col min="8439" max="8440" width="9.08984375" style="1630"/>
    <col min="8441" max="8441" width="10.7265625" style="1630" customWidth="1"/>
    <col min="8442" max="8442" width="14.7265625" style="1630" customWidth="1"/>
    <col min="8443" max="8444" width="0" style="1630" hidden="1" customWidth="1"/>
    <col min="8445" max="8445" width="22.7265625" style="1630" customWidth="1"/>
    <col min="8446" max="8446" width="0" style="1630" hidden="1" customWidth="1"/>
    <col min="8447" max="8447" width="24.90625" style="1630" customWidth="1"/>
    <col min="8448" max="8448" width="25.26953125" style="1630" customWidth="1"/>
    <col min="8449" max="8449" width="20.7265625" style="1630" customWidth="1"/>
    <col min="8450" max="8450" width="13.90625" style="1630" customWidth="1"/>
    <col min="8451" max="8451" width="10.90625" style="1630" customWidth="1"/>
    <col min="8452" max="8452" width="16" style="1630" customWidth="1"/>
    <col min="8453" max="8454" width="17.453125" style="1630" customWidth="1"/>
    <col min="8455" max="8455" width="20.453125" style="1630" customWidth="1"/>
    <col min="8456" max="8680" width="9.08984375" style="1630"/>
    <col min="8681" max="8681" width="10.7265625" style="1630" bestFit="1" customWidth="1"/>
    <col min="8682" max="8682" width="9.08984375" style="1630"/>
    <col min="8683" max="8683" width="20.7265625" style="1630" customWidth="1"/>
    <col min="8684" max="8684" width="16.7265625" style="1630" customWidth="1"/>
    <col min="8685" max="8685" width="9.453125" style="1630" bestFit="1" customWidth="1"/>
    <col min="8686" max="8686" width="13.90625" style="1630" customWidth="1"/>
    <col min="8687" max="8687" width="10.90625" style="1630" bestFit="1" customWidth="1"/>
    <col min="8688" max="8688" width="17.26953125" style="1630" customWidth="1"/>
    <col min="8689" max="8689" width="9.08984375" style="1630"/>
    <col min="8690" max="8690" width="14.453125" style="1630" bestFit="1" customWidth="1"/>
    <col min="8691" max="8691" width="17.08984375" style="1630" customWidth="1"/>
    <col min="8692" max="8692" width="14.453125" style="1630" customWidth="1"/>
    <col min="8693" max="8693" width="26.90625" style="1630" customWidth="1"/>
    <col min="8694" max="8694" width="26.7265625" style="1630" customWidth="1"/>
    <col min="8695" max="8696" width="9.08984375" style="1630"/>
    <col min="8697" max="8697" width="10.7265625" style="1630" customWidth="1"/>
    <col min="8698" max="8698" width="14.7265625" style="1630" customWidth="1"/>
    <col min="8699" max="8700" width="0" style="1630" hidden="1" customWidth="1"/>
    <col min="8701" max="8701" width="22.7265625" style="1630" customWidth="1"/>
    <col min="8702" max="8702" width="0" style="1630" hidden="1" customWidth="1"/>
    <col min="8703" max="8703" width="24.90625" style="1630" customWidth="1"/>
    <col min="8704" max="8704" width="25.26953125" style="1630" customWidth="1"/>
    <col min="8705" max="8705" width="20.7265625" style="1630" customWidth="1"/>
    <col min="8706" max="8706" width="13.90625" style="1630" customWidth="1"/>
    <col min="8707" max="8707" width="10.90625" style="1630" customWidth="1"/>
    <col min="8708" max="8708" width="16" style="1630" customWidth="1"/>
    <col min="8709" max="8710" width="17.453125" style="1630" customWidth="1"/>
    <col min="8711" max="8711" width="20.453125" style="1630" customWidth="1"/>
    <col min="8712" max="8936" width="9.08984375" style="1630"/>
    <col min="8937" max="8937" width="10.7265625" style="1630" bestFit="1" customWidth="1"/>
    <col min="8938" max="8938" width="9.08984375" style="1630"/>
    <col min="8939" max="8939" width="20.7265625" style="1630" customWidth="1"/>
    <col min="8940" max="8940" width="16.7265625" style="1630" customWidth="1"/>
    <col min="8941" max="8941" width="9.453125" style="1630" bestFit="1" customWidth="1"/>
    <col min="8942" max="8942" width="13.90625" style="1630" customWidth="1"/>
    <col min="8943" max="8943" width="10.90625" style="1630" bestFit="1" customWidth="1"/>
    <col min="8944" max="8944" width="17.26953125" style="1630" customWidth="1"/>
    <col min="8945" max="8945" width="9.08984375" style="1630"/>
    <col min="8946" max="8946" width="14.453125" style="1630" bestFit="1" customWidth="1"/>
    <col min="8947" max="8947" width="17.08984375" style="1630" customWidth="1"/>
    <col min="8948" max="8948" width="14.453125" style="1630" customWidth="1"/>
    <col min="8949" max="8949" width="26.90625" style="1630" customWidth="1"/>
    <col min="8950" max="8950" width="26.7265625" style="1630" customWidth="1"/>
    <col min="8951" max="8952" width="9.08984375" style="1630"/>
    <col min="8953" max="8953" width="10.7265625" style="1630" customWidth="1"/>
    <col min="8954" max="8954" width="14.7265625" style="1630" customWidth="1"/>
    <col min="8955" max="8956" width="0" style="1630" hidden="1" customWidth="1"/>
    <col min="8957" max="8957" width="22.7265625" style="1630" customWidth="1"/>
    <col min="8958" max="8958" width="0" style="1630" hidden="1" customWidth="1"/>
    <col min="8959" max="8959" width="24.90625" style="1630" customWidth="1"/>
    <col min="8960" max="8960" width="25.26953125" style="1630" customWidth="1"/>
    <col min="8961" max="8961" width="20.7265625" style="1630" customWidth="1"/>
    <col min="8962" max="8962" width="13.90625" style="1630" customWidth="1"/>
    <col min="8963" max="8963" width="10.90625" style="1630" customWidth="1"/>
    <col min="8964" max="8964" width="16" style="1630" customWidth="1"/>
    <col min="8965" max="8966" width="17.453125" style="1630" customWidth="1"/>
    <col min="8967" max="8967" width="20.453125" style="1630" customWidth="1"/>
    <col min="8968" max="9192" width="9.08984375" style="1630"/>
    <col min="9193" max="9193" width="10.7265625" style="1630" bestFit="1" customWidth="1"/>
    <col min="9194" max="9194" width="9.08984375" style="1630"/>
    <col min="9195" max="9195" width="20.7265625" style="1630" customWidth="1"/>
    <col min="9196" max="9196" width="16.7265625" style="1630" customWidth="1"/>
    <col min="9197" max="9197" width="9.453125" style="1630" bestFit="1" customWidth="1"/>
    <col min="9198" max="9198" width="13.90625" style="1630" customWidth="1"/>
    <col min="9199" max="9199" width="10.90625" style="1630" bestFit="1" customWidth="1"/>
    <col min="9200" max="9200" width="17.26953125" style="1630" customWidth="1"/>
    <col min="9201" max="9201" width="9.08984375" style="1630"/>
    <col min="9202" max="9202" width="14.453125" style="1630" bestFit="1" customWidth="1"/>
    <col min="9203" max="9203" width="17.08984375" style="1630" customWidth="1"/>
    <col min="9204" max="9204" width="14.453125" style="1630" customWidth="1"/>
    <col min="9205" max="9205" width="26.90625" style="1630" customWidth="1"/>
    <col min="9206" max="9206" width="26.7265625" style="1630" customWidth="1"/>
    <col min="9207" max="9208" width="9.08984375" style="1630"/>
    <col min="9209" max="9209" width="10.7265625" style="1630" customWidth="1"/>
    <col min="9210" max="9210" width="14.7265625" style="1630" customWidth="1"/>
    <col min="9211" max="9212" width="0" style="1630" hidden="1" customWidth="1"/>
    <col min="9213" max="9213" width="22.7265625" style="1630" customWidth="1"/>
    <col min="9214" max="9214" width="0" style="1630" hidden="1" customWidth="1"/>
    <col min="9215" max="9215" width="24.90625" style="1630" customWidth="1"/>
    <col min="9216" max="9216" width="25.26953125" style="1630" customWidth="1"/>
    <col min="9217" max="9217" width="20.7265625" style="1630" customWidth="1"/>
    <col min="9218" max="9218" width="13.90625" style="1630" customWidth="1"/>
    <col min="9219" max="9219" width="10.90625" style="1630" customWidth="1"/>
    <col min="9220" max="9220" width="16" style="1630" customWidth="1"/>
    <col min="9221" max="9222" width="17.453125" style="1630" customWidth="1"/>
    <col min="9223" max="9223" width="20.453125" style="1630" customWidth="1"/>
    <col min="9224" max="9448" width="9.08984375" style="1630"/>
    <col min="9449" max="9449" width="10.7265625" style="1630" bestFit="1" customWidth="1"/>
    <col min="9450" max="9450" width="9.08984375" style="1630"/>
    <col min="9451" max="9451" width="20.7265625" style="1630" customWidth="1"/>
    <col min="9452" max="9452" width="16.7265625" style="1630" customWidth="1"/>
    <col min="9453" max="9453" width="9.453125" style="1630" bestFit="1" customWidth="1"/>
    <col min="9454" max="9454" width="13.90625" style="1630" customWidth="1"/>
    <col min="9455" max="9455" width="10.90625" style="1630" bestFit="1" customWidth="1"/>
    <col min="9456" max="9456" width="17.26953125" style="1630" customWidth="1"/>
    <col min="9457" max="9457" width="9.08984375" style="1630"/>
    <col min="9458" max="9458" width="14.453125" style="1630" bestFit="1" customWidth="1"/>
    <col min="9459" max="9459" width="17.08984375" style="1630" customWidth="1"/>
    <col min="9460" max="9460" width="14.453125" style="1630" customWidth="1"/>
    <col min="9461" max="9461" width="26.90625" style="1630" customWidth="1"/>
    <col min="9462" max="9462" width="26.7265625" style="1630" customWidth="1"/>
    <col min="9463" max="9464" width="9.08984375" style="1630"/>
    <col min="9465" max="9465" width="10.7265625" style="1630" customWidth="1"/>
    <col min="9466" max="9466" width="14.7265625" style="1630" customWidth="1"/>
    <col min="9467" max="9468" width="0" style="1630" hidden="1" customWidth="1"/>
    <col min="9469" max="9469" width="22.7265625" style="1630" customWidth="1"/>
    <col min="9470" max="9470" width="0" style="1630" hidden="1" customWidth="1"/>
    <col min="9471" max="9471" width="24.90625" style="1630" customWidth="1"/>
    <col min="9472" max="9472" width="25.26953125" style="1630" customWidth="1"/>
    <col min="9473" max="9473" width="20.7265625" style="1630" customWidth="1"/>
    <col min="9474" max="9474" width="13.90625" style="1630" customWidth="1"/>
    <col min="9475" max="9475" width="10.90625" style="1630" customWidth="1"/>
    <col min="9476" max="9476" width="16" style="1630" customWidth="1"/>
    <col min="9477" max="9478" width="17.453125" style="1630" customWidth="1"/>
    <col min="9479" max="9479" width="20.453125" style="1630" customWidth="1"/>
    <col min="9480" max="9704" width="9.08984375" style="1630"/>
    <col min="9705" max="9705" width="10.7265625" style="1630" bestFit="1" customWidth="1"/>
    <col min="9706" max="9706" width="9.08984375" style="1630"/>
    <col min="9707" max="9707" width="20.7265625" style="1630" customWidth="1"/>
    <col min="9708" max="9708" width="16.7265625" style="1630" customWidth="1"/>
    <col min="9709" max="9709" width="9.453125" style="1630" bestFit="1" customWidth="1"/>
    <col min="9710" max="9710" width="13.90625" style="1630" customWidth="1"/>
    <col min="9711" max="9711" width="10.90625" style="1630" bestFit="1" customWidth="1"/>
    <col min="9712" max="9712" width="17.26953125" style="1630" customWidth="1"/>
    <col min="9713" max="9713" width="9.08984375" style="1630"/>
    <col min="9714" max="9714" width="14.453125" style="1630" bestFit="1" customWidth="1"/>
    <col min="9715" max="9715" width="17.08984375" style="1630" customWidth="1"/>
    <col min="9716" max="9716" width="14.453125" style="1630" customWidth="1"/>
    <col min="9717" max="9717" width="26.90625" style="1630" customWidth="1"/>
    <col min="9718" max="9718" width="26.7265625" style="1630" customWidth="1"/>
    <col min="9719" max="9720" width="9.08984375" style="1630"/>
    <col min="9721" max="9721" width="10.7265625" style="1630" customWidth="1"/>
    <col min="9722" max="9722" width="14.7265625" style="1630" customWidth="1"/>
    <col min="9723" max="9724" width="0" style="1630" hidden="1" customWidth="1"/>
    <col min="9725" max="9725" width="22.7265625" style="1630" customWidth="1"/>
    <col min="9726" max="9726" width="0" style="1630" hidden="1" customWidth="1"/>
    <col min="9727" max="9727" width="24.90625" style="1630" customWidth="1"/>
    <col min="9728" max="9728" width="25.26953125" style="1630" customWidth="1"/>
    <col min="9729" max="9729" width="20.7265625" style="1630" customWidth="1"/>
    <col min="9730" max="9730" width="13.90625" style="1630" customWidth="1"/>
    <col min="9731" max="9731" width="10.90625" style="1630" customWidth="1"/>
    <col min="9732" max="9732" width="16" style="1630" customWidth="1"/>
    <col min="9733" max="9734" width="17.453125" style="1630" customWidth="1"/>
    <col min="9735" max="9735" width="20.453125" style="1630" customWidth="1"/>
    <col min="9736" max="9960" width="9.08984375" style="1630"/>
    <col min="9961" max="9961" width="10.7265625" style="1630" bestFit="1" customWidth="1"/>
    <col min="9962" max="9962" width="9.08984375" style="1630"/>
    <col min="9963" max="9963" width="20.7265625" style="1630" customWidth="1"/>
    <col min="9964" max="9964" width="16.7265625" style="1630" customWidth="1"/>
    <col min="9965" max="9965" width="9.453125" style="1630" bestFit="1" customWidth="1"/>
    <col min="9966" max="9966" width="13.90625" style="1630" customWidth="1"/>
    <col min="9967" max="9967" width="10.90625" style="1630" bestFit="1" customWidth="1"/>
    <col min="9968" max="9968" width="17.26953125" style="1630" customWidth="1"/>
    <col min="9969" max="9969" width="9.08984375" style="1630"/>
    <col min="9970" max="9970" width="14.453125" style="1630" bestFit="1" customWidth="1"/>
    <col min="9971" max="9971" width="17.08984375" style="1630" customWidth="1"/>
    <col min="9972" max="9972" width="14.453125" style="1630" customWidth="1"/>
    <col min="9973" max="9973" width="26.90625" style="1630" customWidth="1"/>
    <col min="9974" max="9974" width="26.7265625" style="1630" customWidth="1"/>
    <col min="9975" max="9976" width="9.08984375" style="1630"/>
    <col min="9977" max="9977" width="10.7265625" style="1630" customWidth="1"/>
    <col min="9978" max="9978" width="14.7265625" style="1630" customWidth="1"/>
    <col min="9979" max="9980" width="0" style="1630" hidden="1" customWidth="1"/>
    <col min="9981" max="9981" width="22.7265625" style="1630" customWidth="1"/>
    <col min="9982" max="9982" width="0" style="1630" hidden="1" customWidth="1"/>
    <col min="9983" max="9983" width="24.90625" style="1630" customWidth="1"/>
    <col min="9984" max="9984" width="25.26953125" style="1630" customWidth="1"/>
    <col min="9985" max="9985" width="20.7265625" style="1630" customWidth="1"/>
    <col min="9986" max="9986" width="13.90625" style="1630" customWidth="1"/>
    <col min="9987" max="9987" width="10.90625" style="1630" customWidth="1"/>
    <col min="9988" max="9988" width="16" style="1630" customWidth="1"/>
    <col min="9989" max="9990" width="17.453125" style="1630" customWidth="1"/>
    <col min="9991" max="9991" width="20.453125" style="1630" customWidth="1"/>
    <col min="9992" max="10216" width="9.08984375" style="1630"/>
    <col min="10217" max="10217" width="10.7265625" style="1630" bestFit="1" customWidth="1"/>
    <col min="10218" max="10218" width="9.08984375" style="1630"/>
    <col min="10219" max="10219" width="20.7265625" style="1630" customWidth="1"/>
    <col min="10220" max="10220" width="16.7265625" style="1630" customWidth="1"/>
    <col min="10221" max="10221" width="9.453125" style="1630" bestFit="1" customWidth="1"/>
    <col min="10222" max="10222" width="13.90625" style="1630" customWidth="1"/>
    <col min="10223" max="10223" width="10.90625" style="1630" bestFit="1" customWidth="1"/>
    <col min="10224" max="10224" width="17.26953125" style="1630" customWidth="1"/>
    <col min="10225" max="10225" width="9.08984375" style="1630"/>
    <col min="10226" max="10226" width="14.453125" style="1630" bestFit="1" customWidth="1"/>
    <col min="10227" max="10227" width="17.08984375" style="1630" customWidth="1"/>
    <col min="10228" max="10228" width="14.453125" style="1630" customWidth="1"/>
    <col min="10229" max="10229" width="26.90625" style="1630" customWidth="1"/>
    <col min="10230" max="10230" width="26.7265625" style="1630" customWidth="1"/>
    <col min="10231" max="10232" width="9.08984375" style="1630"/>
    <col min="10233" max="10233" width="10.7265625" style="1630" customWidth="1"/>
    <col min="10234" max="10234" width="14.7265625" style="1630" customWidth="1"/>
    <col min="10235" max="10236" width="0" style="1630" hidden="1" customWidth="1"/>
    <col min="10237" max="10237" width="22.7265625" style="1630" customWidth="1"/>
    <col min="10238" max="10238" width="0" style="1630" hidden="1" customWidth="1"/>
    <col min="10239" max="10239" width="24.90625" style="1630" customWidth="1"/>
    <col min="10240" max="10240" width="25.26953125" style="1630" customWidth="1"/>
    <col min="10241" max="10241" width="20.7265625" style="1630" customWidth="1"/>
    <col min="10242" max="10242" width="13.90625" style="1630" customWidth="1"/>
    <col min="10243" max="10243" width="10.90625" style="1630" customWidth="1"/>
    <col min="10244" max="10244" width="16" style="1630" customWidth="1"/>
    <col min="10245" max="10246" width="17.453125" style="1630" customWidth="1"/>
    <col min="10247" max="10247" width="20.453125" style="1630" customWidth="1"/>
    <col min="10248" max="10472" width="9.08984375" style="1630"/>
    <col min="10473" max="10473" width="10.7265625" style="1630" bestFit="1" customWidth="1"/>
    <col min="10474" max="10474" width="9.08984375" style="1630"/>
    <col min="10475" max="10475" width="20.7265625" style="1630" customWidth="1"/>
    <col min="10476" max="10476" width="16.7265625" style="1630" customWidth="1"/>
    <col min="10477" max="10477" width="9.453125" style="1630" bestFit="1" customWidth="1"/>
    <col min="10478" max="10478" width="13.90625" style="1630" customWidth="1"/>
    <col min="10479" max="10479" width="10.90625" style="1630" bestFit="1" customWidth="1"/>
    <col min="10480" max="10480" width="17.26953125" style="1630" customWidth="1"/>
    <col min="10481" max="10481" width="9.08984375" style="1630"/>
    <col min="10482" max="10482" width="14.453125" style="1630" bestFit="1" customWidth="1"/>
    <col min="10483" max="10483" width="17.08984375" style="1630" customWidth="1"/>
    <col min="10484" max="10484" width="14.453125" style="1630" customWidth="1"/>
    <col min="10485" max="10485" width="26.90625" style="1630" customWidth="1"/>
    <col min="10486" max="10486" width="26.7265625" style="1630" customWidth="1"/>
    <col min="10487" max="10488" width="9.08984375" style="1630"/>
    <col min="10489" max="10489" width="10.7265625" style="1630" customWidth="1"/>
    <col min="10490" max="10490" width="14.7265625" style="1630" customWidth="1"/>
    <col min="10491" max="10492" width="0" style="1630" hidden="1" customWidth="1"/>
    <col min="10493" max="10493" width="22.7265625" style="1630" customWidth="1"/>
    <col min="10494" max="10494" width="0" style="1630" hidden="1" customWidth="1"/>
    <col min="10495" max="10495" width="24.90625" style="1630" customWidth="1"/>
    <col min="10496" max="10496" width="25.26953125" style="1630" customWidth="1"/>
    <col min="10497" max="10497" width="20.7265625" style="1630" customWidth="1"/>
    <col min="10498" max="10498" width="13.90625" style="1630" customWidth="1"/>
    <col min="10499" max="10499" width="10.90625" style="1630" customWidth="1"/>
    <col min="10500" max="10500" width="16" style="1630" customWidth="1"/>
    <col min="10501" max="10502" width="17.453125" style="1630" customWidth="1"/>
    <col min="10503" max="10503" width="20.453125" style="1630" customWidth="1"/>
    <col min="10504" max="10728" width="9.08984375" style="1630"/>
    <col min="10729" max="10729" width="10.7265625" style="1630" bestFit="1" customWidth="1"/>
    <col min="10730" max="10730" width="9.08984375" style="1630"/>
    <col min="10731" max="10731" width="20.7265625" style="1630" customWidth="1"/>
    <col min="10732" max="10732" width="16.7265625" style="1630" customWidth="1"/>
    <col min="10733" max="10733" width="9.453125" style="1630" bestFit="1" customWidth="1"/>
    <col min="10734" max="10734" width="13.90625" style="1630" customWidth="1"/>
    <col min="10735" max="10735" width="10.90625" style="1630" bestFit="1" customWidth="1"/>
    <col min="10736" max="10736" width="17.26953125" style="1630" customWidth="1"/>
    <col min="10737" max="10737" width="9.08984375" style="1630"/>
    <col min="10738" max="10738" width="14.453125" style="1630" bestFit="1" customWidth="1"/>
    <col min="10739" max="10739" width="17.08984375" style="1630" customWidth="1"/>
    <col min="10740" max="10740" width="14.453125" style="1630" customWidth="1"/>
    <col min="10741" max="10741" width="26.90625" style="1630" customWidth="1"/>
    <col min="10742" max="10742" width="26.7265625" style="1630" customWidth="1"/>
    <col min="10743" max="10744" width="9.08984375" style="1630"/>
    <col min="10745" max="10745" width="10.7265625" style="1630" customWidth="1"/>
    <col min="10746" max="10746" width="14.7265625" style="1630" customWidth="1"/>
    <col min="10747" max="10748" width="0" style="1630" hidden="1" customWidth="1"/>
    <col min="10749" max="10749" width="22.7265625" style="1630" customWidth="1"/>
    <col min="10750" max="10750" width="0" style="1630" hidden="1" customWidth="1"/>
    <col min="10751" max="10751" width="24.90625" style="1630" customWidth="1"/>
    <col min="10752" max="10752" width="25.26953125" style="1630" customWidth="1"/>
    <col min="10753" max="10753" width="20.7265625" style="1630" customWidth="1"/>
    <col min="10754" max="10754" width="13.90625" style="1630" customWidth="1"/>
    <col min="10755" max="10755" width="10.90625" style="1630" customWidth="1"/>
    <col min="10756" max="10756" width="16" style="1630" customWidth="1"/>
    <col min="10757" max="10758" width="17.453125" style="1630" customWidth="1"/>
    <col min="10759" max="10759" width="20.453125" style="1630" customWidth="1"/>
    <col min="10760" max="10984" width="9.08984375" style="1630"/>
    <col min="10985" max="10985" width="10.7265625" style="1630" bestFit="1" customWidth="1"/>
    <col min="10986" max="10986" width="9.08984375" style="1630"/>
    <col min="10987" max="10987" width="20.7265625" style="1630" customWidth="1"/>
    <col min="10988" max="10988" width="16.7265625" style="1630" customWidth="1"/>
    <col min="10989" max="10989" width="9.453125" style="1630" bestFit="1" customWidth="1"/>
    <col min="10990" max="10990" width="13.90625" style="1630" customWidth="1"/>
    <col min="10991" max="10991" width="10.90625" style="1630" bestFit="1" customWidth="1"/>
    <col min="10992" max="10992" width="17.26953125" style="1630" customWidth="1"/>
    <col min="10993" max="10993" width="9.08984375" style="1630"/>
    <col min="10994" max="10994" width="14.453125" style="1630" bestFit="1" customWidth="1"/>
    <col min="10995" max="10995" width="17.08984375" style="1630" customWidth="1"/>
    <col min="10996" max="10996" width="14.453125" style="1630" customWidth="1"/>
    <col min="10997" max="10997" width="26.90625" style="1630" customWidth="1"/>
    <col min="10998" max="10998" width="26.7265625" style="1630" customWidth="1"/>
    <col min="10999" max="11000" width="9.08984375" style="1630"/>
    <col min="11001" max="11001" width="10.7265625" style="1630" customWidth="1"/>
    <col min="11002" max="11002" width="14.7265625" style="1630" customWidth="1"/>
    <col min="11003" max="11004" width="0" style="1630" hidden="1" customWidth="1"/>
    <col min="11005" max="11005" width="22.7265625" style="1630" customWidth="1"/>
    <col min="11006" max="11006" width="0" style="1630" hidden="1" customWidth="1"/>
    <col min="11007" max="11007" width="24.90625" style="1630" customWidth="1"/>
    <col min="11008" max="11008" width="25.26953125" style="1630" customWidth="1"/>
    <col min="11009" max="11009" width="20.7265625" style="1630" customWidth="1"/>
    <col min="11010" max="11010" width="13.90625" style="1630" customWidth="1"/>
    <col min="11011" max="11011" width="10.90625" style="1630" customWidth="1"/>
    <col min="11012" max="11012" width="16" style="1630" customWidth="1"/>
    <col min="11013" max="11014" width="17.453125" style="1630" customWidth="1"/>
    <col min="11015" max="11015" width="20.453125" style="1630" customWidth="1"/>
    <col min="11016" max="11240" width="9.08984375" style="1630"/>
    <col min="11241" max="11241" width="10.7265625" style="1630" bestFit="1" customWidth="1"/>
    <col min="11242" max="11242" width="9.08984375" style="1630"/>
    <col min="11243" max="11243" width="20.7265625" style="1630" customWidth="1"/>
    <col min="11244" max="11244" width="16.7265625" style="1630" customWidth="1"/>
    <col min="11245" max="11245" width="9.453125" style="1630" bestFit="1" customWidth="1"/>
    <col min="11246" max="11246" width="13.90625" style="1630" customWidth="1"/>
    <col min="11247" max="11247" width="10.90625" style="1630" bestFit="1" customWidth="1"/>
    <col min="11248" max="11248" width="17.26953125" style="1630" customWidth="1"/>
    <col min="11249" max="11249" width="9.08984375" style="1630"/>
    <col min="11250" max="11250" width="14.453125" style="1630" bestFit="1" customWidth="1"/>
    <col min="11251" max="11251" width="17.08984375" style="1630" customWidth="1"/>
    <col min="11252" max="11252" width="14.453125" style="1630" customWidth="1"/>
    <col min="11253" max="11253" width="26.90625" style="1630" customWidth="1"/>
    <col min="11254" max="11254" width="26.7265625" style="1630" customWidth="1"/>
    <col min="11255" max="11256" width="9.08984375" style="1630"/>
    <col min="11257" max="11257" width="10.7265625" style="1630" customWidth="1"/>
    <col min="11258" max="11258" width="14.7265625" style="1630" customWidth="1"/>
    <col min="11259" max="11260" width="0" style="1630" hidden="1" customWidth="1"/>
    <col min="11261" max="11261" width="22.7265625" style="1630" customWidth="1"/>
    <col min="11262" max="11262" width="0" style="1630" hidden="1" customWidth="1"/>
    <col min="11263" max="11263" width="24.90625" style="1630" customWidth="1"/>
    <col min="11264" max="11264" width="25.26953125" style="1630" customWidth="1"/>
    <col min="11265" max="11265" width="20.7265625" style="1630" customWidth="1"/>
    <col min="11266" max="11266" width="13.90625" style="1630" customWidth="1"/>
    <col min="11267" max="11267" width="10.90625" style="1630" customWidth="1"/>
    <col min="11268" max="11268" width="16" style="1630" customWidth="1"/>
    <col min="11269" max="11270" width="17.453125" style="1630" customWidth="1"/>
    <col min="11271" max="11271" width="20.453125" style="1630" customWidth="1"/>
    <col min="11272" max="11496" width="9.08984375" style="1630"/>
    <col min="11497" max="11497" width="10.7265625" style="1630" bestFit="1" customWidth="1"/>
    <col min="11498" max="11498" width="9.08984375" style="1630"/>
    <col min="11499" max="11499" width="20.7265625" style="1630" customWidth="1"/>
    <col min="11500" max="11500" width="16.7265625" style="1630" customWidth="1"/>
    <col min="11501" max="11501" width="9.453125" style="1630" bestFit="1" customWidth="1"/>
    <col min="11502" max="11502" width="13.90625" style="1630" customWidth="1"/>
    <col min="11503" max="11503" width="10.90625" style="1630" bestFit="1" customWidth="1"/>
    <col min="11504" max="11504" width="17.26953125" style="1630" customWidth="1"/>
    <col min="11505" max="11505" width="9.08984375" style="1630"/>
    <col min="11506" max="11506" width="14.453125" style="1630" bestFit="1" customWidth="1"/>
    <col min="11507" max="11507" width="17.08984375" style="1630" customWidth="1"/>
    <col min="11508" max="11508" width="14.453125" style="1630" customWidth="1"/>
    <col min="11509" max="11509" width="26.90625" style="1630" customWidth="1"/>
    <col min="11510" max="11510" width="26.7265625" style="1630" customWidth="1"/>
    <col min="11511" max="11512" width="9.08984375" style="1630"/>
    <col min="11513" max="11513" width="10.7265625" style="1630" customWidth="1"/>
    <col min="11514" max="11514" width="14.7265625" style="1630" customWidth="1"/>
    <col min="11515" max="11516" width="0" style="1630" hidden="1" customWidth="1"/>
    <col min="11517" max="11517" width="22.7265625" style="1630" customWidth="1"/>
    <col min="11518" max="11518" width="0" style="1630" hidden="1" customWidth="1"/>
    <col min="11519" max="11519" width="24.90625" style="1630" customWidth="1"/>
    <col min="11520" max="11520" width="25.26953125" style="1630" customWidth="1"/>
    <col min="11521" max="11521" width="20.7265625" style="1630" customWidth="1"/>
    <col min="11522" max="11522" width="13.90625" style="1630" customWidth="1"/>
    <col min="11523" max="11523" width="10.90625" style="1630" customWidth="1"/>
    <col min="11524" max="11524" width="16" style="1630" customWidth="1"/>
    <col min="11525" max="11526" width="17.453125" style="1630" customWidth="1"/>
    <col min="11527" max="11527" width="20.453125" style="1630" customWidth="1"/>
    <col min="11528" max="11752" width="9.08984375" style="1630"/>
    <col min="11753" max="11753" width="10.7265625" style="1630" bestFit="1" customWidth="1"/>
    <col min="11754" max="11754" width="9.08984375" style="1630"/>
    <col min="11755" max="11755" width="20.7265625" style="1630" customWidth="1"/>
    <col min="11756" max="11756" width="16.7265625" style="1630" customWidth="1"/>
    <col min="11757" max="11757" width="9.453125" style="1630" bestFit="1" customWidth="1"/>
    <col min="11758" max="11758" width="13.90625" style="1630" customWidth="1"/>
    <col min="11759" max="11759" width="10.90625" style="1630" bestFit="1" customWidth="1"/>
    <col min="11760" max="11760" width="17.26953125" style="1630" customWidth="1"/>
    <col min="11761" max="11761" width="9.08984375" style="1630"/>
    <col min="11762" max="11762" width="14.453125" style="1630" bestFit="1" customWidth="1"/>
    <col min="11763" max="11763" width="17.08984375" style="1630" customWidth="1"/>
    <col min="11764" max="11764" width="14.453125" style="1630" customWidth="1"/>
    <col min="11765" max="11765" width="26.90625" style="1630" customWidth="1"/>
    <col min="11766" max="11766" width="26.7265625" style="1630" customWidth="1"/>
    <col min="11767" max="11768" width="9.08984375" style="1630"/>
    <col min="11769" max="11769" width="10.7265625" style="1630" customWidth="1"/>
    <col min="11770" max="11770" width="14.7265625" style="1630" customWidth="1"/>
    <col min="11771" max="11772" width="0" style="1630" hidden="1" customWidth="1"/>
    <col min="11773" max="11773" width="22.7265625" style="1630" customWidth="1"/>
    <col min="11774" max="11774" width="0" style="1630" hidden="1" customWidth="1"/>
    <col min="11775" max="11775" width="24.90625" style="1630" customWidth="1"/>
    <col min="11776" max="11776" width="25.26953125" style="1630" customWidth="1"/>
    <col min="11777" max="11777" width="20.7265625" style="1630" customWidth="1"/>
    <col min="11778" max="11778" width="13.90625" style="1630" customWidth="1"/>
    <col min="11779" max="11779" width="10.90625" style="1630" customWidth="1"/>
    <col min="11780" max="11780" width="16" style="1630" customWidth="1"/>
    <col min="11781" max="11782" width="17.453125" style="1630" customWidth="1"/>
    <col min="11783" max="11783" width="20.453125" style="1630" customWidth="1"/>
    <col min="11784" max="12008" width="9.08984375" style="1630"/>
    <col min="12009" max="12009" width="10.7265625" style="1630" bestFit="1" customWidth="1"/>
    <col min="12010" max="12010" width="9.08984375" style="1630"/>
    <col min="12011" max="12011" width="20.7265625" style="1630" customWidth="1"/>
    <col min="12012" max="12012" width="16.7265625" style="1630" customWidth="1"/>
    <col min="12013" max="12013" width="9.453125" style="1630" bestFit="1" customWidth="1"/>
    <col min="12014" max="12014" width="13.90625" style="1630" customWidth="1"/>
    <col min="12015" max="12015" width="10.90625" style="1630" bestFit="1" customWidth="1"/>
    <col min="12016" max="12016" width="17.26953125" style="1630" customWidth="1"/>
    <col min="12017" max="12017" width="9.08984375" style="1630"/>
    <col min="12018" max="12018" width="14.453125" style="1630" bestFit="1" customWidth="1"/>
    <col min="12019" max="12019" width="17.08984375" style="1630" customWidth="1"/>
    <col min="12020" max="12020" width="14.453125" style="1630" customWidth="1"/>
    <col min="12021" max="12021" width="26.90625" style="1630" customWidth="1"/>
    <col min="12022" max="12022" width="26.7265625" style="1630" customWidth="1"/>
    <col min="12023" max="12024" width="9.08984375" style="1630"/>
    <col min="12025" max="12025" width="10.7265625" style="1630" customWidth="1"/>
    <col min="12026" max="12026" width="14.7265625" style="1630" customWidth="1"/>
    <col min="12027" max="12028" width="0" style="1630" hidden="1" customWidth="1"/>
    <col min="12029" max="12029" width="22.7265625" style="1630" customWidth="1"/>
    <col min="12030" max="12030" width="0" style="1630" hidden="1" customWidth="1"/>
    <col min="12031" max="12031" width="24.90625" style="1630" customWidth="1"/>
    <col min="12032" max="12032" width="25.26953125" style="1630" customWidth="1"/>
    <col min="12033" max="12033" width="20.7265625" style="1630" customWidth="1"/>
    <col min="12034" max="12034" width="13.90625" style="1630" customWidth="1"/>
    <col min="12035" max="12035" width="10.90625" style="1630" customWidth="1"/>
    <col min="12036" max="12036" width="16" style="1630" customWidth="1"/>
    <col min="12037" max="12038" width="17.453125" style="1630" customWidth="1"/>
    <col min="12039" max="12039" width="20.453125" style="1630" customWidth="1"/>
    <col min="12040" max="12264" width="9.08984375" style="1630"/>
    <col min="12265" max="12265" width="10.7265625" style="1630" bestFit="1" customWidth="1"/>
    <col min="12266" max="12266" width="9.08984375" style="1630"/>
    <col min="12267" max="12267" width="20.7265625" style="1630" customWidth="1"/>
    <col min="12268" max="12268" width="16.7265625" style="1630" customWidth="1"/>
    <col min="12269" max="12269" width="9.453125" style="1630" bestFit="1" customWidth="1"/>
    <col min="12270" max="12270" width="13.90625" style="1630" customWidth="1"/>
    <col min="12271" max="12271" width="10.90625" style="1630" bestFit="1" customWidth="1"/>
    <col min="12272" max="12272" width="17.26953125" style="1630" customWidth="1"/>
    <col min="12273" max="12273" width="9.08984375" style="1630"/>
    <col min="12274" max="12274" width="14.453125" style="1630" bestFit="1" customWidth="1"/>
    <col min="12275" max="12275" width="17.08984375" style="1630" customWidth="1"/>
    <col min="12276" max="12276" width="14.453125" style="1630" customWidth="1"/>
    <col min="12277" max="12277" width="26.90625" style="1630" customWidth="1"/>
    <col min="12278" max="12278" width="26.7265625" style="1630" customWidth="1"/>
    <col min="12279" max="12280" width="9.08984375" style="1630"/>
    <col min="12281" max="12281" width="10.7265625" style="1630" customWidth="1"/>
    <col min="12282" max="12282" width="14.7265625" style="1630" customWidth="1"/>
    <col min="12283" max="12284" width="0" style="1630" hidden="1" customWidth="1"/>
    <col min="12285" max="12285" width="22.7265625" style="1630" customWidth="1"/>
    <col min="12286" max="12286" width="0" style="1630" hidden="1" customWidth="1"/>
    <col min="12287" max="12287" width="24.90625" style="1630" customWidth="1"/>
    <col min="12288" max="12288" width="25.26953125" style="1630" customWidth="1"/>
    <col min="12289" max="12289" width="20.7265625" style="1630" customWidth="1"/>
    <col min="12290" max="12290" width="13.90625" style="1630" customWidth="1"/>
    <col min="12291" max="12291" width="10.90625" style="1630" customWidth="1"/>
    <col min="12292" max="12292" width="16" style="1630" customWidth="1"/>
    <col min="12293" max="12294" width="17.453125" style="1630" customWidth="1"/>
    <col min="12295" max="12295" width="20.453125" style="1630" customWidth="1"/>
    <col min="12296" max="12520" width="9.08984375" style="1630"/>
    <col min="12521" max="12521" width="10.7265625" style="1630" bestFit="1" customWidth="1"/>
    <col min="12522" max="12522" width="9.08984375" style="1630"/>
    <col min="12523" max="12523" width="20.7265625" style="1630" customWidth="1"/>
    <col min="12524" max="12524" width="16.7265625" style="1630" customWidth="1"/>
    <col min="12525" max="12525" width="9.453125" style="1630" bestFit="1" customWidth="1"/>
    <col min="12526" max="12526" width="13.90625" style="1630" customWidth="1"/>
    <col min="12527" max="12527" width="10.90625" style="1630" bestFit="1" customWidth="1"/>
    <col min="12528" max="12528" width="17.26953125" style="1630" customWidth="1"/>
    <col min="12529" max="12529" width="9.08984375" style="1630"/>
    <col min="12530" max="12530" width="14.453125" style="1630" bestFit="1" customWidth="1"/>
    <col min="12531" max="12531" width="17.08984375" style="1630" customWidth="1"/>
    <col min="12532" max="12532" width="14.453125" style="1630" customWidth="1"/>
    <col min="12533" max="12533" width="26.90625" style="1630" customWidth="1"/>
    <col min="12534" max="12534" width="26.7265625" style="1630" customWidth="1"/>
    <col min="12535" max="12536" width="9.08984375" style="1630"/>
    <col min="12537" max="12537" width="10.7265625" style="1630" customWidth="1"/>
    <col min="12538" max="12538" width="14.7265625" style="1630" customWidth="1"/>
    <col min="12539" max="12540" width="0" style="1630" hidden="1" customWidth="1"/>
    <col min="12541" max="12541" width="22.7265625" style="1630" customWidth="1"/>
    <col min="12542" max="12542" width="0" style="1630" hidden="1" customWidth="1"/>
    <col min="12543" max="12543" width="24.90625" style="1630" customWidth="1"/>
    <col min="12544" max="12544" width="25.26953125" style="1630" customWidth="1"/>
    <col min="12545" max="12545" width="20.7265625" style="1630" customWidth="1"/>
    <col min="12546" max="12546" width="13.90625" style="1630" customWidth="1"/>
    <col min="12547" max="12547" width="10.90625" style="1630" customWidth="1"/>
    <col min="12548" max="12548" width="16" style="1630" customWidth="1"/>
    <col min="12549" max="12550" width="17.453125" style="1630" customWidth="1"/>
    <col min="12551" max="12551" width="20.453125" style="1630" customWidth="1"/>
    <col min="12552" max="12776" width="9.08984375" style="1630"/>
    <col min="12777" max="12777" width="10.7265625" style="1630" bestFit="1" customWidth="1"/>
    <col min="12778" max="12778" width="9.08984375" style="1630"/>
    <col min="12779" max="12779" width="20.7265625" style="1630" customWidth="1"/>
    <col min="12780" max="12780" width="16.7265625" style="1630" customWidth="1"/>
    <col min="12781" max="12781" width="9.453125" style="1630" bestFit="1" customWidth="1"/>
    <col min="12782" max="12782" width="13.90625" style="1630" customWidth="1"/>
    <col min="12783" max="12783" width="10.90625" style="1630" bestFit="1" customWidth="1"/>
    <col min="12784" max="12784" width="17.26953125" style="1630" customWidth="1"/>
    <col min="12785" max="12785" width="9.08984375" style="1630"/>
    <col min="12786" max="12786" width="14.453125" style="1630" bestFit="1" customWidth="1"/>
    <col min="12787" max="12787" width="17.08984375" style="1630" customWidth="1"/>
    <col min="12788" max="12788" width="14.453125" style="1630" customWidth="1"/>
    <col min="12789" max="12789" width="26.90625" style="1630" customWidth="1"/>
    <col min="12790" max="12790" width="26.7265625" style="1630" customWidth="1"/>
    <col min="12791" max="12792" width="9.08984375" style="1630"/>
    <col min="12793" max="12793" width="10.7265625" style="1630" customWidth="1"/>
    <col min="12794" max="12794" width="14.7265625" style="1630" customWidth="1"/>
    <col min="12795" max="12796" width="0" style="1630" hidden="1" customWidth="1"/>
    <col min="12797" max="12797" width="22.7265625" style="1630" customWidth="1"/>
    <col min="12798" max="12798" width="0" style="1630" hidden="1" customWidth="1"/>
    <col min="12799" max="12799" width="24.90625" style="1630" customWidth="1"/>
    <col min="12800" max="12800" width="25.26953125" style="1630" customWidth="1"/>
    <col min="12801" max="12801" width="20.7265625" style="1630" customWidth="1"/>
    <col min="12802" max="12802" width="13.90625" style="1630" customWidth="1"/>
    <col min="12803" max="12803" width="10.90625" style="1630" customWidth="1"/>
    <col min="12804" max="12804" width="16" style="1630" customWidth="1"/>
    <col min="12805" max="12806" width="17.453125" style="1630" customWidth="1"/>
    <col min="12807" max="12807" width="20.453125" style="1630" customWidth="1"/>
    <col min="12808" max="13032" width="9.08984375" style="1630"/>
    <col min="13033" max="13033" width="10.7265625" style="1630" bestFit="1" customWidth="1"/>
    <col min="13034" max="13034" width="9.08984375" style="1630"/>
    <col min="13035" max="13035" width="20.7265625" style="1630" customWidth="1"/>
    <col min="13036" max="13036" width="16.7265625" style="1630" customWidth="1"/>
    <col min="13037" max="13037" width="9.453125" style="1630" bestFit="1" customWidth="1"/>
    <col min="13038" max="13038" width="13.90625" style="1630" customWidth="1"/>
    <col min="13039" max="13039" width="10.90625" style="1630" bestFit="1" customWidth="1"/>
    <col min="13040" max="13040" width="17.26953125" style="1630" customWidth="1"/>
    <col min="13041" max="13041" width="9.08984375" style="1630"/>
    <col min="13042" max="13042" width="14.453125" style="1630" bestFit="1" customWidth="1"/>
    <col min="13043" max="13043" width="17.08984375" style="1630" customWidth="1"/>
    <col min="13044" max="13044" width="14.453125" style="1630" customWidth="1"/>
    <col min="13045" max="13045" width="26.90625" style="1630" customWidth="1"/>
    <col min="13046" max="13046" width="26.7265625" style="1630" customWidth="1"/>
    <col min="13047" max="13048" width="9.08984375" style="1630"/>
    <col min="13049" max="13049" width="10.7265625" style="1630" customWidth="1"/>
    <col min="13050" max="13050" width="14.7265625" style="1630" customWidth="1"/>
    <col min="13051" max="13052" width="0" style="1630" hidden="1" customWidth="1"/>
    <col min="13053" max="13053" width="22.7265625" style="1630" customWidth="1"/>
    <col min="13054" max="13054" width="0" style="1630" hidden="1" customWidth="1"/>
    <col min="13055" max="13055" width="24.90625" style="1630" customWidth="1"/>
    <col min="13056" max="13056" width="25.26953125" style="1630" customWidth="1"/>
    <col min="13057" max="13057" width="20.7265625" style="1630" customWidth="1"/>
    <col min="13058" max="13058" width="13.90625" style="1630" customWidth="1"/>
    <col min="13059" max="13059" width="10.90625" style="1630" customWidth="1"/>
    <col min="13060" max="13060" width="16" style="1630" customWidth="1"/>
    <col min="13061" max="13062" width="17.453125" style="1630" customWidth="1"/>
    <col min="13063" max="13063" width="20.453125" style="1630" customWidth="1"/>
    <col min="13064" max="13288" width="9.08984375" style="1630"/>
    <col min="13289" max="13289" width="10.7265625" style="1630" bestFit="1" customWidth="1"/>
    <col min="13290" max="13290" width="9.08984375" style="1630"/>
    <col min="13291" max="13291" width="20.7265625" style="1630" customWidth="1"/>
    <col min="13292" max="13292" width="16.7265625" style="1630" customWidth="1"/>
    <col min="13293" max="13293" width="9.453125" style="1630" bestFit="1" customWidth="1"/>
    <col min="13294" max="13294" width="13.90625" style="1630" customWidth="1"/>
    <col min="13295" max="13295" width="10.90625" style="1630" bestFit="1" customWidth="1"/>
    <col min="13296" max="13296" width="17.26953125" style="1630" customWidth="1"/>
    <col min="13297" max="13297" width="9.08984375" style="1630"/>
    <col min="13298" max="13298" width="14.453125" style="1630" bestFit="1" customWidth="1"/>
    <col min="13299" max="13299" width="17.08984375" style="1630" customWidth="1"/>
    <col min="13300" max="13300" width="14.453125" style="1630" customWidth="1"/>
    <col min="13301" max="13301" width="26.90625" style="1630" customWidth="1"/>
    <col min="13302" max="13302" width="26.7265625" style="1630" customWidth="1"/>
    <col min="13303" max="13304" width="9.08984375" style="1630"/>
    <col min="13305" max="13305" width="10.7265625" style="1630" customWidth="1"/>
    <col min="13306" max="13306" width="14.7265625" style="1630" customWidth="1"/>
    <col min="13307" max="13308" width="0" style="1630" hidden="1" customWidth="1"/>
    <col min="13309" max="13309" width="22.7265625" style="1630" customWidth="1"/>
    <col min="13310" max="13310" width="0" style="1630" hidden="1" customWidth="1"/>
    <col min="13311" max="13311" width="24.90625" style="1630" customWidth="1"/>
    <col min="13312" max="13312" width="25.26953125" style="1630" customWidth="1"/>
    <col min="13313" max="13313" width="20.7265625" style="1630" customWidth="1"/>
    <col min="13314" max="13314" width="13.90625" style="1630" customWidth="1"/>
    <col min="13315" max="13315" width="10.90625" style="1630" customWidth="1"/>
    <col min="13316" max="13316" width="16" style="1630" customWidth="1"/>
    <col min="13317" max="13318" width="17.453125" style="1630" customWidth="1"/>
    <col min="13319" max="13319" width="20.453125" style="1630" customWidth="1"/>
    <col min="13320" max="13544" width="9.08984375" style="1630"/>
    <col min="13545" max="13545" width="10.7265625" style="1630" bestFit="1" customWidth="1"/>
    <col min="13546" max="13546" width="9.08984375" style="1630"/>
    <col min="13547" max="13547" width="20.7265625" style="1630" customWidth="1"/>
    <col min="13548" max="13548" width="16.7265625" style="1630" customWidth="1"/>
    <col min="13549" max="13549" width="9.453125" style="1630" bestFit="1" customWidth="1"/>
    <col min="13550" max="13550" width="13.90625" style="1630" customWidth="1"/>
    <col min="13551" max="13551" width="10.90625" style="1630" bestFit="1" customWidth="1"/>
    <col min="13552" max="13552" width="17.26953125" style="1630" customWidth="1"/>
    <col min="13553" max="13553" width="9.08984375" style="1630"/>
    <col min="13554" max="13554" width="14.453125" style="1630" bestFit="1" customWidth="1"/>
    <col min="13555" max="13555" width="17.08984375" style="1630" customWidth="1"/>
    <col min="13556" max="13556" width="14.453125" style="1630" customWidth="1"/>
    <col min="13557" max="13557" width="26.90625" style="1630" customWidth="1"/>
    <col min="13558" max="13558" width="26.7265625" style="1630" customWidth="1"/>
    <col min="13559" max="13560" width="9.08984375" style="1630"/>
    <col min="13561" max="13561" width="10.7265625" style="1630" customWidth="1"/>
    <col min="13562" max="13562" width="14.7265625" style="1630" customWidth="1"/>
    <col min="13563" max="13564" width="0" style="1630" hidden="1" customWidth="1"/>
    <col min="13565" max="13565" width="22.7265625" style="1630" customWidth="1"/>
    <col min="13566" max="13566" width="0" style="1630" hidden="1" customWidth="1"/>
    <col min="13567" max="13567" width="24.90625" style="1630" customWidth="1"/>
    <col min="13568" max="13568" width="25.26953125" style="1630" customWidth="1"/>
    <col min="13569" max="13569" width="20.7265625" style="1630" customWidth="1"/>
    <col min="13570" max="13570" width="13.90625" style="1630" customWidth="1"/>
    <col min="13571" max="13571" width="10.90625" style="1630" customWidth="1"/>
    <col min="13572" max="13572" width="16" style="1630" customWidth="1"/>
    <col min="13573" max="13574" width="17.453125" style="1630" customWidth="1"/>
    <col min="13575" max="13575" width="20.453125" style="1630" customWidth="1"/>
    <col min="13576" max="13800" width="9.08984375" style="1630"/>
    <col min="13801" max="13801" width="10.7265625" style="1630" bestFit="1" customWidth="1"/>
    <col min="13802" max="13802" width="9.08984375" style="1630"/>
    <col min="13803" max="13803" width="20.7265625" style="1630" customWidth="1"/>
    <col min="13804" max="13804" width="16.7265625" style="1630" customWidth="1"/>
    <col min="13805" max="13805" width="9.453125" style="1630" bestFit="1" customWidth="1"/>
    <col min="13806" max="13806" width="13.90625" style="1630" customWidth="1"/>
    <col min="13807" max="13807" width="10.90625" style="1630" bestFit="1" customWidth="1"/>
    <col min="13808" max="13808" width="17.26953125" style="1630" customWidth="1"/>
    <col min="13809" max="13809" width="9.08984375" style="1630"/>
    <col min="13810" max="13810" width="14.453125" style="1630" bestFit="1" customWidth="1"/>
    <col min="13811" max="13811" width="17.08984375" style="1630" customWidth="1"/>
    <col min="13812" max="13812" width="14.453125" style="1630" customWidth="1"/>
    <col min="13813" max="13813" width="26.90625" style="1630" customWidth="1"/>
    <col min="13814" max="13814" width="26.7265625" style="1630" customWidth="1"/>
    <col min="13815" max="13816" width="9.08984375" style="1630"/>
    <col min="13817" max="13817" width="10.7265625" style="1630" customWidth="1"/>
    <col min="13818" max="13818" width="14.7265625" style="1630" customWidth="1"/>
    <col min="13819" max="13820" width="0" style="1630" hidden="1" customWidth="1"/>
    <col min="13821" max="13821" width="22.7265625" style="1630" customWidth="1"/>
    <col min="13822" max="13822" width="0" style="1630" hidden="1" customWidth="1"/>
    <col min="13823" max="13823" width="24.90625" style="1630" customWidth="1"/>
    <col min="13824" max="13824" width="25.26953125" style="1630" customWidth="1"/>
    <col min="13825" max="13825" width="20.7265625" style="1630" customWidth="1"/>
    <col min="13826" max="13826" width="13.90625" style="1630" customWidth="1"/>
    <col min="13827" max="13827" width="10.90625" style="1630" customWidth="1"/>
    <col min="13828" max="13828" width="16" style="1630" customWidth="1"/>
    <col min="13829" max="13830" width="17.453125" style="1630" customWidth="1"/>
    <col min="13831" max="13831" width="20.453125" style="1630" customWidth="1"/>
    <col min="13832" max="14056" width="9.08984375" style="1630"/>
    <col min="14057" max="14057" width="10.7265625" style="1630" bestFit="1" customWidth="1"/>
    <col min="14058" max="14058" width="9.08984375" style="1630"/>
    <col min="14059" max="14059" width="20.7265625" style="1630" customWidth="1"/>
    <col min="14060" max="14060" width="16.7265625" style="1630" customWidth="1"/>
    <col min="14061" max="14061" width="9.453125" style="1630" bestFit="1" customWidth="1"/>
    <col min="14062" max="14062" width="13.90625" style="1630" customWidth="1"/>
    <col min="14063" max="14063" width="10.90625" style="1630" bestFit="1" customWidth="1"/>
    <col min="14064" max="14064" width="17.26953125" style="1630" customWidth="1"/>
    <col min="14065" max="14065" width="9.08984375" style="1630"/>
    <col min="14066" max="14066" width="14.453125" style="1630" bestFit="1" customWidth="1"/>
    <col min="14067" max="14067" width="17.08984375" style="1630" customWidth="1"/>
    <col min="14068" max="14068" width="14.453125" style="1630" customWidth="1"/>
    <col min="14069" max="14069" width="26.90625" style="1630" customWidth="1"/>
    <col min="14070" max="14070" width="26.7265625" style="1630" customWidth="1"/>
    <col min="14071" max="14072" width="9.08984375" style="1630"/>
    <col min="14073" max="14073" width="10.7265625" style="1630" customWidth="1"/>
    <col min="14074" max="14074" width="14.7265625" style="1630" customWidth="1"/>
    <col min="14075" max="14076" width="0" style="1630" hidden="1" customWidth="1"/>
    <col min="14077" max="14077" width="22.7265625" style="1630" customWidth="1"/>
    <col min="14078" max="14078" width="0" style="1630" hidden="1" customWidth="1"/>
    <col min="14079" max="14079" width="24.90625" style="1630" customWidth="1"/>
    <col min="14080" max="14080" width="25.26953125" style="1630" customWidth="1"/>
    <col min="14081" max="14081" width="20.7265625" style="1630" customWidth="1"/>
    <col min="14082" max="14082" width="13.90625" style="1630" customWidth="1"/>
    <col min="14083" max="14083" width="10.90625" style="1630" customWidth="1"/>
    <col min="14084" max="14084" width="16" style="1630" customWidth="1"/>
    <col min="14085" max="14086" width="17.453125" style="1630" customWidth="1"/>
    <col min="14087" max="14087" width="20.453125" style="1630" customWidth="1"/>
    <col min="14088" max="14312" width="9.08984375" style="1630"/>
    <col min="14313" max="14313" width="10.7265625" style="1630" bestFit="1" customWidth="1"/>
    <col min="14314" max="14314" width="9.08984375" style="1630"/>
    <col min="14315" max="14315" width="20.7265625" style="1630" customWidth="1"/>
    <col min="14316" max="14316" width="16.7265625" style="1630" customWidth="1"/>
    <col min="14317" max="14317" width="9.453125" style="1630" bestFit="1" customWidth="1"/>
    <col min="14318" max="14318" width="13.90625" style="1630" customWidth="1"/>
    <col min="14319" max="14319" width="10.90625" style="1630" bestFit="1" customWidth="1"/>
    <col min="14320" max="14320" width="17.26953125" style="1630" customWidth="1"/>
    <col min="14321" max="14321" width="9.08984375" style="1630"/>
    <col min="14322" max="14322" width="14.453125" style="1630" bestFit="1" customWidth="1"/>
    <col min="14323" max="14323" width="17.08984375" style="1630" customWidth="1"/>
    <col min="14324" max="14324" width="14.453125" style="1630" customWidth="1"/>
    <col min="14325" max="14325" width="26.90625" style="1630" customWidth="1"/>
    <col min="14326" max="14326" width="26.7265625" style="1630" customWidth="1"/>
    <col min="14327" max="14328" width="9.08984375" style="1630"/>
    <col min="14329" max="14329" width="10.7265625" style="1630" customWidth="1"/>
    <col min="14330" max="14330" width="14.7265625" style="1630" customWidth="1"/>
    <col min="14331" max="14332" width="0" style="1630" hidden="1" customWidth="1"/>
    <col min="14333" max="14333" width="22.7265625" style="1630" customWidth="1"/>
    <col min="14334" max="14334" width="0" style="1630" hidden="1" customWidth="1"/>
    <col min="14335" max="14335" width="24.90625" style="1630" customWidth="1"/>
    <col min="14336" max="14336" width="25.26953125" style="1630" customWidth="1"/>
    <col min="14337" max="14337" width="20.7265625" style="1630" customWidth="1"/>
    <col min="14338" max="14338" width="13.90625" style="1630" customWidth="1"/>
    <col min="14339" max="14339" width="10.90625" style="1630" customWidth="1"/>
    <col min="14340" max="14340" width="16" style="1630" customWidth="1"/>
    <col min="14341" max="14342" width="17.453125" style="1630" customWidth="1"/>
    <col min="14343" max="14343" width="20.453125" style="1630" customWidth="1"/>
    <col min="14344" max="14568" width="9.08984375" style="1630"/>
    <col min="14569" max="14569" width="10.7265625" style="1630" bestFit="1" customWidth="1"/>
    <col min="14570" max="14570" width="9.08984375" style="1630"/>
    <col min="14571" max="14571" width="20.7265625" style="1630" customWidth="1"/>
    <col min="14572" max="14572" width="16.7265625" style="1630" customWidth="1"/>
    <col min="14573" max="14573" width="9.453125" style="1630" bestFit="1" customWidth="1"/>
    <col min="14574" max="14574" width="13.90625" style="1630" customWidth="1"/>
    <col min="14575" max="14575" width="10.90625" style="1630" bestFit="1" customWidth="1"/>
    <col min="14576" max="14576" width="17.26953125" style="1630" customWidth="1"/>
    <col min="14577" max="14577" width="9.08984375" style="1630"/>
    <col min="14578" max="14578" width="14.453125" style="1630" bestFit="1" customWidth="1"/>
    <col min="14579" max="14579" width="17.08984375" style="1630" customWidth="1"/>
    <col min="14580" max="14580" width="14.453125" style="1630" customWidth="1"/>
    <col min="14581" max="14581" width="26.90625" style="1630" customWidth="1"/>
    <col min="14582" max="14582" width="26.7265625" style="1630" customWidth="1"/>
    <col min="14583" max="14584" width="9.08984375" style="1630"/>
    <col min="14585" max="14585" width="10.7265625" style="1630" customWidth="1"/>
    <col min="14586" max="14586" width="14.7265625" style="1630" customWidth="1"/>
    <col min="14587" max="14588" width="0" style="1630" hidden="1" customWidth="1"/>
    <col min="14589" max="14589" width="22.7265625" style="1630" customWidth="1"/>
    <col min="14590" max="14590" width="0" style="1630" hidden="1" customWidth="1"/>
    <col min="14591" max="14591" width="24.90625" style="1630" customWidth="1"/>
    <col min="14592" max="14592" width="25.26953125" style="1630" customWidth="1"/>
    <col min="14593" max="14593" width="20.7265625" style="1630" customWidth="1"/>
    <col min="14594" max="14594" width="13.90625" style="1630" customWidth="1"/>
    <col min="14595" max="14595" width="10.90625" style="1630" customWidth="1"/>
    <col min="14596" max="14596" width="16" style="1630" customWidth="1"/>
    <col min="14597" max="14598" width="17.453125" style="1630" customWidth="1"/>
    <col min="14599" max="14599" width="20.453125" style="1630" customWidth="1"/>
    <col min="14600" max="14824" width="9.08984375" style="1630"/>
    <col min="14825" max="14825" width="10.7265625" style="1630" bestFit="1" customWidth="1"/>
    <col min="14826" max="14826" width="9.08984375" style="1630"/>
    <col min="14827" max="14827" width="20.7265625" style="1630" customWidth="1"/>
    <col min="14828" max="14828" width="16.7265625" style="1630" customWidth="1"/>
    <col min="14829" max="14829" width="9.453125" style="1630" bestFit="1" customWidth="1"/>
    <col min="14830" max="14830" width="13.90625" style="1630" customWidth="1"/>
    <col min="14831" max="14831" width="10.90625" style="1630" bestFit="1" customWidth="1"/>
    <col min="14832" max="14832" width="17.26953125" style="1630" customWidth="1"/>
    <col min="14833" max="14833" width="9.08984375" style="1630"/>
    <col min="14834" max="14834" width="14.453125" style="1630" bestFit="1" customWidth="1"/>
    <col min="14835" max="14835" width="17.08984375" style="1630" customWidth="1"/>
    <col min="14836" max="14836" width="14.453125" style="1630" customWidth="1"/>
    <col min="14837" max="14837" width="26.90625" style="1630" customWidth="1"/>
    <col min="14838" max="14838" width="26.7265625" style="1630" customWidth="1"/>
    <col min="14839" max="14840" width="9.08984375" style="1630"/>
    <col min="14841" max="14841" width="10.7265625" style="1630" customWidth="1"/>
    <col min="14842" max="14842" width="14.7265625" style="1630" customWidth="1"/>
    <col min="14843" max="14844" width="0" style="1630" hidden="1" customWidth="1"/>
    <col min="14845" max="14845" width="22.7265625" style="1630" customWidth="1"/>
    <col min="14846" max="14846" width="0" style="1630" hidden="1" customWidth="1"/>
    <col min="14847" max="14847" width="24.90625" style="1630" customWidth="1"/>
    <col min="14848" max="14848" width="25.26953125" style="1630" customWidth="1"/>
    <col min="14849" max="14849" width="20.7265625" style="1630" customWidth="1"/>
    <col min="14850" max="14850" width="13.90625" style="1630" customWidth="1"/>
    <col min="14851" max="14851" width="10.90625" style="1630" customWidth="1"/>
    <col min="14852" max="14852" width="16" style="1630" customWidth="1"/>
    <col min="14853" max="14854" width="17.453125" style="1630" customWidth="1"/>
    <col min="14855" max="14855" width="20.453125" style="1630" customWidth="1"/>
    <col min="14856" max="15080" width="9.08984375" style="1630"/>
    <col min="15081" max="15081" width="10.7265625" style="1630" bestFit="1" customWidth="1"/>
    <col min="15082" max="15082" width="9.08984375" style="1630"/>
    <col min="15083" max="15083" width="20.7265625" style="1630" customWidth="1"/>
    <col min="15084" max="15084" width="16.7265625" style="1630" customWidth="1"/>
    <col min="15085" max="15085" width="9.453125" style="1630" bestFit="1" customWidth="1"/>
    <col min="15086" max="15086" width="13.90625" style="1630" customWidth="1"/>
    <col min="15087" max="15087" width="10.90625" style="1630" bestFit="1" customWidth="1"/>
    <col min="15088" max="15088" width="17.26953125" style="1630" customWidth="1"/>
    <col min="15089" max="15089" width="9.08984375" style="1630"/>
    <col min="15090" max="15090" width="14.453125" style="1630" bestFit="1" customWidth="1"/>
    <col min="15091" max="15091" width="17.08984375" style="1630" customWidth="1"/>
    <col min="15092" max="15092" width="14.453125" style="1630" customWidth="1"/>
    <col min="15093" max="15093" width="26.90625" style="1630" customWidth="1"/>
    <col min="15094" max="15094" width="26.7265625" style="1630" customWidth="1"/>
    <col min="15095" max="15096" width="9.08984375" style="1630"/>
    <col min="15097" max="15097" width="10.7265625" style="1630" customWidth="1"/>
    <col min="15098" max="15098" width="14.7265625" style="1630" customWidth="1"/>
    <col min="15099" max="15100" width="0" style="1630" hidden="1" customWidth="1"/>
    <col min="15101" max="15101" width="22.7265625" style="1630" customWidth="1"/>
    <col min="15102" max="15102" width="0" style="1630" hidden="1" customWidth="1"/>
    <col min="15103" max="15103" width="24.90625" style="1630" customWidth="1"/>
    <col min="15104" max="15104" width="25.26953125" style="1630" customWidth="1"/>
    <col min="15105" max="15105" width="20.7265625" style="1630" customWidth="1"/>
    <col min="15106" max="15106" width="13.90625" style="1630" customWidth="1"/>
    <col min="15107" max="15107" width="10.90625" style="1630" customWidth="1"/>
    <col min="15108" max="15108" width="16" style="1630" customWidth="1"/>
    <col min="15109" max="15110" width="17.453125" style="1630" customWidth="1"/>
    <col min="15111" max="15111" width="20.453125" style="1630" customWidth="1"/>
    <col min="15112" max="15336" width="9.08984375" style="1630"/>
    <col min="15337" max="15337" width="10.7265625" style="1630" bestFit="1" customWidth="1"/>
    <col min="15338" max="15338" width="9.08984375" style="1630"/>
    <col min="15339" max="15339" width="20.7265625" style="1630" customWidth="1"/>
    <col min="15340" max="15340" width="16.7265625" style="1630" customWidth="1"/>
    <col min="15341" max="15341" width="9.453125" style="1630" bestFit="1" customWidth="1"/>
    <col min="15342" max="15342" width="13.90625" style="1630" customWidth="1"/>
    <col min="15343" max="15343" width="10.90625" style="1630" bestFit="1" customWidth="1"/>
    <col min="15344" max="15344" width="17.26953125" style="1630" customWidth="1"/>
    <col min="15345" max="15345" width="9.08984375" style="1630"/>
    <col min="15346" max="15346" width="14.453125" style="1630" bestFit="1" customWidth="1"/>
    <col min="15347" max="15347" width="17.08984375" style="1630" customWidth="1"/>
    <col min="15348" max="15348" width="14.453125" style="1630" customWidth="1"/>
    <col min="15349" max="15349" width="26.90625" style="1630" customWidth="1"/>
    <col min="15350" max="15350" width="26.7265625" style="1630" customWidth="1"/>
    <col min="15351" max="15352" width="9.08984375" style="1630"/>
    <col min="15353" max="15353" width="10.7265625" style="1630" customWidth="1"/>
    <col min="15354" max="15354" width="14.7265625" style="1630" customWidth="1"/>
    <col min="15355" max="15356" width="0" style="1630" hidden="1" customWidth="1"/>
    <col min="15357" max="15357" width="22.7265625" style="1630" customWidth="1"/>
    <col min="15358" max="15358" width="0" style="1630" hidden="1" customWidth="1"/>
    <col min="15359" max="15359" width="24.90625" style="1630" customWidth="1"/>
    <col min="15360" max="15360" width="25.26953125" style="1630" customWidth="1"/>
    <col min="15361" max="15361" width="20.7265625" style="1630" customWidth="1"/>
    <col min="15362" max="15362" width="13.90625" style="1630" customWidth="1"/>
    <col min="15363" max="15363" width="10.90625" style="1630" customWidth="1"/>
    <col min="15364" max="15364" width="16" style="1630" customWidth="1"/>
    <col min="15365" max="15366" width="17.453125" style="1630" customWidth="1"/>
    <col min="15367" max="15367" width="20.453125" style="1630" customWidth="1"/>
    <col min="15368" max="15592" width="9.08984375" style="1630"/>
    <col min="15593" max="15593" width="10.7265625" style="1630" bestFit="1" customWidth="1"/>
    <col min="15594" max="15594" width="9.08984375" style="1630"/>
    <col min="15595" max="15595" width="20.7265625" style="1630" customWidth="1"/>
    <col min="15596" max="15596" width="16.7265625" style="1630" customWidth="1"/>
    <col min="15597" max="15597" width="9.453125" style="1630" bestFit="1" customWidth="1"/>
    <col min="15598" max="15598" width="13.90625" style="1630" customWidth="1"/>
    <col min="15599" max="15599" width="10.90625" style="1630" bestFit="1" customWidth="1"/>
    <col min="15600" max="15600" width="17.26953125" style="1630" customWidth="1"/>
    <col min="15601" max="15601" width="9.08984375" style="1630"/>
    <col min="15602" max="15602" width="14.453125" style="1630" bestFit="1" customWidth="1"/>
    <col min="15603" max="15603" width="17.08984375" style="1630" customWidth="1"/>
    <col min="15604" max="15604" width="14.453125" style="1630" customWidth="1"/>
    <col min="15605" max="15605" width="26.90625" style="1630" customWidth="1"/>
    <col min="15606" max="15606" width="26.7265625" style="1630" customWidth="1"/>
    <col min="15607" max="15608" width="9.08984375" style="1630"/>
    <col min="15609" max="15609" width="10.7265625" style="1630" customWidth="1"/>
    <col min="15610" max="15610" width="14.7265625" style="1630" customWidth="1"/>
    <col min="15611" max="15612" width="0" style="1630" hidden="1" customWidth="1"/>
    <col min="15613" max="15613" width="22.7265625" style="1630" customWidth="1"/>
    <col min="15614" max="15614" width="0" style="1630" hidden="1" customWidth="1"/>
    <col min="15615" max="15615" width="24.90625" style="1630" customWidth="1"/>
    <col min="15616" max="15616" width="25.26953125" style="1630" customWidth="1"/>
    <col min="15617" max="15617" width="20.7265625" style="1630" customWidth="1"/>
    <col min="15618" max="15618" width="13.90625" style="1630" customWidth="1"/>
    <col min="15619" max="15619" width="10.90625" style="1630" customWidth="1"/>
    <col min="15620" max="15620" width="16" style="1630" customWidth="1"/>
    <col min="15621" max="15622" width="17.453125" style="1630" customWidth="1"/>
    <col min="15623" max="15623" width="20.453125" style="1630" customWidth="1"/>
    <col min="15624" max="15848" width="9.08984375" style="1630"/>
    <col min="15849" max="15849" width="10.7265625" style="1630" bestFit="1" customWidth="1"/>
    <col min="15850" max="15850" width="9.08984375" style="1630"/>
    <col min="15851" max="15851" width="20.7265625" style="1630" customWidth="1"/>
    <col min="15852" max="15852" width="16.7265625" style="1630" customWidth="1"/>
    <col min="15853" max="15853" width="9.453125" style="1630" bestFit="1" customWidth="1"/>
    <col min="15854" max="15854" width="13.90625" style="1630" customWidth="1"/>
    <col min="15855" max="15855" width="10.90625" style="1630" bestFit="1" customWidth="1"/>
    <col min="15856" max="15856" width="17.26953125" style="1630" customWidth="1"/>
    <col min="15857" max="15857" width="9.08984375" style="1630"/>
    <col min="15858" max="15858" width="14.453125" style="1630" bestFit="1" customWidth="1"/>
    <col min="15859" max="15859" width="17.08984375" style="1630" customWidth="1"/>
    <col min="15860" max="15860" width="14.453125" style="1630" customWidth="1"/>
    <col min="15861" max="15861" width="26.90625" style="1630" customWidth="1"/>
    <col min="15862" max="15862" width="26.7265625" style="1630" customWidth="1"/>
    <col min="15863" max="15864" width="9.08984375" style="1630"/>
    <col min="15865" max="15865" width="10.7265625" style="1630" customWidth="1"/>
    <col min="15866" max="15866" width="14.7265625" style="1630" customWidth="1"/>
    <col min="15867" max="15868" width="0" style="1630" hidden="1" customWidth="1"/>
    <col min="15869" max="15869" width="22.7265625" style="1630" customWidth="1"/>
    <col min="15870" max="15870" width="0" style="1630" hidden="1" customWidth="1"/>
    <col min="15871" max="15871" width="24.90625" style="1630" customWidth="1"/>
    <col min="15872" max="15872" width="25.26953125" style="1630" customWidth="1"/>
    <col min="15873" max="15873" width="20.7265625" style="1630" customWidth="1"/>
    <col min="15874" max="15874" width="13.90625" style="1630" customWidth="1"/>
    <col min="15875" max="15875" width="10.90625" style="1630" customWidth="1"/>
    <col min="15876" max="15876" width="16" style="1630" customWidth="1"/>
    <col min="15877" max="15878" width="17.453125" style="1630" customWidth="1"/>
    <col min="15879" max="15879" width="20.453125" style="1630" customWidth="1"/>
    <col min="15880" max="16104" width="9.08984375" style="1630"/>
    <col min="16105" max="16105" width="10.7265625" style="1630" bestFit="1" customWidth="1"/>
    <col min="16106" max="16106" width="9.08984375" style="1630"/>
    <col min="16107" max="16107" width="20.7265625" style="1630" customWidth="1"/>
    <col min="16108" max="16108" width="16.7265625" style="1630" customWidth="1"/>
    <col min="16109" max="16109" width="9.453125" style="1630" bestFit="1" customWidth="1"/>
    <col min="16110" max="16110" width="13.90625" style="1630" customWidth="1"/>
    <col min="16111" max="16111" width="10.90625" style="1630" bestFit="1" customWidth="1"/>
    <col min="16112" max="16112" width="17.26953125" style="1630" customWidth="1"/>
    <col min="16113" max="16113" width="9.08984375" style="1630"/>
    <col min="16114" max="16114" width="14.453125" style="1630" bestFit="1" customWidth="1"/>
    <col min="16115" max="16115" width="17.08984375" style="1630" customWidth="1"/>
    <col min="16116" max="16116" width="14.453125" style="1630" customWidth="1"/>
    <col min="16117" max="16117" width="26.90625" style="1630" customWidth="1"/>
    <col min="16118" max="16118" width="26.7265625" style="1630" customWidth="1"/>
    <col min="16119" max="16120" width="9.08984375" style="1630"/>
    <col min="16121" max="16121" width="10.7265625" style="1630" customWidth="1"/>
    <col min="16122" max="16122" width="14.7265625" style="1630" customWidth="1"/>
    <col min="16123" max="16124" width="0" style="1630" hidden="1" customWidth="1"/>
    <col min="16125" max="16125" width="22.7265625" style="1630" customWidth="1"/>
    <col min="16126" max="16126" width="0" style="1630" hidden="1" customWidth="1"/>
    <col min="16127" max="16127" width="24.90625" style="1630" customWidth="1"/>
    <col min="16128" max="16128" width="25.26953125" style="1630" customWidth="1"/>
    <col min="16129" max="16129" width="20.7265625" style="1630" customWidth="1"/>
    <col min="16130" max="16130" width="13.90625" style="1630" customWidth="1"/>
    <col min="16131" max="16131" width="10.90625" style="1630" customWidth="1"/>
    <col min="16132" max="16132" width="16" style="1630" customWidth="1"/>
    <col min="16133" max="16134" width="17.453125" style="1630" customWidth="1"/>
    <col min="16135" max="16135" width="20.453125" style="1630" customWidth="1"/>
    <col min="16136" max="16384" width="9.08984375" style="1630"/>
  </cols>
  <sheetData>
    <row r="1" spans="1:11" ht="15">
      <c r="A1" s="1323" t="s">
        <v>3104</v>
      </c>
      <c r="B1" s="2961" t="s">
        <v>3091</v>
      </c>
      <c r="C1" s="2961" t="s">
        <v>3109</v>
      </c>
      <c r="D1" s="2961" t="s">
        <v>3108</v>
      </c>
      <c r="E1" s="2961" t="s">
        <v>3105</v>
      </c>
      <c r="F1" s="2961" t="s">
        <v>3106</v>
      </c>
      <c r="G1" s="2961" t="s">
        <v>3107</v>
      </c>
      <c r="I1" s="2971" t="s">
        <v>3220</v>
      </c>
    </row>
    <row r="2" spans="1:11">
      <c r="A2" s="2956">
        <v>1</v>
      </c>
      <c r="B2" s="2957" t="s">
        <v>3204</v>
      </c>
      <c r="C2" s="2957" t="s">
        <v>3145</v>
      </c>
      <c r="D2" s="2957" t="s">
        <v>3071</v>
      </c>
      <c r="E2" s="2962">
        <v>80.599999999999994</v>
      </c>
      <c r="F2" s="2958">
        <v>30057.8660049627</v>
      </c>
      <c r="G2" s="2959">
        <v>2422664</v>
      </c>
      <c r="I2" s="2970" t="s">
        <v>3092</v>
      </c>
      <c r="J2" s="2970" t="s">
        <v>3222</v>
      </c>
      <c r="K2" s="2970" t="s">
        <v>3223</v>
      </c>
    </row>
    <row r="3" spans="1:11">
      <c r="A3" s="2956">
        <v>2</v>
      </c>
      <c r="B3" s="2957" t="s">
        <v>3204</v>
      </c>
      <c r="C3" s="2957" t="s">
        <v>3178</v>
      </c>
      <c r="D3" s="2957" t="s">
        <v>3071</v>
      </c>
      <c r="E3" s="2962">
        <v>59.24</v>
      </c>
      <c r="F3" s="2958">
        <v>34293.163403106002</v>
      </c>
      <c r="G3" s="2959">
        <v>2031527</v>
      </c>
      <c r="I3" s="2970" t="s">
        <v>3221</v>
      </c>
      <c r="J3" s="1630">
        <f>SUM(E2:E37)</f>
        <v>3468.0599999999977</v>
      </c>
      <c r="K3" s="1630">
        <f>COUNT(E2:E37)</f>
        <v>36</v>
      </c>
    </row>
    <row r="4" spans="1:11">
      <c r="A4" s="2956">
        <v>3</v>
      </c>
      <c r="B4" s="2957" t="s">
        <v>3204</v>
      </c>
      <c r="C4" s="2957" t="s">
        <v>3215</v>
      </c>
      <c r="D4" s="2957" t="s">
        <v>3071</v>
      </c>
      <c r="E4" s="2962">
        <v>148.47</v>
      </c>
      <c r="F4" s="2958">
        <v>27822.765541860299</v>
      </c>
      <c r="G4" s="2959">
        <v>4130846</v>
      </c>
      <c r="I4" s="2970" t="s">
        <v>3224</v>
      </c>
      <c r="J4" s="1630">
        <f>SUM(E38:E43)</f>
        <v>491.62</v>
      </c>
      <c r="K4" s="1630">
        <f>COUNT(E38:E43)</f>
        <v>6</v>
      </c>
    </row>
    <row r="5" spans="1:11">
      <c r="A5" s="2956">
        <v>4</v>
      </c>
      <c r="B5" s="2957" t="s">
        <v>3204</v>
      </c>
      <c r="C5" s="2957" t="s">
        <v>3143</v>
      </c>
      <c r="D5" s="2957" t="s">
        <v>3071</v>
      </c>
      <c r="E5" s="2962">
        <v>80.599999999999994</v>
      </c>
      <c r="F5" s="2958">
        <v>30398.287841190999</v>
      </c>
      <c r="G5" s="2959">
        <v>2450102</v>
      </c>
      <c r="I5" s="2970" t="s">
        <v>3225</v>
      </c>
      <c r="J5" s="1630">
        <f>SUM(E44:E70)</f>
        <v>2500.4399999999996</v>
      </c>
      <c r="K5" s="1630">
        <f>COUNT(E44:E70)</f>
        <v>27</v>
      </c>
    </row>
    <row r="6" spans="1:11">
      <c r="A6" s="2956">
        <v>5</v>
      </c>
      <c r="B6" s="2957" t="s">
        <v>3204</v>
      </c>
      <c r="C6" s="2957" t="s">
        <v>3192</v>
      </c>
      <c r="D6" s="2957" t="s">
        <v>3071</v>
      </c>
      <c r="E6" s="2962">
        <v>59.24</v>
      </c>
      <c r="F6" s="2958">
        <v>34645.324105334199</v>
      </c>
      <c r="G6" s="2959">
        <v>2052389</v>
      </c>
      <c r="I6" s="2970" t="s">
        <v>3226</v>
      </c>
      <c r="J6" s="1630">
        <f>SUM(E71:E77)</f>
        <v>681.8900000000001</v>
      </c>
      <c r="K6" s="1630">
        <f>COUNT(E71:E77)</f>
        <v>7</v>
      </c>
    </row>
    <row r="7" spans="1:11">
      <c r="A7" s="2956">
        <v>6</v>
      </c>
      <c r="B7" s="2957" t="s">
        <v>3204</v>
      </c>
      <c r="C7" s="2957" t="s">
        <v>3213</v>
      </c>
      <c r="D7" s="2957" t="s">
        <v>3071</v>
      </c>
      <c r="E7" s="2962">
        <v>148.47</v>
      </c>
      <c r="F7" s="2958">
        <v>28163.191217080799</v>
      </c>
      <c r="G7" s="2959">
        <v>4181389</v>
      </c>
      <c r="I7" s="2970" t="s">
        <v>3227</v>
      </c>
      <c r="J7" s="1630">
        <f>SUM(E78:E104)</f>
        <v>2526.15</v>
      </c>
      <c r="K7" s="1630">
        <f>COUNT(E78:E104)</f>
        <v>27</v>
      </c>
    </row>
    <row r="8" spans="1:11">
      <c r="A8" s="2956">
        <v>7</v>
      </c>
      <c r="B8" s="2957" t="s">
        <v>3204</v>
      </c>
      <c r="C8" s="2957" t="s">
        <v>3126</v>
      </c>
      <c r="D8" s="2957" t="s">
        <v>3071</v>
      </c>
      <c r="E8" s="2962">
        <v>80.599999999999994</v>
      </c>
      <c r="F8" s="2958">
        <v>31570.248138957799</v>
      </c>
      <c r="G8" s="2959">
        <v>2544562</v>
      </c>
      <c r="I8" s="2970" t="s">
        <v>3228</v>
      </c>
      <c r="J8" s="1630">
        <f>SUM(E105:E112)</f>
        <v>664.82999999999993</v>
      </c>
      <c r="K8" s="1630">
        <f>COUNT(E105:E112)</f>
        <v>8</v>
      </c>
    </row>
    <row r="9" spans="1:11">
      <c r="A9" s="2956">
        <v>8</v>
      </c>
      <c r="B9" s="2957" t="s">
        <v>3204</v>
      </c>
      <c r="C9" s="2957" t="s">
        <v>3114</v>
      </c>
      <c r="D9" s="2957" t="s">
        <v>3071</v>
      </c>
      <c r="E9" s="2962">
        <v>59.24</v>
      </c>
      <c r="F9" s="2958">
        <v>37265.681971640697</v>
      </c>
      <c r="G9" s="2959">
        <v>2207619</v>
      </c>
      <c r="I9" s="2970" t="s">
        <v>3229</v>
      </c>
      <c r="J9" s="1630">
        <f>SUM(E113:E119)</f>
        <v>661.21</v>
      </c>
      <c r="K9" s="1630">
        <f>COUNT(E113:E119)</f>
        <v>7</v>
      </c>
    </row>
    <row r="10" spans="1:11">
      <c r="A10" s="2956">
        <v>9</v>
      </c>
      <c r="B10" s="2957" t="s">
        <v>3204</v>
      </c>
      <c r="C10" s="2957" t="s">
        <v>3214</v>
      </c>
      <c r="D10" s="2957" t="s">
        <v>3071</v>
      </c>
      <c r="E10" s="2962">
        <v>148.47</v>
      </c>
      <c r="F10" s="2958">
        <v>31005.0043779888</v>
      </c>
      <c r="G10" s="2959">
        <v>4603313</v>
      </c>
      <c r="I10" s="2970" t="s">
        <v>3116</v>
      </c>
      <c r="J10" s="1630">
        <f>SUM(E120:E131)</f>
        <v>1227.74</v>
      </c>
      <c r="K10" s="1630">
        <f>COUNT(E120:E131)</f>
        <v>12</v>
      </c>
    </row>
    <row r="11" spans="1:11">
      <c r="A11" s="2956">
        <v>10</v>
      </c>
      <c r="B11" s="2957" t="s">
        <v>3204</v>
      </c>
      <c r="C11" s="2957" t="s">
        <v>3168</v>
      </c>
      <c r="D11" s="2957" t="s">
        <v>3071</v>
      </c>
      <c r="E11" s="2962">
        <v>105.24</v>
      </c>
      <c r="F11" s="2958">
        <v>34037.618776130701</v>
      </c>
      <c r="G11" s="2959">
        <v>3582119</v>
      </c>
      <c r="I11" s="2970" t="s">
        <v>3111</v>
      </c>
      <c r="J11" s="1630">
        <f>SUM(E132:E155)</f>
        <v>2513.9000000000005</v>
      </c>
      <c r="K11" s="1630">
        <f>COUNT(E132:E155)</f>
        <v>24</v>
      </c>
    </row>
    <row r="12" spans="1:11">
      <c r="A12" s="2956">
        <v>11</v>
      </c>
      <c r="B12" s="2957" t="s">
        <v>3204</v>
      </c>
      <c r="C12" s="2957" t="s">
        <v>3205</v>
      </c>
      <c r="D12" s="2957" t="s">
        <v>3071</v>
      </c>
      <c r="E12" s="2962">
        <v>87.83</v>
      </c>
      <c r="F12" s="2958">
        <v>34037.629511556399</v>
      </c>
      <c r="G12" s="2959">
        <v>2989525</v>
      </c>
      <c r="I12" s="2970" t="s">
        <v>3171</v>
      </c>
      <c r="J12" s="1630">
        <f>SUM(E156:E172)</f>
        <v>1501.4300000000003</v>
      </c>
      <c r="K12" s="1630">
        <f>COUNT(E156:E172)</f>
        <v>17</v>
      </c>
    </row>
    <row r="13" spans="1:11">
      <c r="A13" s="2956">
        <v>12</v>
      </c>
      <c r="B13" s="2957" t="s">
        <v>3204</v>
      </c>
      <c r="C13" s="2957" t="s">
        <v>3159</v>
      </c>
      <c r="D13" s="2957" t="s">
        <v>3071</v>
      </c>
      <c r="E13" s="2962">
        <v>105.24</v>
      </c>
      <c r="F13" s="2958">
        <v>34397.605473204101</v>
      </c>
      <c r="G13" s="2959">
        <v>3620004</v>
      </c>
      <c r="I13" s="2970" t="s">
        <v>3119</v>
      </c>
      <c r="J13" s="1630">
        <f>SUM(E173:E186)</f>
        <v>1295.9499999999998</v>
      </c>
      <c r="K13" s="1630">
        <f>COUNT(E173:E186)</f>
        <v>14</v>
      </c>
    </row>
    <row r="14" spans="1:11">
      <c r="A14" s="2956">
        <v>13</v>
      </c>
      <c r="B14" s="2957" t="s">
        <v>3204</v>
      </c>
      <c r="C14" s="2957" t="s">
        <v>3124</v>
      </c>
      <c r="D14" s="2957" t="s">
        <v>3071</v>
      </c>
      <c r="E14" s="2962">
        <v>87.83</v>
      </c>
      <c r="F14" s="2958">
        <v>34397.620403051304</v>
      </c>
      <c r="G14" s="2959">
        <v>3021143</v>
      </c>
      <c r="I14" s="2970" t="s">
        <v>3179</v>
      </c>
      <c r="J14" s="1630">
        <f>SUM(E187:E191)</f>
        <v>392.07000000000005</v>
      </c>
      <c r="K14" s="1630">
        <f>COUNT(E187:E191)</f>
        <v>5</v>
      </c>
    </row>
    <row r="15" spans="1:11">
      <c r="A15" s="2956">
        <v>14</v>
      </c>
      <c r="B15" s="2957" t="s">
        <v>3204</v>
      </c>
      <c r="C15" s="2957" t="s">
        <v>3157</v>
      </c>
      <c r="D15" s="2957" t="s">
        <v>3071</v>
      </c>
      <c r="E15" s="2962">
        <v>105.24</v>
      </c>
      <c r="F15" s="2958">
        <v>36390.165336373997</v>
      </c>
      <c r="G15" s="2959">
        <v>3829701</v>
      </c>
      <c r="J15" s="1630">
        <f>SUM(J3:J14)</f>
        <v>17925.289999999997</v>
      </c>
      <c r="K15" s="1630">
        <f>SUM(K3:K14)</f>
        <v>190</v>
      </c>
    </row>
    <row r="16" spans="1:11">
      <c r="A16" s="2956">
        <v>15</v>
      </c>
      <c r="B16" s="2957" t="s">
        <v>3204</v>
      </c>
      <c r="C16" s="2957" t="s">
        <v>3201</v>
      </c>
      <c r="D16" s="2957" t="s">
        <v>3071</v>
      </c>
      <c r="E16" s="2962">
        <v>87.83</v>
      </c>
      <c r="F16" s="2958">
        <v>36781.452806558103</v>
      </c>
      <c r="G16" s="2959">
        <v>3230515</v>
      </c>
    </row>
    <row r="17" spans="1:7">
      <c r="A17" s="2956">
        <v>16</v>
      </c>
      <c r="B17" s="2957" t="s">
        <v>3204</v>
      </c>
      <c r="C17" s="2957" t="s">
        <v>3207</v>
      </c>
      <c r="D17" s="2957" t="s">
        <v>3071</v>
      </c>
      <c r="E17" s="2962">
        <v>87.83</v>
      </c>
      <c r="F17" s="2958">
        <v>34037.629511556399</v>
      </c>
      <c r="G17" s="2959">
        <v>2989525</v>
      </c>
    </row>
    <row r="18" spans="1:7">
      <c r="A18" s="2956">
        <v>17</v>
      </c>
      <c r="B18" s="2957" t="s">
        <v>3204</v>
      </c>
      <c r="C18" s="2957" t="s">
        <v>3212</v>
      </c>
      <c r="D18" s="2957" t="s">
        <v>3071</v>
      </c>
      <c r="E18" s="2962">
        <v>105.24</v>
      </c>
      <c r="F18" s="2958">
        <v>34037.618776130701</v>
      </c>
      <c r="G18" s="2959">
        <v>3582119</v>
      </c>
    </row>
    <row r="19" spans="1:7">
      <c r="A19" s="2956">
        <v>18</v>
      </c>
      <c r="B19" s="2957" t="s">
        <v>3204</v>
      </c>
      <c r="C19" s="2957" t="s">
        <v>3172</v>
      </c>
      <c r="D19" s="2957" t="s">
        <v>3071</v>
      </c>
      <c r="E19" s="2962">
        <v>87.83</v>
      </c>
      <c r="F19" s="2958">
        <v>34397.620403051304</v>
      </c>
      <c r="G19" s="2959">
        <v>3021143</v>
      </c>
    </row>
    <row r="20" spans="1:7">
      <c r="A20" s="2956">
        <v>19</v>
      </c>
      <c r="B20" s="2957" t="s">
        <v>3204</v>
      </c>
      <c r="C20" s="2957" t="s">
        <v>3117</v>
      </c>
      <c r="D20" s="2957" t="s">
        <v>3071</v>
      </c>
      <c r="E20" s="2962">
        <v>105.24</v>
      </c>
      <c r="F20" s="2958">
        <v>34397.605473204101</v>
      </c>
      <c r="G20" s="2959">
        <v>3620004</v>
      </c>
    </row>
    <row r="21" spans="1:7">
      <c r="A21" s="2956">
        <v>20</v>
      </c>
      <c r="B21" s="2957" t="s">
        <v>3204</v>
      </c>
      <c r="C21" s="2957" t="s">
        <v>3148</v>
      </c>
      <c r="D21" s="2957" t="s">
        <v>3071</v>
      </c>
      <c r="E21" s="2962">
        <v>87.83</v>
      </c>
      <c r="F21" s="2958">
        <v>36781.452806558103</v>
      </c>
      <c r="G21" s="2959">
        <v>3230515</v>
      </c>
    </row>
    <row r="22" spans="1:7">
      <c r="A22" s="2956">
        <v>21</v>
      </c>
      <c r="B22" s="2957" t="s">
        <v>3204</v>
      </c>
      <c r="C22" s="2957" t="s">
        <v>3112</v>
      </c>
      <c r="D22" s="2957" t="s">
        <v>3071</v>
      </c>
      <c r="E22" s="2962">
        <v>105.24</v>
      </c>
      <c r="F22" s="2958">
        <v>36390.165336373997</v>
      </c>
      <c r="G22" s="2959">
        <v>3829701</v>
      </c>
    </row>
    <row r="23" spans="1:7" s="2969" customFormat="1">
      <c r="A23" s="2956">
        <v>22</v>
      </c>
      <c r="B23" s="2965" t="s">
        <v>3204</v>
      </c>
      <c r="C23" s="2965" t="s">
        <v>3217</v>
      </c>
      <c r="D23" s="2965" t="s">
        <v>3071</v>
      </c>
      <c r="E23" s="2966">
        <v>88.02</v>
      </c>
      <c r="F23" s="2967">
        <v>34037.627811860897</v>
      </c>
      <c r="G23" s="2968">
        <v>2995992</v>
      </c>
    </row>
    <row r="24" spans="1:7">
      <c r="A24" s="2956">
        <v>23</v>
      </c>
      <c r="B24" s="2957" t="s">
        <v>3204</v>
      </c>
      <c r="C24" s="2957" t="s">
        <v>3216</v>
      </c>
      <c r="D24" s="2957" t="s">
        <v>3071</v>
      </c>
      <c r="E24" s="2962">
        <v>105.24</v>
      </c>
      <c r="F24" s="2958">
        <v>34037.618776130701</v>
      </c>
      <c r="G24" s="2959">
        <v>3582119</v>
      </c>
    </row>
    <row r="25" spans="1:7">
      <c r="A25" s="2956">
        <v>24</v>
      </c>
      <c r="B25" s="2957" t="s">
        <v>3204</v>
      </c>
      <c r="C25" s="2957" t="s">
        <v>3209</v>
      </c>
      <c r="D25" s="2957" t="s">
        <v>3071</v>
      </c>
      <c r="E25" s="2962">
        <v>88.02</v>
      </c>
      <c r="F25" s="2958">
        <v>34397.614178595701</v>
      </c>
      <c r="G25" s="2959">
        <v>3027678</v>
      </c>
    </row>
    <row r="26" spans="1:7" ht="14.5" customHeight="1">
      <c r="A26" s="2956">
        <v>25</v>
      </c>
      <c r="B26" s="2957" t="s">
        <v>3204</v>
      </c>
      <c r="C26" s="2957" t="s">
        <v>3164</v>
      </c>
      <c r="D26" s="2957" t="s">
        <v>3071</v>
      </c>
      <c r="E26" s="2962">
        <v>105.24</v>
      </c>
      <c r="F26" s="2958">
        <v>34397.605473204101</v>
      </c>
      <c r="G26" s="2959">
        <v>3620004</v>
      </c>
    </row>
    <row r="27" spans="1:7">
      <c r="A27" s="2956">
        <v>26</v>
      </c>
      <c r="B27" s="2957" t="s">
        <v>3204</v>
      </c>
      <c r="C27" s="2957" t="s">
        <v>3122</v>
      </c>
      <c r="D27" s="2957" t="s">
        <v>3071</v>
      </c>
      <c r="E27" s="2962">
        <v>88.02</v>
      </c>
      <c r="F27" s="2958">
        <v>36781.458759372799</v>
      </c>
      <c r="G27" s="2959">
        <v>3237504</v>
      </c>
    </row>
    <row r="28" spans="1:7">
      <c r="A28" s="2956">
        <v>27</v>
      </c>
      <c r="B28" s="2957" t="s">
        <v>3204</v>
      </c>
      <c r="C28" s="2957" t="s">
        <v>3127</v>
      </c>
      <c r="D28" s="2957" t="s">
        <v>3071</v>
      </c>
      <c r="E28" s="2962">
        <v>105.24</v>
      </c>
      <c r="F28" s="2958">
        <v>36390.165336373997</v>
      </c>
      <c r="G28" s="2959">
        <v>3829701</v>
      </c>
    </row>
    <row r="29" spans="1:7">
      <c r="A29" s="2956">
        <v>28</v>
      </c>
      <c r="B29" s="2957" t="s">
        <v>3204</v>
      </c>
      <c r="C29" s="2957" t="s">
        <v>3211</v>
      </c>
      <c r="D29" s="2957" t="s">
        <v>3071</v>
      </c>
      <c r="E29" s="2962">
        <v>148.47</v>
      </c>
      <c r="F29" s="2958">
        <v>27720.7853438405</v>
      </c>
      <c r="G29" s="2959">
        <v>4115705</v>
      </c>
    </row>
    <row r="30" spans="1:7">
      <c r="A30" s="2956">
        <v>29</v>
      </c>
      <c r="B30" s="2957" t="s">
        <v>3204</v>
      </c>
      <c r="C30" s="2957" t="s">
        <v>3206</v>
      </c>
      <c r="D30" s="2957" t="s">
        <v>3071</v>
      </c>
      <c r="E30" s="2962">
        <v>59.24</v>
      </c>
      <c r="F30" s="2958">
        <v>32694.4632005401</v>
      </c>
      <c r="G30" s="2959">
        <v>1936820</v>
      </c>
    </row>
    <row r="31" spans="1:7">
      <c r="A31" s="2956">
        <v>30</v>
      </c>
      <c r="B31" s="2957" t="s">
        <v>3204</v>
      </c>
      <c r="C31" s="2957" t="s">
        <v>3208</v>
      </c>
      <c r="D31" s="2957" t="s">
        <v>3071</v>
      </c>
      <c r="E31" s="2962">
        <v>80.599999999999994</v>
      </c>
      <c r="F31" s="2958">
        <v>29375.3722084367</v>
      </c>
      <c r="G31" s="2959">
        <v>2367655</v>
      </c>
    </row>
    <row r="32" spans="1:7">
      <c r="A32" s="2956">
        <v>31</v>
      </c>
      <c r="B32" s="2957" t="s">
        <v>3204</v>
      </c>
      <c r="C32" s="2957" t="s">
        <v>3147</v>
      </c>
      <c r="D32" s="2957" t="s">
        <v>3071</v>
      </c>
      <c r="E32" s="2962">
        <v>148.47</v>
      </c>
      <c r="F32" s="2958">
        <v>28061.211019061</v>
      </c>
      <c r="G32" s="2959">
        <v>4166248</v>
      </c>
    </row>
    <row r="33" spans="1:7">
      <c r="A33" s="2956">
        <v>32</v>
      </c>
      <c r="B33" s="2957" t="s">
        <v>3204</v>
      </c>
      <c r="C33" s="2957" t="s">
        <v>3210</v>
      </c>
      <c r="D33" s="2957" t="s">
        <v>3071</v>
      </c>
      <c r="E33" s="2962">
        <v>59.24</v>
      </c>
      <c r="F33" s="2958">
        <v>33046.623902768297</v>
      </c>
      <c r="G33" s="2959">
        <v>1957682</v>
      </c>
    </row>
    <row r="34" spans="1:7">
      <c r="A34" s="2956">
        <v>33</v>
      </c>
      <c r="B34" s="2957" t="s">
        <v>3204</v>
      </c>
      <c r="C34" s="2957" t="s">
        <v>3141</v>
      </c>
      <c r="D34" s="2957" t="s">
        <v>3071</v>
      </c>
      <c r="E34" s="2962">
        <v>80.599999999999994</v>
      </c>
      <c r="F34" s="2958">
        <v>29715.806451612902</v>
      </c>
      <c r="G34" s="2959">
        <v>2395094</v>
      </c>
    </row>
    <row r="35" spans="1:7">
      <c r="A35" s="2956">
        <v>34</v>
      </c>
      <c r="B35" s="2957" t="s">
        <v>3204</v>
      </c>
      <c r="C35" s="2957" t="s">
        <v>3166</v>
      </c>
      <c r="D35" s="2957" t="s">
        <v>3071</v>
      </c>
      <c r="E35" s="2962">
        <v>148.47</v>
      </c>
      <c r="F35" s="2958">
        <v>31005.0043779888</v>
      </c>
      <c r="G35" s="2959">
        <v>4603313</v>
      </c>
    </row>
    <row r="36" spans="1:7">
      <c r="A36" s="2956">
        <v>35</v>
      </c>
      <c r="B36" s="2957" t="s">
        <v>3204</v>
      </c>
      <c r="C36" s="2957" t="s">
        <v>3185</v>
      </c>
      <c r="D36" s="2957" t="s">
        <v>3071</v>
      </c>
      <c r="E36" s="2962">
        <v>59.24</v>
      </c>
      <c r="F36" s="2958">
        <v>35857.022282241698</v>
      </c>
      <c r="G36" s="2959">
        <v>2124170</v>
      </c>
    </row>
    <row r="37" spans="1:7">
      <c r="A37" s="2956">
        <v>36</v>
      </c>
      <c r="B37" s="2957" t="s">
        <v>3204</v>
      </c>
      <c r="C37" s="2957" t="s">
        <v>3150</v>
      </c>
      <c r="D37" s="2957" t="s">
        <v>3071</v>
      </c>
      <c r="E37" s="2962">
        <v>80.599999999999994</v>
      </c>
      <c r="F37" s="2958">
        <v>30891.042183622802</v>
      </c>
      <c r="G37" s="2959">
        <v>2489818</v>
      </c>
    </row>
    <row r="38" spans="1:7">
      <c r="A38" s="2956">
        <v>41</v>
      </c>
      <c r="B38" s="2957" t="s">
        <v>3163</v>
      </c>
      <c r="C38" s="2957" t="s">
        <v>3192</v>
      </c>
      <c r="D38" s="2957" t="s">
        <v>3071</v>
      </c>
      <c r="E38" s="2962">
        <v>59.48</v>
      </c>
      <c r="F38" s="2958">
        <v>35020.040349697301</v>
      </c>
      <c r="G38" s="2959">
        <v>2082992</v>
      </c>
    </row>
    <row r="39" spans="1:7">
      <c r="A39" s="2956">
        <v>37</v>
      </c>
      <c r="B39" s="2957" t="s">
        <v>3163</v>
      </c>
      <c r="C39" s="2957" t="s">
        <v>3126</v>
      </c>
      <c r="D39" s="2957" t="s">
        <v>3071</v>
      </c>
      <c r="E39" s="2962">
        <v>80.98</v>
      </c>
      <c r="F39" s="2958">
        <v>33043.825635959402</v>
      </c>
      <c r="G39" s="2959">
        <v>2675889</v>
      </c>
    </row>
    <row r="40" spans="1:7">
      <c r="A40" s="2956">
        <v>39</v>
      </c>
      <c r="B40" s="2957" t="s">
        <v>3163</v>
      </c>
      <c r="C40" s="2957" t="s">
        <v>3114</v>
      </c>
      <c r="D40" s="2957" t="s">
        <v>3071</v>
      </c>
      <c r="E40" s="2962">
        <v>59.48</v>
      </c>
      <c r="F40" s="2958">
        <v>37521.822461331503</v>
      </c>
      <c r="G40" s="2959">
        <v>2231798</v>
      </c>
    </row>
    <row r="41" spans="1:7">
      <c r="A41" s="2956">
        <v>38</v>
      </c>
      <c r="B41" s="2957" t="s">
        <v>3163</v>
      </c>
      <c r="C41" s="2957" t="s">
        <v>3112</v>
      </c>
      <c r="D41" s="2957" t="s">
        <v>3071</v>
      </c>
      <c r="E41" s="2962">
        <v>151.22</v>
      </c>
      <c r="F41" s="2958">
        <v>36341.667768813597</v>
      </c>
      <c r="G41" s="2959">
        <v>5495587</v>
      </c>
    </row>
    <row r="42" spans="1:7">
      <c r="A42" s="2956">
        <v>40</v>
      </c>
      <c r="B42" s="2957" t="s">
        <v>3163</v>
      </c>
      <c r="C42" s="2957" t="s">
        <v>3127</v>
      </c>
      <c r="D42" s="2957" t="s">
        <v>3071</v>
      </c>
      <c r="E42" s="2962">
        <v>59.48</v>
      </c>
      <c r="F42" s="2958">
        <v>36176.3113651647</v>
      </c>
      <c r="G42" s="2959">
        <v>2151767</v>
      </c>
    </row>
    <row r="43" spans="1:7">
      <c r="A43" s="2956">
        <v>42</v>
      </c>
      <c r="B43" s="2957" t="s">
        <v>3163</v>
      </c>
      <c r="C43" s="2957" t="s">
        <v>3200</v>
      </c>
      <c r="D43" s="2957" t="s">
        <v>3071</v>
      </c>
      <c r="E43" s="2962">
        <v>80.98</v>
      </c>
      <c r="F43" s="2958">
        <v>31784.6999259076</v>
      </c>
      <c r="G43" s="2959">
        <v>2573925</v>
      </c>
    </row>
    <row r="44" spans="1:7">
      <c r="A44" s="2956">
        <v>43</v>
      </c>
      <c r="B44" s="2957" t="s">
        <v>3113</v>
      </c>
      <c r="C44" s="2957" t="s">
        <v>3112</v>
      </c>
      <c r="D44" s="2957" t="s">
        <v>3071</v>
      </c>
      <c r="E44" s="2962">
        <v>88.49</v>
      </c>
      <c r="F44" s="2958">
        <v>36400</v>
      </c>
      <c r="G44" s="2959">
        <v>3221036</v>
      </c>
    </row>
    <row r="45" spans="1:7">
      <c r="A45" s="2956">
        <v>44</v>
      </c>
      <c r="B45" s="2957" t="s">
        <v>3113</v>
      </c>
      <c r="C45" s="2957" t="s">
        <v>3138</v>
      </c>
      <c r="D45" s="2957" t="s">
        <v>3071</v>
      </c>
      <c r="E45" s="2957">
        <v>88.58</v>
      </c>
      <c r="F45" s="2958">
        <v>36400</v>
      </c>
      <c r="G45" s="2959">
        <v>3224312</v>
      </c>
    </row>
    <row r="46" spans="1:7">
      <c r="A46" s="2956">
        <v>45</v>
      </c>
      <c r="B46" s="2957" t="s">
        <v>3113</v>
      </c>
      <c r="C46" s="2957" t="s">
        <v>3139</v>
      </c>
      <c r="D46" s="2957" t="s">
        <v>3071</v>
      </c>
      <c r="E46" s="2957">
        <v>88.49</v>
      </c>
      <c r="F46" s="2958">
        <v>36400</v>
      </c>
      <c r="G46" s="2959">
        <v>3221036</v>
      </c>
    </row>
    <row r="47" spans="1:7">
      <c r="A47" s="2956">
        <v>46</v>
      </c>
      <c r="B47" s="2957" t="s">
        <v>3113</v>
      </c>
      <c r="C47" s="2957" t="s">
        <v>3142</v>
      </c>
      <c r="D47" s="2957" t="s">
        <v>3071</v>
      </c>
      <c r="E47" s="2957">
        <v>86.07</v>
      </c>
      <c r="F47" s="2958">
        <v>33872.839999999997</v>
      </c>
      <c r="G47" s="2959">
        <v>2915435</v>
      </c>
    </row>
    <row r="48" spans="1:7">
      <c r="A48" s="2956">
        <v>47</v>
      </c>
      <c r="B48" s="2957" t="s">
        <v>3113</v>
      </c>
      <c r="C48" s="2957" t="s">
        <v>3144</v>
      </c>
      <c r="D48" s="2957" t="s">
        <v>3071</v>
      </c>
      <c r="E48" s="2957">
        <v>88.48</v>
      </c>
      <c r="F48" s="2958">
        <v>29394.17</v>
      </c>
      <c r="G48" s="2959">
        <v>2600796</v>
      </c>
    </row>
    <row r="49" spans="1:7">
      <c r="A49" s="2956">
        <v>48</v>
      </c>
      <c r="B49" s="2957" t="s">
        <v>3113</v>
      </c>
      <c r="C49" s="2957" t="s">
        <v>3146</v>
      </c>
      <c r="D49" s="2957" t="s">
        <v>3071</v>
      </c>
      <c r="E49" s="2962">
        <v>86.07</v>
      </c>
      <c r="F49" s="2958">
        <v>30785.639595677902</v>
      </c>
      <c r="G49" s="2959">
        <v>2649720</v>
      </c>
    </row>
    <row r="50" spans="1:7">
      <c r="A50" s="2956">
        <v>49</v>
      </c>
      <c r="B50" s="2957" t="s">
        <v>3113</v>
      </c>
      <c r="C50" s="2957" t="s">
        <v>3155</v>
      </c>
      <c r="D50" s="2957" t="s">
        <v>3071</v>
      </c>
      <c r="E50" s="2962">
        <v>88.58</v>
      </c>
      <c r="F50" s="2958">
        <v>34186.825468502997</v>
      </c>
      <c r="G50" s="2959">
        <v>3028269</v>
      </c>
    </row>
    <row r="51" spans="1:7">
      <c r="A51" s="2956">
        <v>50</v>
      </c>
      <c r="B51" s="2957" t="s">
        <v>3113</v>
      </c>
      <c r="C51" s="2957" t="s">
        <v>3156</v>
      </c>
      <c r="D51" s="2957" t="s">
        <v>3071</v>
      </c>
      <c r="E51" s="2962">
        <v>81.28</v>
      </c>
      <c r="F51" s="2958">
        <v>31239.542322834601</v>
      </c>
      <c r="G51" s="2959">
        <v>2539150</v>
      </c>
    </row>
    <row r="52" spans="1:7">
      <c r="A52" s="2956">
        <v>51</v>
      </c>
      <c r="B52" s="2957" t="s">
        <v>3113</v>
      </c>
      <c r="C52" s="2957" t="s">
        <v>3159</v>
      </c>
      <c r="D52" s="2957" t="s">
        <v>3071</v>
      </c>
      <c r="E52" s="2962">
        <v>80.680000000000007</v>
      </c>
      <c r="F52" s="2958">
        <v>30907.263262270601</v>
      </c>
      <c r="G52" s="2959">
        <v>2493598</v>
      </c>
    </row>
    <row r="53" spans="1:7">
      <c r="A53" s="2956">
        <v>52</v>
      </c>
      <c r="B53" s="2957" t="s">
        <v>3113</v>
      </c>
      <c r="C53" s="2957" t="s">
        <v>3161</v>
      </c>
      <c r="D53" s="2957" t="s">
        <v>3071</v>
      </c>
      <c r="E53" s="2962">
        <v>149.72</v>
      </c>
      <c r="F53" s="2958">
        <v>29204.3013625434</v>
      </c>
      <c r="G53" s="2959">
        <v>4372468</v>
      </c>
    </row>
    <row r="54" spans="1:7">
      <c r="A54" s="2956">
        <v>53</v>
      </c>
      <c r="B54" s="2957" t="s">
        <v>3113</v>
      </c>
      <c r="C54" s="2957" t="s">
        <v>3162</v>
      </c>
      <c r="D54" s="2957" t="s">
        <v>3071</v>
      </c>
      <c r="E54" s="2962">
        <v>150.28</v>
      </c>
      <c r="F54" s="2958">
        <v>30755.9821666223</v>
      </c>
      <c r="G54" s="2959">
        <v>4622009</v>
      </c>
    </row>
    <row r="55" spans="1:7">
      <c r="A55" s="2956">
        <v>54</v>
      </c>
      <c r="B55" s="2957" t="s">
        <v>3113</v>
      </c>
      <c r="C55" s="2957" t="s">
        <v>3165</v>
      </c>
      <c r="D55" s="2957" t="s">
        <v>3071</v>
      </c>
      <c r="E55" s="2962">
        <v>88.58</v>
      </c>
      <c r="F55" s="2958">
        <v>33827.444118311098</v>
      </c>
      <c r="G55" s="2959">
        <v>2996435</v>
      </c>
    </row>
    <row r="56" spans="1:7">
      <c r="A56" s="2956">
        <v>55</v>
      </c>
      <c r="B56" s="2957" t="s">
        <v>3113</v>
      </c>
      <c r="C56" s="2957" t="s">
        <v>3166</v>
      </c>
      <c r="D56" s="2957" t="s">
        <v>3071</v>
      </c>
      <c r="E56" s="2962">
        <v>149.72</v>
      </c>
      <c r="F56" s="2958">
        <v>30020.5583756345</v>
      </c>
      <c r="G56" s="2959">
        <v>4494678</v>
      </c>
    </row>
    <row r="57" spans="1:7">
      <c r="A57" s="2956">
        <v>56</v>
      </c>
      <c r="B57" s="2957" t="s">
        <v>3113</v>
      </c>
      <c r="C57" s="2957" t="s">
        <v>3168</v>
      </c>
      <c r="D57" s="2957" t="s">
        <v>3071</v>
      </c>
      <c r="E57" s="2962">
        <v>80.680000000000007</v>
      </c>
      <c r="F57" s="2958">
        <v>29262.084779375298</v>
      </c>
      <c r="G57" s="2959">
        <v>2360865</v>
      </c>
    </row>
    <row r="58" spans="1:7">
      <c r="A58" s="2956">
        <v>57</v>
      </c>
      <c r="B58" s="2957" t="s">
        <v>3113</v>
      </c>
      <c r="C58" s="2957" t="s">
        <v>3170</v>
      </c>
      <c r="D58" s="2957" t="s">
        <v>3071</v>
      </c>
      <c r="E58" s="2962">
        <v>81.28</v>
      </c>
      <c r="F58" s="2958">
        <v>32506.090059055099</v>
      </c>
      <c r="G58" s="2959">
        <v>2642095</v>
      </c>
    </row>
    <row r="59" spans="1:7">
      <c r="A59" s="2956">
        <v>58</v>
      </c>
      <c r="B59" s="2957" t="s">
        <v>3113</v>
      </c>
      <c r="C59" s="2957" t="s">
        <v>3127</v>
      </c>
      <c r="D59" s="2957" t="s">
        <v>3071</v>
      </c>
      <c r="E59" s="2962">
        <v>106.08</v>
      </c>
      <c r="F59" s="2958">
        <v>35200</v>
      </c>
      <c r="G59" s="2959">
        <v>3734016</v>
      </c>
    </row>
    <row r="60" spans="1:7">
      <c r="A60" s="2956">
        <v>59</v>
      </c>
      <c r="B60" s="2957" t="s">
        <v>3113</v>
      </c>
      <c r="C60" s="2957" t="s">
        <v>3178</v>
      </c>
      <c r="D60" s="2957" t="s">
        <v>3071</v>
      </c>
      <c r="E60" s="2962">
        <v>89.15</v>
      </c>
      <c r="F60" s="2958">
        <v>29737.251822770599</v>
      </c>
      <c r="G60" s="2959">
        <v>2651076</v>
      </c>
    </row>
    <row r="61" spans="1:7">
      <c r="A61" s="2956">
        <v>60</v>
      </c>
      <c r="B61" s="2957" t="s">
        <v>3113</v>
      </c>
      <c r="C61" s="2957" t="s">
        <v>3143</v>
      </c>
      <c r="D61" s="2957" t="s">
        <v>3071</v>
      </c>
      <c r="E61" s="2962">
        <v>93.5</v>
      </c>
      <c r="F61" s="2958">
        <v>31040.0641711229</v>
      </c>
      <c r="G61" s="2959">
        <v>2902246</v>
      </c>
    </row>
    <row r="62" spans="1:7">
      <c r="A62" s="2956">
        <v>61</v>
      </c>
      <c r="B62" s="2957" t="s">
        <v>3113</v>
      </c>
      <c r="C62" s="2957" t="s">
        <v>3182</v>
      </c>
      <c r="D62" s="2957" t="s">
        <v>3071</v>
      </c>
      <c r="E62" s="2962">
        <v>86.07</v>
      </c>
      <c r="F62" s="2958">
        <v>31895.6430812129</v>
      </c>
      <c r="G62" s="2959">
        <v>2745258</v>
      </c>
    </row>
    <row r="63" spans="1:7">
      <c r="A63" s="2956">
        <v>62</v>
      </c>
      <c r="B63" s="2957" t="s">
        <v>3113</v>
      </c>
      <c r="C63" s="2957" t="s">
        <v>3184</v>
      </c>
      <c r="D63" s="2957" t="s">
        <v>3071</v>
      </c>
      <c r="E63" s="2962">
        <v>86.2</v>
      </c>
      <c r="F63" s="2958">
        <v>30178.0278422273</v>
      </c>
      <c r="G63" s="2959">
        <v>2601346</v>
      </c>
    </row>
    <row r="64" spans="1:7">
      <c r="A64" s="2956">
        <v>63</v>
      </c>
      <c r="B64" s="2957" t="s">
        <v>3113</v>
      </c>
      <c r="C64" s="2957" t="s">
        <v>3185</v>
      </c>
      <c r="D64" s="2957" t="s">
        <v>3071</v>
      </c>
      <c r="E64" s="2962">
        <v>59.69</v>
      </c>
      <c r="F64" s="2958">
        <v>35826.687887418302</v>
      </c>
      <c r="G64" s="2959">
        <v>2138495</v>
      </c>
    </row>
    <row r="65" spans="1:7">
      <c r="A65" s="2956">
        <v>64</v>
      </c>
      <c r="B65" s="2957" t="s">
        <v>3113</v>
      </c>
      <c r="C65" s="2957" t="s">
        <v>3186</v>
      </c>
      <c r="D65" s="2957" t="s">
        <v>3071</v>
      </c>
      <c r="E65" s="2962">
        <v>82.49</v>
      </c>
      <c r="F65" s="2958">
        <v>29402.654867256599</v>
      </c>
      <c r="G65" s="2959">
        <v>2425425</v>
      </c>
    </row>
    <row r="66" spans="1:7">
      <c r="A66" s="2956">
        <v>65</v>
      </c>
      <c r="B66" s="2957" t="s">
        <v>3113</v>
      </c>
      <c r="C66" s="2957" t="s">
        <v>3117</v>
      </c>
      <c r="D66" s="2957" t="s">
        <v>3071</v>
      </c>
      <c r="E66" s="2962">
        <v>88.49</v>
      </c>
      <c r="F66" s="2958">
        <v>34450.186461746998</v>
      </c>
      <c r="G66" s="2959">
        <v>3048497</v>
      </c>
    </row>
    <row r="67" spans="1:7">
      <c r="A67" s="2956">
        <v>66</v>
      </c>
      <c r="B67" s="2957" t="s">
        <v>3113</v>
      </c>
      <c r="C67" s="2957" t="s">
        <v>3192</v>
      </c>
      <c r="D67" s="2957" t="s">
        <v>3071</v>
      </c>
      <c r="E67" s="2962">
        <v>89.15</v>
      </c>
      <c r="F67" s="2958">
        <v>32273.438025799202</v>
      </c>
      <c r="G67" s="2959">
        <v>2877177</v>
      </c>
    </row>
    <row r="68" spans="1:7">
      <c r="A68" s="2956">
        <v>67</v>
      </c>
      <c r="B68" s="2957" t="s">
        <v>3113</v>
      </c>
      <c r="C68" s="2957" t="s">
        <v>3193</v>
      </c>
      <c r="D68" s="2957" t="s">
        <v>3071</v>
      </c>
      <c r="E68" s="2962">
        <v>81.28</v>
      </c>
      <c r="F68" s="2958">
        <v>30883.981299212501</v>
      </c>
      <c r="G68" s="2959">
        <v>2510250</v>
      </c>
    </row>
    <row r="69" spans="1:7">
      <c r="A69" s="2956">
        <v>68</v>
      </c>
      <c r="B69" s="2957" t="s">
        <v>3113</v>
      </c>
      <c r="C69" s="2957" t="s">
        <v>3150</v>
      </c>
      <c r="D69" s="2957" t="s">
        <v>3071</v>
      </c>
      <c r="E69" s="2962">
        <v>80.680000000000007</v>
      </c>
      <c r="F69" s="2958">
        <v>31050.185919682601</v>
      </c>
      <c r="G69" s="2959">
        <v>2505129</v>
      </c>
    </row>
    <row r="70" spans="1:7">
      <c r="A70" s="2956">
        <v>69</v>
      </c>
      <c r="B70" s="2957" t="s">
        <v>3113</v>
      </c>
      <c r="C70" s="2957" t="s">
        <v>3141</v>
      </c>
      <c r="D70" s="2957" t="s">
        <v>3071</v>
      </c>
      <c r="E70" s="2962">
        <v>80.680000000000007</v>
      </c>
      <c r="F70" s="2958">
        <v>28709.890927119399</v>
      </c>
      <c r="G70" s="2959">
        <v>2316314</v>
      </c>
    </row>
    <row r="71" spans="1:7">
      <c r="A71" s="2956">
        <v>70</v>
      </c>
      <c r="B71" s="2957" t="s">
        <v>3153</v>
      </c>
      <c r="C71" s="2957" t="s">
        <v>3148</v>
      </c>
      <c r="D71" s="2957" t="s">
        <v>3071</v>
      </c>
      <c r="E71" s="2962">
        <v>152.29</v>
      </c>
      <c r="F71" s="2958">
        <v>36106.185567010303</v>
      </c>
      <c r="G71" s="2959">
        <v>5498611</v>
      </c>
    </row>
    <row r="72" spans="1:7">
      <c r="A72" s="2956">
        <v>71</v>
      </c>
      <c r="B72" s="2957" t="s">
        <v>3153</v>
      </c>
      <c r="C72" s="2957" t="s">
        <v>3183</v>
      </c>
      <c r="D72" s="2957" t="s">
        <v>3071</v>
      </c>
      <c r="E72" s="2962">
        <v>56.04</v>
      </c>
      <c r="F72" s="2958">
        <v>38888.6509635974</v>
      </c>
      <c r="G72" s="2959">
        <v>2179320</v>
      </c>
    </row>
    <row r="73" spans="1:7">
      <c r="A73" s="2956">
        <v>72</v>
      </c>
      <c r="B73" s="2957" t="s">
        <v>3153</v>
      </c>
      <c r="C73" s="2957" t="s">
        <v>3143</v>
      </c>
      <c r="D73" s="2957" t="s">
        <v>3071</v>
      </c>
      <c r="E73" s="2962">
        <v>76.22</v>
      </c>
      <c r="F73" s="2958">
        <v>33801.823668328499</v>
      </c>
      <c r="G73" s="2959">
        <v>2576375</v>
      </c>
    </row>
    <row r="74" spans="1:7">
      <c r="A74" s="2956">
        <v>73</v>
      </c>
      <c r="B74" s="2957" t="s">
        <v>3153</v>
      </c>
      <c r="C74" s="2957" t="s">
        <v>3126</v>
      </c>
      <c r="D74" s="2957" t="s">
        <v>3071</v>
      </c>
      <c r="E74" s="2962">
        <v>76.22</v>
      </c>
      <c r="F74" s="2958">
        <v>34068.512201521902</v>
      </c>
      <c r="G74" s="2959">
        <v>2596702</v>
      </c>
    </row>
    <row r="75" spans="1:7">
      <c r="A75" s="2956">
        <v>74</v>
      </c>
      <c r="B75" s="2957" t="s">
        <v>3153</v>
      </c>
      <c r="C75" s="2957" t="s">
        <v>3197</v>
      </c>
      <c r="D75" s="2957" t="s">
        <v>3071</v>
      </c>
      <c r="E75" s="2962">
        <v>76.22</v>
      </c>
      <c r="F75" s="2958">
        <v>34889.884544738903</v>
      </c>
      <c r="G75" s="2959">
        <v>2659307</v>
      </c>
    </row>
    <row r="76" spans="1:7">
      <c r="A76" s="2956">
        <v>75</v>
      </c>
      <c r="B76" s="2957" t="s">
        <v>3153</v>
      </c>
      <c r="C76" s="2957" t="s">
        <v>3160</v>
      </c>
      <c r="D76" s="2957" t="s">
        <v>3071</v>
      </c>
      <c r="E76" s="2962">
        <v>122.45</v>
      </c>
      <c r="F76" s="2958">
        <v>36800</v>
      </c>
      <c r="G76" s="2959">
        <v>4506160</v>
      </c>
    </row>
    <row r="77" spans="1:7">
      <c r="A77" s="2956">
        <v>76</v>
      </c>
      <c r="B77" s="2957" t="s">
        <v>3153</v>
      </c>
      <c r="C77" s="2957" t="s">
        <v>3117</v>
      </c>
      <c r="D77" s="2957" t="s">
        <v>3071</v>
      </c>
      <c r="E77" s="2962">
        <v>122.45</v>
      </c>
      <c r="F77" s="2958">
        <v>35812.601061657799</v>
      </c>
      <c r="G77" s="2959">
        <v>4385253</v>
      </c>
    </row>
    <row r="78" spans="1:7">
      <c r="A78" s="2956">
        <v>77</v>
      </c>
      <c r="B78" s="2957" t="s">
        <v>3151</v>
      </c>
      <c r="C78" s="2957" t="s">
        <v>3152</v>
      </c>
      <c r="D78" s="2957" t="s">
        <v>3071</v>
      </c>
      <c r="E78" s="2962">
        <v>75.61</v>
      </c>
      <c r="F78" s="2958">
        <v>31756.1830445708</v>
      </c>
      <c r="G78" s="2959">
        <v>2401085</v>
      </c>
    </row>
    <row r="79" spans="1:7">
      <c r="A79" s="2956">
        <v>78</v>
      </c>
      <c r="B79" s="2957" t="s">
        <v>3151</v>
      </c>
      <c r="C79" s="2957" t="s">
        <v>3154</v>
      </c>
      <c r="D79" s="2957" t="s">
        <v>3071</v>
      </c>
      <c r="E79" s="2962">
        <v>99.45</v>
      </c>
      <c r="F79" s="2958">
        <v>38400</v>
      </c>
      <c r="G79" s="2959">
        <v>3818880</v>
      </c>
    </row>
    <row r="80" spans="1:7">
      <c r="A80" s="2956">
        <v>79</v>
      </c>
      <c r="B80" s="2957" t="s">
        <v>3151</v>
      </c>
      <c r="C80" s="2957" t="s">
        <v>3147</v>
      </c>
      <c r="D80" s="2957" t="s">
        <v>3071</v>
      </c>
      <c r="E80" s="2962">
        <v>83.21</v>
      </c>
      <c r="F80" s="2958">
        <v>36016.007691383202</v>
      </c>
      <c r="G80" s="2959">
        <v>2996892</v>
      </c>
    </row>
    <row r="81" spans="1:7">
      <c r="A81" s="2956">
        <v>80</v>
      </c>
      <c r="B81" s="2957" t="s">
        <v>3151</v>
      </c>
      <c r="C81" s="2957" t="s">
        <v>3160</v>
      </c>
      <c r="D81" s="2957" t="s">
        <v>3071</v>
      </c>
      <c r="E81" s="2962">
        <v>83.22</v>
      </c>
      <c r="F81" s="2958">
        <v>37362.965633261199</v>
      </c>
      <c r="G81" s="2959">
        <v>3109346</v>
      </c>
    </row>
    <row r="82" spans="1:7">
      <c r="A82" s="2956">
        <v>81</v>
      </c>
      <c r="B82" s="2957" t="s">
        <v>3151</v>
      </c>
      <c r="C82" s="2957" t="s">
        <v>3167</v>
      </c>
      <c r="D82" s="2957" t="s">
        <v>3071</v>
      </c>
      <c r="E82" s="2962">
        <v>75.61</v>
      </c>
      <c r="F82" s="2958">
        <v>34895.000661288097</v>
      </c>
      <c r="G82" s="2959">
        <v>2638411</v>
      </c>
    </row>
    <row r="83" spans="1:7">
      <c r="A83" s="2956">
        <v>82</v>
      </c>
      <c r="B83" s="2957" t="s">
        <v>3151</v>
      </c>
      <c r="C83" s="2957" t="s">
        <v>3169</v>
      </c>
      <c r="D83" s="2957" t="s">
        <v>3071</v>
      </c>
      <c r="E83" s="2962">
        <v>142.19</v>
      </c>
      <c r="F83" s="2958">
        <v>38400</v>
      </c>
      <c r="G83" s="2959">
        <v>5460096</v>
      </c>
    </row>
    <row r="84" spans="1:7">
      <c r="A84" s="2956">
        <v>83</v>
      </c>
      <c r="B84" s="2957" t="s">
        <v>3151</v>
      </c>
      <c r="C84" s="2957" t="s">
        <v>3173</v>
      </c>
      <c r="D84" s="2957" t="s">
        <v>3071</v>
      </c>
      <c r="E84" s="2962">
        <v>83.21</v>
      </c>
      <c r="F84" s="2958">
        <v>38400</v>
      </c>
      <c r="G84" s="2959">
        <v>3195264</v>
      </c>
    </row>
    <row r="85" spans="1:7">
      <c r="A85" s="2956">
        <v>84</v>
      </c>
      <c r="B85" s="2957" t="s">
        <v>3151</v>
      </c>
      <c r="C85" s="2957" t="s">
        <v>3174</v>
      </c>
      <c r="D85" s="2957" t="s">
        <v>3071</v>
      </c>
      <c r="E85" s="2962">
        <v>83.62</v>
      </c>
      <c r="F85" s="2958">
        <v>33673.881846448203</v>
      </c>
      <c r="G85" s="2959">
        <v>2815810</v>
      </c>
    </row>
    <row r="86" spans="1:7">
      <c r="A86" s="2956">
        <v>85</v>
      </c>
      <c r="B86" s="2957" t="s">
        <v>3151</v>
      </c>
      <c r="C86" s="2957" t="s">
        <v>3145</v>
      </c>
      <c r="D86" s="2957" t="s">
        <v>3071</v>
      </c>
      <c r="E86" s="2962">
        <v>87.67</v>
      </c>
      <c r="F86" s="2958">
        <v>31792.597239648599</v>
      </c>
      <c r="G86" s="2959">
        <v>2787257</v>
      </c>
    </row>
    <row r="87" spans="1:7">
      <c r="A87" s="2956">
        <v>86</v>
      </c>
      <c r="B87" s="2957" t="s">
        <v>3151</v>
      </c>
      <c r="C87" s="2957" t="s">
        <v>3120</v>
      </c>
      <c r="D87" s="2957" t="s">
        <v>3071</v>
      </c>
      <c r="E87" s="2962">
        <v>142.19</v>
      </c>
      <c r="F87" s="2958">
        <v>36326.141078838104</v>
      </c>
      <c r="G87" s="2959">
        <v>5165214</v>
      </c>
    </row>
    <row r="88" spans="1:7">
      <c r="A88" s="2956">
        <v>87</v>
      </c>
      <c r="B88" s="2957" t="s">
        <v>3151</v>
      </c>
      <c r="C88" s="2957" t="s">
        <v>3176</v>
      </c>
      <c r="D88" s="2957" t="s">
        <v>3071</v>
      </c>
      <c r="E88" s="2962">
        <v>83.62</v>
      </c>
      <c r="F88" s="2958">
        <v>35243.004066012902</v>
      </c>
      <c r="G88" s="2959">
        <v>2947020</v>
      </c>
    </row>
    <row r="89" spans="1:7">
      <c r="A89" s="2956">
        <v>88</v>
      </c>
      <c r="B89" s="2957" t="s">
        <v>3151</v>
      </c>
      <c r="C89" s="2957" t="s">
        <v>3112</v>
      </c>
      <c r="D89" s="2957" t="s">
        <v>3071</v>
      </c>
      <c r="E89" s="2962">
        <v>83.22</v>
      </c>
      <c r="F89" s="2958">
        <v>37080.966113914903</v>
      </c>
      <c r="G89" s="2959">
        <v>3085878</v>
      </c>
    </row>
    <row r="90" spans="1:7">
      <c r="A90" s="2956">
        <v>89</v>
      </c>
      <c r="B90" s="2957" t="s">
        <v>3151</v>
      </c>
      <c r="C90" s="2957" t="s">
        <v>3181</v>
      </c>
      <c r="D90" s="2957" t="s">
        <v>3071</v>
      </c>
      <c r="E90" s="2962">
        <v>75.61</v>
      </c>
      <c r="F90" s="2958">
        <v>32104.192567120699</v>
      </c>
      <c r="G90" s="2959">
        <v>2427398</v>
      </c>
    </row>
    <row r="91" spans="1:7">
      <c r="A91" s="2956">
        <v>90</v>
      </c>
      <c r="B91" s="2957" t="s">
        <v>3151</v>
      </c>
      <c r="C91" s="2957" t="s">
        <v>3187</v>
      </c>
      <c r="D91" s="2957" t="s">
        <v>3071</v>
      </c>
      <c r="E91" s="2962">
        <v>87.67</v>
      </c>
      <c r="F91" s="2958">
        <v>31737.549903045499</v>
      </c>
      <c r="G91" s="2959">
        <v>2782431</v>
      </c>
    </row>
    <row r="92" spans="1:7">
      <c r="A92" s="2956">
        <v>91</v>
      </c>
      <c r="B92" s="2957" t="s">
        <v>3151</v>
      </c>
      <c r="C92" s="2957" t="s">
        <v>3117</v>
      </c>
      <c r="D92" s="2957" t="s">
        <v>3071</v>
      </c>
      <c r="E92" s="2962">
        <v>83.22</v>
      </c>
      <c r="F92" s="2958">
        <v>36016.005767844203</v>
      </c>
      <c r="G92" s="2959">
        <v>2997252</v>
      </c>
    </row>
    <row r="93" spans="1:7">
      <c r="A93" s="2956">
        <v>92</v>
      </c>
      <c r="B93" s="2957" t="s">
        <v>3151</v>
      </c>
      <c r="C93" s="2957" t="s">
        <v>3128</v>
      </c>
      <c r="D93" s="2957" t="s">
        <v>3071</v>
      </c>
      <c r="E93" s="2962">
        <v>75.61</v>
      </c>
      <c r="F93" s="2958">
        <v>33134.8366618172</v>
      </c>
      <c r="G93" s="2959">
        <v>2505325</v>
      </c>
    </row>
    <row r="94" spans="1:7">
      <c r="A94" s="2956">
        <v>93</v>
      </c>
      <c r="B94" s="2957" t="s">
        <v>3151</v>
      </c>
      <c r="C94" s="2957" t="s">
        <v>3188</v>
      </c>
      <c r="D94" s="2957" t="s">
        <v>3071</v>
      </c>
      <c r="E94" s="2962">
        <v>140.26</v>
      </c>
      <c r="F94" s="2958">
        <v>34495.002138884898</v>
      </c>
      <c r="G94" s="2959">
        <v>4838269</v>
      </c>
    </row>
    <row r="95" spans="1:7">
      <c r="A95" s="2956">
        <v>94</v>
      </c>
      <c r="B95" s="2957" t="s">
        <v>3151</v>
      </c>
      <c r="C95" s="2957" t="s">
        <v>3189</v>
      </c>
      <c r="D95" s="2957" t="s">
        <v>3071</v>
      </c>
      <c r="E95" s="2962">
        <v>75.55</v>
      </c>
      <c r="F95" s="2958">
        <v>31815.790866975502</v>
      </c>
      <c r="G95" s="2959">
        <v>2403683</v>
      </c>
    </row>
    <row r="96" spans="1:7">
      <c r="A96" s="2956">
        <v>95</v>
      </c>
      <c r="B96" s="2957" t="s">
        <v>3151</v>
      </c>
      <c r="C96" s="2957" t="s">
        <v>3190</v>
      </c>
      <c r="D96" s="2957" t="s">
        <v>3071</v>
      </c>
      <c r="E96" s="2962">
        <v>56</v>
      </c>
      <c r="F96" s="2958">
        <v>38095</v>
      </c>
      <c r="G96" s="2959">
        <v>2133320</v>
      </c>
    </row>
    <row r="97" spans="1:7">
      <c r="A97" s="2956">
        <v>96</v>
      </c>
      <c r="B97" s="2957" t="s">
        <v>3151</v>
      </c>
      <c r="C97" s="2957" t="s">
        <v>3195</v>
      </c>
      <c r="D97" s="2957" t="s">
        <v>3071</v>
      </c>
      <c r="E97" s="2962">
        <v>83.21</v>
      </c>
      <c r="F97" s="2958">
        <v>36965.4728998918</v>
      </c>
      <c r="G97" s="2959">
        <v>3075897</v>
      </c>
    </row>
    <row r="98" spans="1:7">
      <c r="A98" s="2956">
        <v>97</v>
      </c>
      <c r="B98" s="2957" t="s">
        <v>3151</v>
      </c>
      <c r="C98" s="2957" t="s">
        <v>3196</v>
      </c>
      <c r="D98" s="2957" t="s">
        <v>3071</v>
      </c>
      <c r="E98" s="2962">
        <v>87.67</v>
      </c>
      <c r="F98" s="2958">
        <v>31990.760807573799</v>
      </c>
      <c r="G98" s="2959">
        <v>2804630</v>
      </c>
    </row>
    <row r="99" spans="1:7">
      <c r="A99" s="2956">
        <v>98</v>
      </c>
      <c r="B99" s="2957" t="s">
        <v>3151</v>
      </c>
      <c r="C99" s="2957" t="s">
        <v>3199</v>
      </c>
      <c r="D99" s="2957" t="s">
        <v>3071</v>
      </c>
      <c r="E99" s="2962">
        <v>99.45</v>
      </c>
      <c r="F99" s="2958">
        <v>36568.004022121597</v>
      </c>
      <c r="G99" s="2959">
        <v>3636688</v>
      </c>
    </row>
    <row r="100" spans="1:7">
      <c r="A100" s="2956">
        <v>99</v>
      </c>
      <c r="B100" s="2957" t="s">
        <v>3151</v>
      </c>
      <c r="C100" s="2957" t="s">
        <v>3202</v>
      </c>
      <c r="D100" s="2957" t="s">
        <v>3071</v>
      </c>
      <c r="E100" s="2962">
        <v>140.26</v>
      </c>
      <c r="F100" s="2958">
        <v>34095.002138884898</v>
      </c>
      <c r="G100" s="2959">
        <v>4782165</v>
      </c>
    </row>
    <row r="101" spans="1:7">
      <c r="A101" s="2956">
        <v>100</v>
      </c>
      <c r="B101" s="2957" t="s">
        <v>3151</v>
      </c>
      <c r="C101" s="2957" t="s">
        <v>3203</v>
      </c>
      <c r="D101" s="2957" t="s">
        <v>3071</v>
      </c>
      <c r="E101" s="2962">
        <v>140.26</v>
      </c>
      <c r="F101" s="2958">
        <v>32262.747754170799</v>
      </c>
      <c r="G101" s="2959">
        <v>4525173</v>
      </c>
    </row>
    <row r="102" spans="1:7">
      <c r="A102" s="2956">
        <v>101</v>
      </c>
      <c r="B102" s="2957" t="s">
        <v>3151</v>
      </c>
      <c r="C102" s="2957" t="s">
        <v>3197</v>
      </c>
      <c r="D102" s="2957" t="s">
        <v>3071</v>
      </c>
      <c r="E102" s="2962">
        <v>87.67</v>
      </c>
      <c r="F102" s="2958">
        <v>31951.157750655799</v>
      </c>
      <c r="G102" s="2959">
        <v>2801158</v>
      </c>
    </row>
    <row r="103" spans="1:7">
      <c r="A103" s="2956">
        <v>102</v>
      </c>
      <c r="B103" s="2957" t="s">
        <v>3151</v>
      </c>
      <c r="C103" s="2957" t="s">
        <v>3219</v>
      </c>
      <c r="D103" s="2957" t="s">
        <v>3071</v>
      </c>
      <c r="E103" s="2962">
        <v>87.67</v>
      </c>
      <c r="F103" s="2958">
        <v>34043.002167217899</v>
      </c>
      <c r="G103" s="2959">
        <v>2984550</v>
      </c>
    </row>
    <row r="104" spans="1:7">
      <c r="A104" s="2956">
        <v>103</v>
      </c>
      <c r="B104" s="2957" t="s">
        <v>3151</v>
      </c>
      <c r="C104" s="2957" t="s">
        <v>3118</v>
      </c>
      <c r="D104" s="2957" t="s">
        <v>3071</v>
      </c>
      <c r="E104" s="2962">
        <v>83.22</v>
      </c>
      <c r="F104" s="2958">
        <v>38400</v>
      </c>
      <c r="G104" s="2959">
        <v>3195648</v>
      </c>
    </row>
    <row r="105" spans="1:7">
      <c r="A105" s="2956">
        <v>104</v>
      </c>
      <c r="B105" s="2957" t="s">
        <v>3158</v>
      </c>
      <c r="C105" s="2957" t="s">
        <v>3126</v>
      </c>
      <c r="D105" s="2957" t="s">
        <v>3071</v>
      </c>
      <c r="E105" s="2962">
        <v>80.88</v>
      </c>
      <c r="F105" s="2958">
        <v>32372.514836795199</v>
      </c>
      <c r="G105" s="2959">
        <v>2618289</v>
      </c>
    </row>
    <row r="106" spans="1:7">
      <c r="A106" s="2956">
        <v>105</v>
      </c>
      <c r="B106" s="2957" t="s">
        <v>3158</v>
      </c>
      <c r="C106" s="2957" t="s">
        <v>3143</v>
      </c>
      <c r="D106" s="2957" t="s">
        <v>3071</v>
      </c>
      <c r="E106" s="2962">
        <v>80.88</v>
      </c>
      <c r="F106" s="2958">
        <v>31283.580613254198</v>
      </c>
      <c r="G106" s="2959">
        <v>2530216</v>
      </c>
    </row>
    <row r="107" spans="1:7">
      <c r="A107" s="2956">
        <v>106</v>
      </c>
      <c r="B107" s="2957" t="s">
        <v>3158</v>
      </c>
      <c r="C107" s="2957" t="s">
        <v>3145</v>
      </c>
      <c r="D107" s="2957" t="s">
        <v>3071</v>
      </c>
      <c r="E107" s="2962">
        <v>80.88</v>
      </c>
      <c r="F107" s="2958">
        <v>31271.834817012801</v>
      </c>
      <c r="G107" s="2959">
        <v>2529266</v>
      </c>
    </row>
    <row r="108" spans="1:7">
      <c r="A108" s="2956">
        <v>107</v>
      </c>
      <c r="B108" s="2957" t="s">
        <v>3158</v>
      </c>
      <c r="C108" s="2957" t="s">
        <v>3114</v>
      </c>
      <c r="D108" s="2957" t="s">
        <v>3071</v>
      </c>
      <c r="E108" s="2962">
        <v>59.45</v>
      </c>
      <c r="F108" s="2958">
        <v>38095.004205214398</v>
      </c>
      <c r="G108" s="2959">
        <v>2264748</v>
      </c>
    </row>
    <row r="109" spans="1:7">
      <c r="A109" s="2956">
        <v>108</v>
      </c>
      <c r="B109" s="2957" t="s">
        <v>3158</v>
      </c>
      <c r="C109" s="2957" t="s">
        <v>3150</v>
      </c>
      <c r="D109" s="2957" t="s">
        <v>3071</v>
      </c>
      <c r="E109" s="2962">
        <v>80.88</v>
      </c>
      <c r="F109" s="2958">
        <v>31884.223541048399</v>
      </c>
      <c r="G109" s="2959">
        <v>2578796</v>
      </c>
    </row>
    <row r="110" spans="1:7">
      <c r="A110" s="2956">
        <v>109</v>
      </c>
      <c r="B110" s="2957" t="s">
        <v>3158</v>
      </c>
      <c r="C110" s="2957" t="s">
        <v>3148</v>
      </c>
      <c r="D110" s="2957" t="s">
        <v>3071</v>
      </c>
      <c r="E110" s="2962">
        <v>88.06</v>
      </c>
      <c r="F110" s="2958">
        <v>37200</v>
      </c>
      <c r="G110" s="2959">
        <v>3275832</v>
      </c>
    </row>
    <row r="111" spans="1:7">
      <c r="A111" s="2956">
        <v>110</v>
      </c>
      <c r="B111" s="2957" t="s">
        <v>3158</v>
      </c>
      <c r="C111" s="2957" t="s">
        <v>3112</v>
      </c>
      <c r="D111" s="2957" t="s">
        <v>3071</v>
      </c>
      <c r="E111" s="2962">
        <v>105.56</v>
      </c>
      <c r="F111" s="2958">
        <v>37200</v>
      </c>
      <c r="G111" s="2959">
        <v>3926832</v>
      </c>
    </row>
    <row r="112" spans="1:7">
      <c r="A112" s="2956">
        <v>111</v>
      </c>
      <c r="B112" s="2957" t="s">
        <v>3158</v>
      </c>
      <c r="C112" s="2957" t="s">
        <v>3122</v>
      </c>
      <c r="D112" s="2957" t="s">
        <v>3071</v>
      </c>
      <c r="E112" s="2962">
        <v>88.24</v>
      </c>
      <c r="F112" s="2958">
        <v>37975</v>
      </c>
      <c r="G112" s="2959">
        <v>3350914</v>
      </c>
    </row>
    <row r="113" spans="1:7">
      <c r="A113" s="2956">
        <v>112</v>
      </c>
      <c r="B113" s="2957" t="s">
        <v>3125</v>
      </c>
      <c r="C113" s="2957" t="s">
        <v>3126</v>
      </c>
      <c r="D113" s="2957" t="s">
        <v>3071</v>
      </c>
      <c r="E113" s="2962">
        <v>80.59</v>
      </c>
      <c r="F113" s="2958">
        <v>32489.676138478699</v>
      </c>
      <c r="G113" s="2959">
        <v>2618343</v>
      </c>
    </row>
    <row r="114" spans="1:7">
      <c r="A114" s="2956">
        <v>113</v>
      </c>
      <c r="B114" s="2957" t="s">
        <v>3125</v>
      </c>
      <c r="C114" s="2957" t="s">
        <v>3143</v>
      </c>
      <c r="D114" s="2957" t="s">
        <v>3071</v>
      </c>
      <c r="E114" s="2957">
        <v>80.59</v>
      </c>
      <c r="F114" s="2958">
        <v>31482.31</v>
      </c>
      <c r="G114" s="2959">
        <v>2537159</v>
      </c>
    </row>
    <row r="115" spans="1:7">
      <c r="A115" s="2956">
        <v>114</v>
      </c>
      <c r="B115" s="2957" t="s">
        <v>3125</v>
      </c>
      <c r="C115" s="2957" t="s">
        <v>3157</v>
      </c>
      <c r="D115" s="2957" t="s">
        <v>3071</v>
      </c>
      <c r="E115" s="2962">
        <v>150.49</v>
      </c>
      <c r="F115" s="2958">
        <v>35600</v>
      </c>
      <c r="G115" s="2959">
        <v>5357444</v>
      </c>
    </row>
    <row r="116" spans="1:7">
      <c r="A116" s="2956">
        <v>115</v>
      </c>
      <c r="B116" s="2957" t="s">
        <v>3125</v>
      </c>
      <c r="C116" s="2957" t="s">
        <v>3114</v>
      </c>
      <c r="D116" s="2957" t="s">
        <v>3071</v>
      </c>
      <c r="E116" s="2962">
        <v>59.23</v>
      </c>
      <c r="F116" s="2958">
        <v>38888.654398109</v>
      </c>
      <c r="G116" s="2959">
        <v>2303375</v>
      </c>
    </row>
    <row r="117" spans="1:7">
      <c r="A117" s="2956">
        <v>116</v>
      </c>
      <c r="B117" s="2957" t="s">
        <v>3125</v>
      </c>
      <c r="C117" s="2957" t="s">
        <v>3112</v>
      </c>
      <c r="D117" s="2957" t="s">
        <v>3071</v>
      </c>
      <c r="E117" s="2962">
        <v>59.23</v>
      </c>
      <c r="F117" s="2958">
        <v>36635.910855985101</v>
      </c>
      <c r="G117" s="2959">
        <v>2169945</v>
      </c>
    </row>
    <row r="118" spans="1:7">
      <c r="A118" s="2956">
        <v>117</v>
      </c>
      <c r="B118" s="2957" t="s">
        <v>3125</v>
      </c>
      <c r="C118" s="2957" t="s">
        <v>3194</v>
      </c>
      <c r="D118" s="2957" t="s">
        <v>3071</v>
      </c>
      <c r="E118" s="2962">
        <v>80.59</v>
      </c>
      <c r="F118" s="2958">
        <v>32002.506514455799</v>
      </c>
      <c r="G118" s="2959">
        <v>2579082</v>
      </c>
    </row>
    <row r="119" spans="1:7">
      <c r="A119" s="2956">
        <v>118</v>
      </c>
      <c r="B119" s="2957" t="s">
        <v>3125</v>
      </c>
      <c r="C119" s="2957" t="s">
        <v>3159</v>
      </c>
      <c r="D119" s="2957" t="s">
        <v>3071</v>
      </c>
      <c r="E119" s="2962">
        <v>150.49</v>
      </c>
      <c r="F119" s="2958">
        <v>33288.1919064389</v>
      </c>
      <c r="G119" s="2959">
        <v>5009540</v>
      </c>
    </row>
    <row r="120" spans="1:7">
      <c r="A120" s="2956">
        <v>119</v>
      </c>
      <c r="B120" s="2957" t="s">
        <v>3116</v>
      </c>
      <c r="C120" s="2957" t="s">
        <v>3117</v>
      </c>
      <c r="D120" s="2957" t="s">
        <v>3071</v>
      </c>
      <c r="E120" s="2962">
        <v>145.1</v>
      </c>
      <c r="F120" s="2958">
        <v>35428.297725706398</v>
      </c>
      <c r="G120" s="2959">
        <v>5140646</v>
      </c>
    </row>
    <row r="121" spans="1:7">
      <c r="A121" s="2956">
        <v>120</v>
      </c>
      <c r="B121" s="2957" t="s">
        <v>3116</v>
      </c>
      <c r="C121" s="2957" t="s">
        <v>3122</v>
      </c>
      <c r="D121" s="2957" t="s">
        <v>3071</v>
      </c>
      <c r="E121" s="2962">
        <v>101.49</v>
      </c>
      <c r="F121" s="2958">
        <v>38400</v>
      </c>
      <c r="G121" s="2959">
        <v>3897216</v>
      </c>
    </row>
    <row r="122" spans="1:7">
      <c r="A122" s="2956">
        <v>121</v>
      </c>
      <c r="B122" s="2957" t="s">
        <v>3116</v>
      </c>
      <c r="C122" s="2957" t="s">
        <v>3132</v>
      </c>
      <c r="D122" s="2957" t="s">
        <v>3071</v>
      </c>
      <c r="E122" s="2957">
        <v>57.09</v>
      </c>
      <c r="F122" s="2958">
        <v>38095.01</v>
      </c>
      <c r="G122" s="2959">
        <v>2174844</v>
      </c>
    </row>
    <row r="123" spans="1:7">
      <c r="A123" s="2956">
        <v>122</v>
      </c>
      <c r="B123" s="2957" t="s">
        <v>3116</v>
      </c>
      <c r="C123" s="2957" t="s">
        <v>3141</v>
      </c>
      <c r="D123" s="2957" t="s">
        <v>3071</v>
      </c>
      <c r="E123" s="2962">
        <v>77.73</v>
      </c>
      <c r="F123" s="2958">
        <v>31526.1289077576</v>
      </c>
      <c r="G123" s="2959">
        <v>2450526</v>
      </c>
    </row>
    <row r="124" spans="1:7">
      <c r="A124" s="2956">
        <v>123</v>
      </c>
      <c r="B124" s="2957" t="s">
        <v>3116</v>
      </c>
      <c r="C124" s="2957" t="s">
        <v>3145</v>
      </c>
      <c r="D124" s="2957" t="s">
        <v>3071</v>
      </c>
      <c r="E124" s="2962">
        <v>77.73</v>
      </c>
      <c r="F124" s="2958">
        <v>32076.276855782799</v>
      </c>
      <c r="G124" s="2959">
        <v>2493289</v>
      </c>
    </row>
    <row r="125" spans="1:7">
      <c r="A125" s="2956">
        <v>124</v>
      </c>
      <c r="B125" s="2957" t="s">
        <v>3116</v>
      </c>
      <c r="C125" s="2957" t="s">
        <v>3143</v>
      </c>
      <c r="D125" s="2957" t="s">
        <v>3071</v>
      </c>
      <c r="E125" s="2962">
        <v>77.73</v>
      </c>
      <c r="F125" s="2958">
        <v>32424.276341181001</v>
      </c>
      <c r="G125" s="2959">
        <v>2520339</v>
      </c>
    </row>
    <row r="126" spans="1:7">
      <c r="A126" s="2956">
        <v>125</v>
      </c>
      <c r="B126" s="2957" t="s">
        <v>3116</v>
      </c>
      <c r="C126" s="2957" t="s">
        <v>3147</v>
      </c>
      <c r="D126" s="2957" t="s">
        <v>3071</v>
      </c>
      <c r="E126" s="2962">
        <v>143.72</v>
      </c>
      <c r="F126" s="2958">
        <v>30476.245477316999</v>
      </c>
      <c r="G126" s="2959">
        <v>4380046</v>
      </c>
    </row>
    <row r="127" spans="1:7">
      <c r="A127" s="2956">
        <v>126</v>
      </c>
      <c r="B127" s="2957" t="s">
        <v>3116</v>
      </c>
      <c r="C127" s="2957" t="s">
        <v>3126</v>
      </c>
      <c r="D127" s="2957" t="s">
        <v>3071</v>
      </c>
      <c r="E127" s="2962">
        <v>77.73</v>
      </c>
      <c r="F127" s="2958">
        <v>33580.290750032102</v>
      </c>
      <c r="G127" s="2959">
        <v>2610196</v>
      </c>
    </row>
    <row r="128" spans="1:7">
      <c r="A128" s="2956">
        <v>127</v>
      </c>
      <c r="B128" s="2957" t="s">
        <v>3116</v>
      </c>
      <c r="C128" s="2957" t="s">
        <v>3150</v>
      </c>
      <c r="D128" s="2957" t="s">
        <v>3071</v>
      </c>
      <c r="E128" s="2962">
        <v>77.73</v>
      </c>
      <c r="F128" s="2958">
        <v>32664.145117715099</v>
      </c>
      <c r="G128" s="2959">
        <v>2538984</v>
      </c>
    </row>
    <row r="129" spans="1:7">
      <c r="A129" s="2956">
        <v>128</v>
      </c>
      <c r="B129" s="2957" t="s">
        <v>3116</v>
      </c>
      <c r="C129" s="2957" t="s">
        <v>3148</v>
      </c>
      <c r="D129" s="2957" t="s">
        <v>3071</v>
      </c>
      <c r="E129" s="2962">
        <v>145.1</v>
      </c>
      <c r="F129" s="2958">
        <v>37600</v>
      </c>
      <c r="G129" s="2959">
        <v>5455760</v>
      </c>
    </row>
    <row r="130" spans="1:7">
      <c r="A130" s="2956">
        <v>129</v>
      </c>
      <c r="B130" s="2957" t="s">
        <v>3116</v>
      </c>
      <c r="C130" s="2957" t="s">
        <v>3172</v>
      </c>
      <c r="D130" s="2957" t="s">
        <v>3071</v>
      </c>
      <c r="E130" s="2962">
        <v>145.1</v>
      </c>
      <c r="F130" s="2958">
        <v>35428.297725706398</v>
      </c>
      <c r="G130" s="2959">
        <v>5140646</v>
      </c>
    </row>
    <row r="131" spans="1:7">
      <c r="A131" s="2956">
        <v>130</v>
      </c>
      <c r="B131" s="2957" t="s">
        <v>3116</v>
      </c>
      <c r="C131" s="2957" t="s">
        <v>3201</v>
      </c>
      <c r="D131" s="2957" t="s">
        <v>3071</v>
      </c>
      <c r="E131" s="2962">
        <v>101.49</v>
      </c>
      <c r="F131" s="2958">
        <v>38400</v>
      </c>
      <c r="G131" s="2959">
        <v>3897216</v>
      </c>
    </row>
    <row r="132" spans="1:7">
      <c r="A132" s="2956">
        <v>131</v>
      </c>
      <c r="B132" s="2957" t="s">
        <v>3111</v>
      </c>
      <c r="C132" s="2957" t="s">
        <v>3112</v>
      </c>
      <c r="D132" s="2957" t="s">
        <v>3071</v>
      </c>
      <c r="E132" s="2962">
        <v>143.87</v>
      </c>
      <c r="F132" s="2958">
        <v>35906.8186557308</v>
      </c>
      <c r="G132" s="2959">
        <v>5165914</v>
      </c>
    </row>
    <row r="133" spans="1:7">
      <c r="A133" s="2956">
        <v>132</v>
      </c>
      <c r="B133" s="2957" t="s">
        <v>3111</v>
      </c>
      <c r="C133" s="2957" t="s">
        <v>3114</v>
      </c>
      <c r="D133" s="2957" t="s">
        <v>3071</v>
      </c>
      <c r="E133" s="2962">
        <v>56.74</v>
      </c>
      <c r="F133" s="2958">
        <v>38095.012336975597</v>
      </c>
      <c r="G133" s="2959">
        <v>2161511</v>
      </c>
    </row>
    <row r="134" spans="1:7">
      <c r="A134" s="2956">
        <v>133</v>
      </c>
      <c r="B134" s="2957" t="s">
        <v>3111</v>
      </c>
      <c r="C134" s="2957" t="s">
        <v>3115</v>
      </c>
      <c r="D134" s="2957" t="s">
        <v>3071</v>
      </c>
      <c r="E134" s="2962">
        <v>100.69</v>
      </c>
      <c r="F134" s="2958">
        <v>38400</v>
      </c>
      <c r="G134" s="2959">
        <v>3866496</v>
      </c>
    </row>
    <row r="135" spans="1:7">
      <c r="A135" s="2956">
        <v>134</v>
      </c>
      <c r="B135" s="2957" t="s">
        <v>3111</v>
      </c>
      <c r="C135" s="2957" t="s">
        <v>3118</v>
      </c>
      <c r="D135" s="2957" t="s">
        <v>3071</v>
      </c>
      <c r="E135" s="2962">
        <v>143.87</v>
      </c>
      <c r="F135" s="2958">
        <v>38400</v>
      </c>
      <c r="G135" s="2959">
        <v>5524608</v>
      </c>
    </row>
    <row r="136" spans="1:7">
      <c r="A136" s="2956">
        <v>135</v>
      </c>
      <c r="B136" s="2957" t="s">
        <v>3111</v>
      </c>
      <c r="C136" s="2957" t="s">
        <v>3128</v>
      </c>
      <c r="D136" s="2957" t="s">
        <v>3071</v>
      </c>
      <c r="E136" s="2962">
        <v>84.72</v>
      </c>
      <c r="F136" s="2958">
        <v>36545.491029272802</v>
      </c>
      <c r="G136" s="2959">
        <v>3096134</v>
      </c>
    </row>
    <row r="137" spans="1:7">
      <c r="A137" s="2956">
        <v>136</v>
      </c>
      <c r="B137" s="2957" t="s">
        <v>3111</v>
      </c>
      <c r="C137" s="2957" t="s">
        <v>3134</v>
      </c>
      <c r="D137" s="2957" t="s">
        <v>3071</v>
      </c>
      <c r="E137" s="2957">
        <v>143.87</v>
      </c>
      <c r="F137" s="2958">
        <v>36366.82</v>
      </c>
      <c r="G137" s="2959">
        <v>5232094</v>
      </c>
    </row>
    <row r="138" spans="1:7">
      <c r="A138" s="2956">
        <v>137</v>
      </c>
      <c r="B138" s="2957" t="s">
        <v>3111</v>
      </c>
      <c r="C138" s="2957" t="s">
        <v>3135</v>
      </c>
      <c r="D138" s="2957" t="s">
        <v>3071</v>
      </c>
      <c r="E138" s="2957">
        <v>84.21</v>
      </c>
      <c r="F138" s="2958">
        <v>36269.480000000003</v>
      </c>
      <c r="G138" s="2959">
        <v>3054253</v>
      </c>
    </row>
    <row r="139" spans="1:7">
      <c r="A139" s="2956">
        <v>138</v>
      </c>
      <c r="B139" s="2957" t="s">
        <v>3111</v>
      </c>
      <c r="C139" s="2957" t="s">
        <v>3136</v>
      </c>
      <c r="D139" s="2957" t="s">
        <v>3071</v>
      </c>
      <c r="E139" s="2957">
        <v>143.87</v>
      </c>
      <c r="F139" s="2958">
        <v>36182.82</v>
      </c>
      <c r="G139" s="2959">
        <v>5205622</v>
      </c>
    </row>
    <row r="140" spans="1:7">
      <c r="A140" s="2956">
        <v>139</v>
      </c>
      <c r="B140" s="2957" t="s">
        <v>3111</v>
      </c>
      <c r="C140" s="2957" t="s">
        <v>3137</v>
      </c>
      <c r="D140" s="2957" t="s">
        <v>3071</v>
      </c>
      <c r="E140" s="2957">
        <v>100.69</v>
      </c>
      <c r="F140" s="2958">
        <v>36085.480000000003</v>
      </c>
      <c r="G140" s="2959">
        <v>3633447</v>
      </c>
    </row>
    <row r="141" spans="1:7">
      <c r="A141" s="2956">
        <v>140</v>
      </c>
      <c r="B141" s="2957" t="s">
        <v>3111</v>
      </c>
      <c r="C141" s="2957" t="s">
        <v>3140</v>
      </c>
      <c r="D141" s="2957" t="s">
        <v>3071</v>
      </c>
      <c r="E141" s="2957">
        <v>77.17</v>
      </c>
      <c r="F141" s="2958">
        <v>32812.629999999997</v>
      </c>
      <c r="G141" s="2959">
        <v>2532151</v>
      </c>
    </row>
    <row r="142" spans="1:7">
      <c r="A142" s="2956">
        <v>141</v>
      </c>
      <c r="B142" s="2957" t="s">
        <v>3111</v>
      </c>
      <c r="C142" s="2957" t="s">
        <v>3141</v>
      </c>
      <c r="D142" s="2957" t="s">
        <v>3071</v>
      </c>
      <c r="E142" s="2957">
        <v>77.17</v>
      </c>
      <c r="F142" s="2958">
        <v>32551.64</v>
      </c>
      <c r="G142" s="2959">
        <v>2512010</v>
      </c>
    </row>
    <row r="143" spans="1:7">
      <c r="A143" s="2956">
        <v>142</v>
      </c>
      <c r="B143" s="2957" t="s">
        <v>3111</v>
      </c>
      <c r="C143" s="2957" t="s">
        <v>3148</v>
      </c>
      <c r="D143" s="2957" t="s">
        <v>3071</v>
      </c>
      <c r="E143" s="2962">
        <v>143.87</v>
      </c>
      <c r="F143" s="2958">
        <v>36090.818099673299</v>
      </c>
      <c r="G143" s="2959">
        <v>5192386</v>
      </c>
    </row>
    <row r="144" spans="1:7">
      <c r="A144" s="2956">
        <v>143</v>
      </c>
      <c r="B144" s="2957" t="s">
        <v>3111</v>
      </c>
      <c r="C144" s="2957" t="s">
        <v>3149</v>
      </c>
      <c r="D144" s="2957" t="s">
        <v>3071</v>
      </c>
      <c r="E144" s="2962">
        <v>56.74</v>
      </c>
      <c r="F144" s="2958">
        <v>38095.012336975597</v>
      </c>
      <c r="G144" s="2959">
        <v>2161511</v>
      </c>
    </row>
    <row r="145" spans="1:7">
      <c r="A145" s="2956">
        <v>144</v>
      </c>
      <c r="B145" s="2957" t="s">
        <v>3111</v>
      </c>
      <c r="C145" s="2957" t="s">
        <v>3120</v>
      </c>
      <c r="D145" s="2957" t="s">
        <v>3071</v>
      </c>
      <c r="E145" s="2962">
        <v>100.69</v>
      </c>
      <c r="F145" s="2958">
        <v>36259.717946171397</v>
      </c>
      <c r="G145" s="2959">
        <v>3650991</v>
      </c>
    </row>
    <row r="146" spans="1:7">
      <c r="A146" s="2956">
        <v>145</v>
      </c>
      <c r="B146" s="2957" t="s">
        <v>3111</v>
      </c>
      <c r="C146" s="2957" t="s">
        <v>3169</v>
      </c>
      <c r="D146" s="2957" t="s">
        <v>3071</v>
      </c>
      <c r="E146" s="2962">
        <v>100.69</v>
      </c>
      <c r="F146" s="2958">
        <v>38400</v>
      </c>
      <c r="G146" s="2959">
        <v>3866496</v>
      </c>
    </row>
    <row r="147" spans="1:7">
      <c r="A147" s="2956">
        <v>146</v>
      </c>
      <c r="B147" s="2957" t="s">
        <v>3111</v>
      </c>
      <c r="C147" s="2957" t="s">
        <v>3117</v>
      </c>
      <c r="D147" s="2957" t="s">
        <v>3071</v>
      </c>
      <c r="E147" s="2962">
        <v>143.87</v>
      </c>
      <c r="F147" s="2958">
        <v>35630.819489817099</v>
      </c>
      <c r="G147" s="2959">
        <v>5126206</v>
      </c>
    </row>
    <row r="148" spans="1:7">
      <c r="A148" s="2956">
        <v>147</v>
      </c>
      <c r="B148" s="2957" t="s">
        <v>3111</v>
      </c>
      <c r="C148" s="2957" t="s">
        <v>3126</v>
      </c>
      <c r="D148" s="2957" t="s">
        <v>3071</v>
      </c>
      <c r="E148" s="2962">
        <v>77.17</v>
      </c>
      <c r="F148" s="2958">
        <v>33684.812751069003</v>
      </c>
      <c r="G148" s="2959">
        <v>2599457</v>
      </c>
    </row>
    <row r="149" spans="1:7">
      <c r="A149" s="2956">
        <v>148</v>
      </c>
      <c r="B149" s="2957" t="s">
        <v>3111</v>
      </c>
      <c r="C149" s="2957" t="s">
        <v>3154</v>
      </c>
      <c r="D149" s="2957" t="s">
        <v>3071</v>
      </c>
      <c r="E149" s="2962">
        <v>143.87</v>
      </c>
      <c r="F149" s="2958">
        <v>38400</v>
      </c>
      <c r="G149" s="2959">
        <v>5524608</v>
      </c>
    </row>
    <row r="150" spans="1:7">
      <c r="A150" s="2956">
        <v>149</v>
      </c>
      <c r="B150" s="2957" t="s">
        <v>3111</v>
      </c>
      <c r="C150" s="2957" t="s">
        <v>3175</v>
      </c>
      <c r="D150" s="2957" t="s">
        <v>3071</v>
      </c>
      <c r="E150" s="2962">
        <v>84.21</v>
      </c>
      <c r="F150" s="2958">
        <v>38400</v>
      </c>
      <c r="G150" s="2959">
        <v>3233664</v>
      </c>
    </row>
    <row r="151" spans="1:7">
      <c r="A151" s="2956">
        <v>150</v>
      </c>
      <c r="B151" s="2957" t="s">
        <v>3111</v>
      </c>
      <c r="C151" s="2957" t="s">
        <v>3177</v>
      </c>
      <c r="D151" s="2957" t="s">
        <v>3071</v>
      </c>
      <c r="E151" s="2962">
        <v>77.17</v>
      </c>
      <c r="F151" s="2958">
        <v>34103.848645846803</v>
      </c>
      <c r="G151" s="2959">
        <v>2631794</v>
      </c>
    </row>
    <row r="152" spans="1:7">
      <c r="A152" s="2956">
        <v>151</v>
      </c>
      <c r="B152" s="2957" t="s">
        <v>3111</v>
      </c>
      <c r="C152" s="2957" t="s">
        <v>3173</v>
      </c>
      <c r="D152" s="2957" t="s">
        <v>3071</v>
      </c>
      <c r="E152" s="2962">
        <v>142.65</v>
      </c>
      <c r="F152" s="2958">
        <v>33336.691202243201</v>
      </c>
      <c r="G152" s="2959">
        <v>4755479</v>
      </c>
    </row>
    <row r="153" spans="1:7">
      <c r="A153" s="2956">
        <v>152</v>
      </c>
      <c r="B153" s="2957" t="s">
        <v>3111</v>
      </c>
      <c r="C153" s="2957" t="s">
        <v>3124</v>
      </c>
      <c r="D153" s="2957" t="s">
        <v>3071</v>
      </c>
      <c r="E153" s="2962">
        <v>100.69</v>
      </c>
      <c r="F153" s="2958">
        <v>36198.708908531102</v>
      </c>
      <c r="G153" s="2959">
        <v>3644848</v>
      </c>
    </row>
    <row r="154" spans="1:7">
      <c r="A154" s="2956">
        <v>153</v>
      </c>
      <c r="B154" s="2957" t="s">
        <v>3111</v>
      </c>
      <c r="C154" s="2957" t="s">
        <v>3191</v>
      </c>
      <c r="D154" s="2957" t="s">
        <v>3071</v>
      </c>
      <c r="E154" s="2962">
        <v>84.72</v>
      </c>
      <c r="F154" s="2958">
        <v>37975</v>
      </c>
      <c r="G154" s="2959">
        <v>3217242</v>
      </c>
    </row>
    <row r="155" spans="1:7">
      <c r="A155" s="2956">
        <v>154</v>
      </c>
      <c r="B155" s="2957" t="s">
        <v>3111</v>
      </c>
      <c r="C155" s="2957" t="s">
        <v>3122</v>
      </c>
      <c r="D155" s="2957" t="s">
        <v>3071</v>
      </c>
      <c r="E155" s="2962">
        <v>100.69</v>
      </c>
      <c r="F155" s="2958">
        <v>36765.974774058901</v>
      </c>
      <c r="G155" s="2959">
        <v>3701966</v>
      </c>
    </row>
    <row r="156" spans="1:7">
      <c r="A156" s="2956">
        <v>155</v>
      </c>
      <c r="B156" s="2957" t="s">
        <v>3171</v>
      </c>
      <c r="C156" s="2957" t="s">
        <v>3172</v>
      </c>
      <c r="D156" s="2957" t="s">
        <v>3071</v>
      </c>
      <c r="E156" s="2962">
        <v>83.3</v>
      </c>
      <c r="F156" s="2958">
        <v>36888.391356542597</v>
      </c>
      <c r="G156" s="2959">
        <v>3072803</v>
      </c>
    </row>
    <row r="157" spans="1:7">
      <c r="A157" s="2956">
        <v>156</v>
      </c>
      <c r="B157" s="2957" t="s">
        <v>3171</v>
      </c>
      <c r="C157" s="2957" t="s">
        <v>3160</v>
      </c>
      <c r="D157" s="2957" t="s">
        <v>3071</v>
      </c>
      <c r="E157" s="2962">
        <v>99.78</v>
      </c>
      <c r="F157" s="2958">
        <v>36655.532170775703</v>
      </c>
      <c r="G157" s="2959">
        <v>3657489</v>
      </c>
    </row>
    <row r="158" spans="1:7">
      <c r="A158" s="2956">
        <v>157</v>
      </c>
      <c r="B158" s="2957" t="s">
        <v>3171</v>
      </c>
      <c r="C158" s="2957" t="s">
        <v>3112</v>
      </c>
      <c r="D158" s="2957" t="s">
        <v>3071</v>
      </c>
      <c r="E158" s="2962">
        <v>99.78</v>
      </c>
      <c r="F158" s="2958">
        <v>37170.394868711097</v>
      </c>
      <c r="G158" s="2959">
        <v>3708862</v>
      </c>
    </row>
    <row r="159" spans="1:7">
      <c r="A159" s="2956">
        <v>158</v>
      </c>
      <c r="B159" s="2957" t="s">
        <v>3171</v>
      </c>
      <c r="C159" s="2957" t="s">
        <v>3175</v>
      </c>
      <c r="D159" s="2957" t="s">
        <v>3071</v>
      </c>
      <c r="E159" s="2962">
        <v>99.78</v>
      </c>
      <c r="F159" s="2958">
        <v>38400</v>
      </c>
      <c r="G159" s="2959">
        <v>3831552</v>
      </c>
    </row>
    <row r="160" spans="1:7">
      <c r="A160" s="2956">
        <v>159</v>
      </c>
      <c r="B160" s="2957" t="s">
        <v>3171</v>
      </c>
      <c r="C160" s="2957" t="s">
        <v>3121</v>
      </c>
      <c r="D160" s="2957" t="s">
        <v>3071</v>
      </c>
      <c r="E160" s="2962">
        <v>83.3</v>
      </c>
      <c r="F160" s="2958">
        <v>36655.534213685401</v>
      </c>
      <c r="G160" s="2959">
        <v>3053406</v>
      </c>
    </row>
    <row r="161" spans="1:7">
      <c r="A161" s="2956">
        <v>160</v>
      </c>
      <c r="B161" s="2957" t="s">
        <v>3171</v>
      </c>
      <c r="C161" s="2957" t="s">
        <v>3154</v>
      </c>
      <c r="D161" s="2957" t="s">
        <v>3071</v>
      </c>
      <c r="E161" s="2962">
        <v>83.3</v>
      </c>
      <c r="F161" s="2958">
        <v>38400</v>
      </c>
      <c r="G161" s="2959">
        <v>3198720</v>
      </c>
    </row>
    <row r="162" spans="1:7">
      <c r="A162" s="2956">
        <v>161</v>
      </c>
      <c r="B162" s="2957" t="s">
        <v>3171</v>
      </c>
      <c r="C162" s="2957" t="s">
        <v>3173</v>
      </c>
      <c r="D162" s="2957" t="s">
        <v>3071</v>
      </c>
      <c r="E162" s="2962">
        <v>140.75</v>
      </c>
      <c r="F162" s="2958">
        <v>34495.005328596802</v>
      </c>
      <c r="G162" s="2959">
        <v>4855172</v>
      </c>
    </row>
    <row r="163" spans="1:7">
      <c r="A163" s="2956">
        <v>162</v>
      </c>
      <c r="B163" s="2957" t="s">
        <v>3171</v>
      </c>
      <c r="C163" s="2957" t="s">
        <v>3177</v>
      </c>
      <c r="D163" s="2957" t="s">
        <v>3071</v>
      </c>
      <c r="E163" s="2962">
        <v>76.41</v>
      </c>
      <c r="F163" s="2958">
        <v>35360.266980761597</v>
      </c>
      <c r="G163" s="2959">
        <v>2701878</v>
      </c>
    </row>
    <row r="164" spans="1:7">
      <c r="A164" s="2956">
        <v>163</v>
      </c>
      <c r="B164" s="2957" t="s">
        <v>3171</v>
      </c>
      <c r="C164" s="2957" t="s">
        <v>3118</v>
      </c>
      <c r="D164" s="2957" t="s">
        <v>3071</v>
      </c>
      <c r="E164" s="2962">
        <v>99.78</v>
      </c>
      <c r="F164" s="2958">
        <v>39200</v>
      </c>
      <c r="G164" s="2959">
        <v>3911376</v>
      </c>
    </row>
    <row r="165" spans="1:7">
      <c r="A165" s="2956">
        <v>164</v>
      </c>
      <c r="B165" s="2957" t="s">
        <v>3171</v>
      </c>
      <c r="C165" s="2957" t="s">
        <v>3120</v>
      </c>
      <c r="D165" s="2957" t="s">
        <v>3071</v>
      </c>
      <c r="E165" s="2962">
        <v>83.48</v>
      </c>
      <c r="F165" s="2958">
        <v>36545.292285577299</v>
      </c>
      <c r="G165" s="2959">
        <v>3050801</v>
      </c>
    </row>
    <row r="166" spans="1:7">
      <c r="A166" s="2956">
        <v>165</v>
      </c>
      <c r="B166" s="2957" t="s">
        <v>3171</v>
      </c>
      <c r="C166" s="2957" t="s">
        <v>3123</v>
      </c>
      <c r="D166" s="2957" t="s">
        <v>3071</v>
      </c>
      <c r="E166" s="2962">
        <v>83.3</v>
      </c>
      <c r="F166" s="2958">
        <v>37053.961584633798</v>
      </c>
      <c r="G166" s="2959">
        <v>3086595</v>
      </c>
    </row>
    <row r="167" spans="1:7">
      <c r="A167" s="2956">
        <v>166</v>
      </c>
      <c r="B167" s="2957" t="s">
        <v>3171</v>
      </c>
      <c r="C167" s="2957" t="s">
        <v>3126</v>
      </c>
      <c r="D167" s="2957" t="s">
        <v>3071</v>
      </c>
      <c r="E167" s="2962">
        <v>76.41</v>
      </c>
      <c r="F167" s="2958">
        <v>34896.257034419497</v>
      </c>
      <c r="G167" s="2959">
        <v>2666423</v>
      </c>
    </row>
    <row r="168" spans="1:7">
      <c r="A168" s="2956">
        <v>167</v>
      </c>
      <c r="B168" s="2957" t="s">
        <v>3171</v>
      </c>
      <c r="C168" s="2957" t="s">
        <v>3218</v>
      </c>
      <c r="D168" s="2957" t="s">
        <v>3071</v>
      </c>
      <c r="E168" s="2962">
        <v>99.78</v>
      </c>
      <c r="F168" s="2958">
        <v>35074.103026658602</v>
      </c>
      <c r="G168" s="2959">
        <v>3499694</v>
      </c>
    </row>
    <row r="169" spans="1:7">
      <c r="A169" s="2956">
        <v>168</v>
      </c>
      <c r="B169" s="2957" t="s">
        <v>3171</v>
      </c>
      <c r="C169" s="2957" t="s">
        <v>3143</v>
      </c>
      <c r="D169" s="2957" t="s">
        <v>3071</v>
      </c>
      <c r="E169" s="2962">
        <v>76.41</v>
      </c>
      <c r="F169" s="2958">
        <v>32998.861405575102</v>
      </c>
      <c r="G169" s="2959">
        <v>2521443</v>
      </c>
    </row>
    <row r="170" spans="1:7">
      <c r="A170" s="2956">
        <v>169</v>
      </c>
      <c r="B170" s="2957" t="s">
        <v>3171</v>
      </c>
      <c r="C170" s="2957" t="s">
        <v>3115</v>
      </c>
      <c r="D170" s="2957" t="s">
        <v>3071</v>
      </c>
      <c r="E170" s="2962">
        <v>83.3</v>
      </c>
      <c r="F170" s="2958">
        <v>38800</v>
      </c>
      <c r="G170" s="2959">
        <v>3232040</v>
      </c>
    </row>
    <row r="171" spans="1:7">
      <c r="A171" s="2956">
        <v>170</v>
      </c>
      <c r="B171" s="2957" t="s">
        <v>3171</v>
      </c>
      <c r="C171" s="2957" t="s">
        <v>3198</v>
      </c>
      <c r="D171" s="2957" t="s">
        <v>3071</v>
      </c>
      <c r="E171" s="2962">
        <v>76.41</v>
      </c>
      <c r="F171" s="2958">
        <v>33909.527548750099</v>
      </c>
      <c r="G171" s="2959">
        <v>2591027</v>
      </c>
    </row>
    <row r="172" spans="1:7">
      <c r="A172" s="2956">
        <v>171</v>
      </c>
      <c r="B172" s="2957" t="s">
        <v>3171</v>
      </c>
      <c r="C172" s="2957" t="s">
        <v>3114</v>
      </c>
      <c r="D172" s="2957" t="s">
        <v>3071</v>
      </c>
      <c r="E172" s="2962">
        <v>56.16</v>
      </c>
      <c r="F172" s="2958">
        <v>38888.639601139599</v>
      </c>
      <c r="G172" s="2959">
        <v>2183986</v>
      </c>
    </row>
    <row r="173" spans="1:7">
      <c r="A173" s="2956">
        <v>172</v>
      </c>
      <c r="B173" s="2957" t="s">
        <v>3119</v>
      </c>
      <c r="C173" s="2957" t="s">
        <v>3120</v>
      </c>
      <c r="D173" s="2957" t="s">
        <v>3071</v>
      </c>
      <c r="E173" s="2962">
        <v>101.91</v>
      </c>
      <c r="F173" s="2958">
        <v>38400</v>
      </c>
      <c r="G173" s="2959">
        <v>3913344</v>
      </c>
    </row>
    <row r="174" spans="1:7">
      <c r="A174" s="2956">
        <v>173</v>
      </c>
      <c r="B174" s="2957" t="s">
        <v>3119</v>
      </c>
      <c r="C174" s="2957" t="s">
        <v>3121</v>
      </c>
      <c r="D174" s="2957" t="s">
        <v>3071</v>
      </c>
      <c r="E174" s="2962">
        <v>101.91</v>
      </c>
      <c r="F174" s="2958">
        <v>38400</v>
      </c>
      <c r="G174" s="2959">
        <v>3913344</v>
      </c>
    </row>
    <row r="175" spans="1:7">
      <c r="A175" s="2956">
        <v>174</v>
      </c>
      <c r="B175" s="2957" t="s">
        <v>3119</v>
      </c>
      <c r="C175" s="2957" t="s">
        <v>3123</v>
      </c>
      <c r="D175" s="2957" t="s">
        <v>3071</v>
      </c>
      <c r="E175" s="2962">
        <v>101.91</v>
      </c>
      <c r="F175" s="2958">
        <v>38400</v>
      </c>
      <c r="G175" s="2959">
        <v>3913344</v>
      </c>
    </row>
    <row r="176" spans="1:7">
      <c r="A176" s="2956">
        <v>175</v>
      </c>
      <c r="B176" s="2957" t="s">
        <v>3119</v>
      </c>
      <c r="C176" s="2957" t="s">
        <v>3124</v>
      </c>
      <c r="D176" s="2957" t="s">
        <v>3071</v>
      </c>
      <c r="E176" s="2962">
        <v>101.91</v>
      </c>
      <c r="F176" s="2958">
        <v>36275.399862623803</v>
      </c>
      <c r="G176" s="2959">
        <v>3696826</v>
      </c>
    </row>
    <row r="177" spans="1:7">
      <c r="A177" s="2956">
        <v>176</v>
      </c>
      <c r="B177" s="2957" t="s">
        <v>3119</v>
      </c>
      <c r="C177" s="2957" t="s">
        <v>3127</v>
      </c>
      <c r="D177" s="2957" t="s">
        <v>3071</v>
      </c>
      <c r="E177" s="2962">
        <v>85.85</v>
      </c>
      <c r="F177" s="2958">
        <v>36625.1718112987</v>
      </c>
      <c r="G177" s="2959">
        <v>3144271</v>
      </c>
    </row>
    <row r="178" spans="1:7">
      <c r="A178" s="2956">
        <v>177</v>
      </c>
      <c r="B178" s="2957" t="s">
        <v>3119</v>
      </c>
      <c r="C178" s="2957" t="s">
        <v>3129</v>
      </c>
      <c r="D178" s="2957" t="s">
        <v>3071</v>
      </c>
      <c r="E178" s="2957">
        <v>85.08</v>
      </c>
      <c r="F178" s="2958">
        <v>38400</v>
      </c>
      <c r="G178" s="2959">
        <v>3267072</v>
      </c>
    </row>
    <row r="179" spans="1:7">
      <c r="A179" s="2956">
        <v>178</v>
      </c>
      <c r="B179" s="2957" t="s">
        <v>3119</v>
      </c>
      <c r="C179" s="2957" t="s">
        <v>3130</v>
      </c>
      <c r="D179" s="2957" t="s">
        <v>3071</v>
      </c>
      <c r="E179" s="2957">
        <v>85.25</v>
      </c>
      <c r="F179" s="2958">
        <v>36625.17</v>
      </c>
      <c r="G179" s="2959">
        <v>3122296</v>
      </c>
    </row>
    <row r="180" spans="1:7">
      <c r="A180" s="2956">
        <v>179</v>
      </c>
      <c r="B180" s="2957" t="s">
        <v>3119</v>
      </c>
      <c r="C180" s="2957" t="s">
        <v>3131</v>
      </c>
      <c r="D180" s="2957" t="s">
        <v>3071</v>
      </c>
      <c r="E180" s="2957">
        <v>102.51</v>
      </c>
      <c r="F180" s="2958">
        <v>36610.21</v>
      </c>
      <c r="G180" s="2959">
        <v>3752913</v>
      </c>
    </row>
    <row r="181" spans="1:7">
      <c r="A181" s="2956">
        <v>180</v>
      </c>
      <c r="B181" s="2957" t="s">
        <v>3119</v>
      </c>
      <c r="C181" s="2957" t="s">
        <v>3133</v>
      </c>
      <c r="D181" s="2957" t="s">
        <v>3071</v>
      </c>
      <c r="E181" s="2957">
        <v>102.51</v>
      </c>
      <c r="F181" s="2958">
        <v>38000</v>
      </c>
      <c r="G181" s="2959">
        <v>3895380</v>
      </c>
    </row>
    <row r="182" spans="1:7">
      <c r="A182" s="2956">
        <v>181</v>
      </c>
      <c r="B182" s="2957" t="s">
        <v>3119</v>
      </c>
      <c r="C182" s="2957" t="s">
        <v>3128</v>
      </c>
      <c r="D182" s="2957" t="s">
        <v>3071</v>
      </c>
      <c r="E182" s="2962">
        <v>85.85</v>
      </c>
      <c r="F182" s="2958">
        <v>37200</v>
      </c>
      <c r="G182" s="2959">
        <v>3193620</v>
      </c>
    </row>
    <row r="183" spans="1:7">
      <c r="A183" s="2956">
        <v>182</v>
      </c>
      <c r="B183" s="2957" t="s">
        <v>3119</v>
      </c>
      <c r="C183" s="2957" t="s">
        <v>3157</v>
      </c>
      <c r="D183" s="2957" t="s">
        <v>3071</v>
      </c>
      <c r="E183" s="2962">
        <v>85.85</v>
      </c>
      <c r="F183" s="2958">
        <v>36551.403610949303</v>
      </c>
      <c r="G183" s="2959">
        <v>3137938</v>
      </c>
    </row>
    <row r="184" spans="1:7">
      <c r="A184" s="2956">
        <v>183</v>
      </c>
      <c r="B184" s="2957" t="s">
        <v>3119</v>
      </c>
      <c r="C184" s="2957" t="s">
        <v>3164</v>
      </c>
      <c r="D184" s="2957" t="s">
        <v>3071</v>
      </c>
      <c r="E184" s="2962">
        <v>85.08</v>
      </c>
      <c r="F184" s="2958">
        <v>36349.165491302301</v>
      </c>
      <c r="G184" s="2959">
        <v>3092587</v>
      </c>
    </row>
    <row r="185" spans="1:7">
      <c r="A185" s="2956">
        <v>184</v>
      </c>
      <c r="B185" s="2957" t="s">
        <v>3119</v>
      </c>
      <c r="C185" s="2957" t="s">
        <v>3159</v>
      </c>
      <c r="D185" s="2957" t="s">
        <v>3071</v>
      </c>
      <c r="E185" s="2962">
        <v>85.08</v>
      </c>
      <c r="F185" s="2958">
        <v>36275.411377527002</v>
      </c>
      <c r="G185" s="2959">
        <v>3086312</v>
      </c>
    </row>
    <row r="186" spans="1:7">
      <c r="A186" s="2956">
        <v>185</v>
      </c>
      <c r="B186" s="2957" t="s">
        <v>3119</v>
      </c>
      <c r="C186" s="2957" t="s">
        <v>3117</v>
      </c>
      <c r="D186" s="2957" t="s">
        <v>3071</v>
      </c>
      <c r="E186" s="2962">
        <v>85.25</v>
      </c>
      <c r="F186" s="2958">
        <v>36349.1730205278</v>
      </c>
      <c r="G186" s="2959">
        <v>3098767</v>
      </c>
    </row>
    <row r="187" spans="1:7">
      <c r="A187" s="2956">
        <v>186</v>
      </c>
      <c r="B187" s="2957" t="s">
        <v>3179</v>
      </c>
      <c r="C187" s="2957" t="s">
        <v>3180</v>
      </c>
      <c r="D187" s="2957" t="s">
        <v>3071</v>
      </c>
      <c r="E187" s="2962">
        <v>100.06</v>
      </c>
      <c r="F187" s="2958">
        <v>39200</v>
      </c>
      <c r="G187" s="2959">
        <v>3922352</v>
      </c>
    </row>
    <row r="188" spans="1:7">
      <c r="A188" s="2956">
        <v>187</v>
      </c>
      <c r="B188" s="2957" t="s">
        <v>3179</v>
      </c>
      <c r="C188" s="2957" t="s">
        <v>3123</v>
      </c>
      <c r="D188" s="2957" t="s">
        <v>3071</v>
      </c>
      <c r="E188" s="2962">
        <v>56.28</v>
      </c>
      <c r="F188" s="2958">
        <v>38888.646055437101</v>
      </c>
      <c r="G188" s="2959">
        <v>2188653</v>
      </c>
    </row>
    <row r="189" spans="1:7">
      <c r="A189" s="2956">
        <v>188</v>
      </c>
      <c r="B189" s="2957" t="s">
        <v>3179</v>
      </c>
      <c r="C189" s="2957" t="s">
        <v>3120</v>
      </c>
      <c r="D189" s="2957" t="s">
        <v>3071</v>
      </c>
      <c r="E189" s="2962">
        <v>83.55</v>
      </c>
      <c r="F189" s="2958">
        <v>38400</v>
      </c>
      <c r="G189" s="2959">
        <v>3208320</v>
      </c>
    </row>
    <row r="190" spans="1:7">
      <c r="A190" s="2956">
        <v>189</v>
      </c>
      <c r="B190" s="2957" t="s">
        <v>3179</v>
      </c>
      <c r="C190" s="2957" t="s">
        <v>3198</v>
      </c>
      <c r="D190" s="2957" t="s">
        <v>3071</v>
      </c>
      <c r="E190" s="2962">
        <v>76.09</v>
      </c>
      <c r="F190" s="2958">
        <v>33500.972532527201</v>
      </c>
      <c r="G190" s="2959">
        <v>2549089</v>
      </c>
    </row>
    <row r="191" spans="1:7">
      <c r="A191" s="2956">
        <v>190</v>
      </c>
      <c r="B191" s="2957" t="s">
        <v>3179</v>
      </c>
      <c r="C191" s="2957" t="s">
        <v>3128</v>
      </c>
      <c r="D191" s="2957" t="s">
        <v>3071</v>
      </c>
      <c r="E191" s="2962">
        <v>76.09</v>
      </c>
      <c r="F191" s="2958">
        <v>34448.482060717499</v>
      </c>
      <c r="G191" s="2959">
        <v>2621185</v>
      </c>
    </row>
    <row r="192" spans="1:7">
      <c r="E192" s="1630">
        <f>SUM(E2:E191)</f>
        <v>17925.289999999986</v>
      </c>
      <c r="F192" s="1630">
        <f>ROUND(G192/E192,0)</f>
        <v>34620</v>
      </c>
      <c r="G192" s="2963">
        <f>SUM(G2:G191)</f>
        <v>620566742</v>
      </c>
    </row>
  </sheetData>
  <autoFilter ref="A1:G1" xr:uid="{00000000-0009-0000-0000-00000E000000}"/>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A10" zoomScale="90" zoomScaleNormal="100" zoomScaleSheetLayoutView="90" workbookViewId="0">
      <selection activeCell="G10" sqref="G10"/>
    </sheetView>
  </sheetViews>
  <sheetFormatPr defaultColWidth="9.08984375" defaultRowHeight="14"/>
  <cols>
    <col min="1" max="1" width="12.08984375" style="2212" customWidth="1"/>
    <col min="2" max="2" width="10.08984375" style="2212" customWidth="1"/>
    <col min="3" max="3" width="18.453125" style="2212" customWidth="1"/>
    <col min="4" max="4" width="11.6328125" style="2212" customWidth="1"/>
    <col min="5" max="5" width="13.36328125" style="2212" customWidth="1"/>
    <col min="6" max="8" width="11.453125" style="2212" customWidth="1"/>
    <col min="9" max="9" width="11.08984375" style="2212" customWidth="1"/>
    <col min="10" max="10" width="3.08984375" style="2212" customWidth="1"/>
    <col min="11" max="16" width="10" style="2212" customWidth="1"/>
    <col min="17" max="17" width="2.6328125" style="2212" customWidth="1"/>
    <col min="18" max="18" width="9.36328125" style="2212" bestFit="1" customWidth="1"/>
    <col min="19" max="19" width="10.453125" style="2212" bestFit="1" customWidth="1"/>
    <col min="20" max="16384" width="9.08984375" style="2212"/>
  </cols>
  <sheetData>
    <row r="1" spans="1:16" ht="18">
      <c r="A1" s="2211" t="s">
        <v>1932</v>
      </c>
      <c r="B1" s="1387"/>
      <c r="C1" s="1387"/>
      <c r="D1" s="1387"/>
      <c r="E1" s="1387"/>
      <c r="F1" s="1387"/>
      <c r="G1" s="1387"/>
      <c r="H1" s="1387"/>
      <c r="I1" s="1387"/>
      <c r="J1" s="1387"/>
      <c r="K1" s="1387"/>
      <c r="L1" s="1387"/>
      <c r="M1" s="1387"/>
      <c r="N1" s="1387"/>
      <c r="O1" s="1387"/>
      <c r="P1" s="1387"/>
    </row>
    <row r="2" spans="1:16">
      <c r="A2" s="3126" t="s">
        <v>1933</v>
      </c>
      <c r="B2" s="3126"/>
      <c r="C2" s="3126"/>
      <c r="D2" s="962" t="s">
        <v>1909</v>
      </c>
      <c r="E2" s="2213" t="s">
        <v>1910</v>
      </c>
      <c r="F2" s="1387"/>
      <c r="G2" s="2214"/>
      <c r="H2" s="2215"/>
      <c r="I2" s="2216" t="s">
        <v>1934</v>
      </c>
      <c r="J2" s="1387"/>
      <c r="K2" s="1387"/>
      <c r="L2" s="1387"/>
      <c r="M2" s="1387"/>
      <c r="N2" s="1422"/>
      <c r="O2" s="1387"/>
      <c r="P2" s="1387"/>
    </row>
    <row r="3" spans="1:16" ht="14.5" thickBot="1">
      <c r="A3" s="3127" t="s">
        <v>1907</v>
      </c>
      <c r="B3" s="3127"/>
      <c r="C3" s="3127"/>
      <c r="D3" s="44">
        <f>'数据-基础表'!AY6</f>
        <v>104283.06</v>
      </c>
      <c r="E3" s="44">
        <f>'数据-基础表'!AZ5</f>
        <v>212264.80000000002</v>
      </c>
      <c r="F3" s="1387"/>
      <c r="G3" s="1394"/>
      <c r="H3" s="1242" t="s">
        <v>1908</v>
      </c>
      <c r="I3" s="52">
        <f>ROUND('数据-基础表'!B3/'数据-基础表'!A3,2)</f>
        <v>2.04</v>
      </c>
      <c r="J3" s="1387"/>
      <c r="K3" s="1387"/>
      <c r="L3" s="1387"/>
      <c r="M3" s="1387"/>
      <c r="N3" s="1422"/>
      <c r="O3" s="1387"/>
      <c r="P3" s="1387"/>
    </row>
    <row r="4" spans="1:16">
      <c r="A4" s="3128"/>
      <c r="B4" s="3129"/>
      <c r="C4" s="3130"/>
      <c r="D4" s="2217" t="s">
        <v>1909</v>
      </c>
      <c r="E4" s="2218" t="s">
        <v>1910</v>
      </c>
      <c r="F4" s="1387"/>
      <c r="G4" s="2219" t="s">
        <v>1935</v>
      </c>
      <c r="H4" s="1242" t="s">
        <v>1915</v>
      </c>
      <c r="I4" s="52">
        <f>ROUND(SUMIF('数据-基础表'!I9:AS9,"地上",'数据-基础表'!I5:AS5)/'数据-基础表'!A3,2)</f>
        <v>1.18</v>
      </c>
      <c r="J4" s="1387"/>
      <c r="K4" s="1387"/>
      <c r="L4" s="1387"/>
      <c r="M4" s="1387"/>
      <c r="N4" s="1422"/>
      <c r="O4" s="1387"/>
      <c r="P4" s="1387"/>
    </row>
    <row r="5" spans="1:16">
      <c r="A5" s="45" t="s">
        <v>1911</v>
      </c>
      <c r="B5" s="3131" t="s">
        <v>1912</v>
      </c>
      <c r="C5" s="3131"/>
      <c r="D5" s="46">
        <f>ROUND($D$3*E5/$E$3,2)</f>
        <v>55104.71</v>
      </c>
      <c r="E5" s="47">
        <f>SUMIF('数据-基础表'!$11:$11,"住宅",'数据-基础表'!$5:$5)</f>
        <v>112163.84999999999</v>
      </c>
      <c r="F5" s="1387"/>
      <c r="G5" s="1394"/>
      <c r="H5" s="1242" t="s">
        <v>1908</v>
      </c>
      <c r="I5" s="52">
        <f>ROUND(E31/D31,2)</f>
        <v>2.04</v>
      </c>
      <c r="J5" s="1387"/>
      <c r="K5" s="1387"/>
      <c r="L5" s="1387"/>
      <c r="M5" s="1387"/>
      <c r="N5" s="1387"/>
      <c r="O5" s="1387"/>
      <c r="P5" s="1387"/>
    </row>
    <row r="6" spans="1:16" ht="14.5" thickBot="1">
      <c r="A6" s="2220"/>
      <c r="B6" s="3131" t="s">
        <v>1913</v>
      </c>
      <c r="C6" s="3131"/>
      <c r="D6" s="46">
        <f>ROUND($D$3*E6/$E$3,2)</f>
        <v>49178.35</v>
      </c>
      <c r="E6" s="47">
        <f>E3-E5</f>
        <v>100100.95000000003</v>
      </c>
      <c r="F6" s="1387"/>
      <c r="G6" s="2221" t="s">
        <v>1914</v>
      </c>
      <c r="H6" s="1394" t="s">
        <v>1915</v>
      </c>
      <c r="I6" s="934">
        <f>ROUND(F31/D31,2)</f>
        <v>1.19</v>
      </c>
      <c r="J6" s="1387"/>
      <c r="K6" s="1387"/>
      <c r="L6" s="1387"/>
      <c r="M6" s="1387"/>
      <c r="N6" s="1387"/>
      <c r="O6" s="1387"/>
      <c r="P6" s="1387"/>
    </row>
    <row r="7" spans="1:16">
      <c r="A7" s="3123"/>
      <c r="B7" s="3124"/>
      <c r="C7" s="3125"/>
      <c r="D7" s="2217" t="s">
        <v>1909</v>
      </c>
      <c r="E7" s="2222" t="s">
        <v>1916</v>
      </c>
      <c r="F7" s="1387"/>
      <c r="G7" s="2214" t="s">
        <v>1917</v>
      </c>
      <c r="H7" s="61"/>
      <c r="I7" s="415"/>
      <c r="J7" s="1387"/>
      <c r="K7" s="1387"/>
      <c r="L7" s="1387"/>
      <c r="M7" s="1387"/>
      <c r="N7" s="1387"/>
      <c r="O7" s="1387"/>
      <c r="P7" s="1387"/>
    </row>
    <row r="8" spans="1:16">
      <c r="A8" s="45" t="s">
        <v>1918</v>
      </c>
      <c r="B8" s="48" t="s">
        <v>1919</v>
      </c>
      <c r="C8" s="46" t="s">
        <v>1920</v>
      </c>
      <c r="D8" s="46">
        <f t="shared" ref="D8:D15" si="0">ROUND($D$3*E8/$E$3,2)</f>
        <v>60571.53</v>
      </c>
      <c r="E8" s="49">
        <f>SUMIF('数据-基础表'!BB10:BK10,"地上",'数据-基础表'!BB5:BK5)</f>
        <v>123291.4</v>
      </c>
      <c r="F8" s="1387"/>
      <c r="G8" s="2223"/>
      <c r="H8" s="2223"/>
      <c r="I8" s="1387"/>
      <c r="J8" s="1387"/>
      <c r="K8" s="1387"/>
      <c r="L8" s="1387"/>
      <c r="M8" s="1387"/>
      <c r="N8" s="1387"/>
      <c r="O8" s="1387"/>
      <c r="P8" s="1387"/>
    </row>
    <row r="9" spans="1:16">
      <c r="A9" s="2224"/>
      <c r="B9" s="2225"/>
      <c r="C9" s="46" t="s">
        <v>1921</v>
      </c>
      <c r="D9" s="46">
        <f t="shared" si="0"/>
        <v>0</v>
      </c>
      <c r="E9" s="3014"/>
      <c r="F9" s="1387"/>
      <c r="G9" s="2223"/>
      <c r="H9" s="2223"/>
      <c r="I9" s="1387"/>
      <c r="J9" s="1387"/>
      <c r="K9" s="1387"/>
      <c r="L9" s="1387"/>
      <c r="M9" s="1387"/>
      <c r="N9" s="1387"/>
      <c r="O9" s="1387"/>
      <c r="P9" s="1387"/>
    </row>
    <row r="10" spans="1:16">
      <c r="A10" s="2224"/>
      <c r="B10" s="2225"/>
      <c r="C10" s="46" t="s">
        <v>1930</v>
      </c>
      <c r="D10" s="46">
        <f t="shared" si="0"/>
        <v>0</v>
      </c>
      <c r="E10" s="49">
        <f>SUMPRODUCT(('数据-基础表'!BB10:BK10="地下")*('数据-基础表'!BB11:BK11="商业")*('数据-基础表'!BB5:BK5))</f>
        <v>0</v>
      </c>
      <c r="F10" s="1387"/>
      <c r="G10" s="2223"/>
      <c r="H10" s="2223"/>
      <c r="I10" s="1387"/>
      <c r="J10" s="1387"/>
      <c r="K10" s="1387"/>
      <c r="L10" s="1387"/>
      <c r="M10" s="1387"/>
      <c r="N10" s="1387"/>
      <c r="O10" s="1387"/>
      <c r="P10" s="1387"/>
    </row>
    <row r="11" spans="1:16">
      <c r="A11" s="2224"/>
      <c r="B11" s="2225"/>
      <c r="C11" s="46" t="s">
        <v>1922</v>
      </c>
      <c r="D11" s="46">
        <f t="shared" si="0"/>
        <v>0</v>
      </c>
      <c r="E11" s="49">
        <f>SUMPRODUCT(('数据-基础表'!BB10:BK10="地下")*('数据-基础表'!BB11:BK11="办公")*('数据-基础表'!BB5:BK5))+'数据-基础表'!BP5</f>
        <v>0</v>
      </c>
      <c r="F11" s="1387"/>
      <c r="G11" s="2223"/>
      <c r="H11" s="2223"/>
      <c r="I11" s="1387"/>
      <c r="J11" s="1387"/>
      <c r="K11" s="1387"/>
      <c r="L11" s="1387"/>
      <c r="M11" s="1387"/>
      <c r="N11" s="1387"/>
      <c r="O11" s="1387"/>
      <c r="P11" s="1387"/>
    </row>
    <row r="12" spans="1:16">
      <c r="A12" s="2224"/>
      <c r="B12" s="2225"/>
      <c r="C12" s="46" t="s">
        <v>1923</v>
      </c>
      <c r="D12" s="46">
        <f t="shared" si="0"/>
        <v>3768.18</v>
      </c>
      <c r="E12" s="49">
        <f>SUMPRODUCT(('数据-基础表'!BB10:BK10="地下")*('数据-基础表'!BB11:BK11="仓储")*('数据-基础表'!BB5:BK5))</f>
        <v>7670</v>
      </c>
      <c r="F12" s="1387"/>
      <c r="G12" s="2223"/>
      <c r="H12" s="2223"/>
      <c r="I12" s="1387"/>
      <c r="J12" s="1387"/>
      <c r="K12" s="1387"/>
      <c r="L12" s="1387"/>
      <c r="M12" s="1387"/>
      <c r="N12" s="1387"/>
      <c r="O12" s="1387"/>
      <c r="P12" s="1387"/>
    </row>
    <row r="13" spans="1:16">
      <c r="A13" s="2224"/>
      <c r="B13" s="2225"/>
      <c r="C13" s="46" t="s">
        <v>1924</v>
      </c>
      <c r="D13" s="46">
        <f t="shared" si="0"/>
        <v>27640.28</v>
      </c>
      <c r="E13" s="49">
        <f>SUMPRODUCT(('数据-基础表'!BB10:BK10="地下")*('数据-基础表'!BB11:BK11="车库")*('数据-基础表'!BB5:BK5))</f>
        <v>56260.9</v>
      </c>
      <c r="F13" s="1387"/>
      <c r="G13" s="2223"/>
      <c r="H13" s="2223"/>
      <c r="I13" s="1387"/>
      <c r="J13" s="1387"/>
      <c r="K13" s="1387"/>
      <c r="L13" s="1387"/>
      <c r="M13" s="1387"/>
      <c r="N13" s="1387"/>
      <c r="O13" s="1387"/>
      <c r="P13" s="1387"/>
    </row>
    <row r="14" spans="1:16">
      <c r="A14" s="2224"/>
      <c r="B14" s="2225"/>
      <c r="C14" s="46" t="s">
        <v>1936</v>
      </c>
      <c r="D14" s="46">
        <f t="shared" si="0"/>
        <v>0</v>
      </c>
      <c r="E14" s="49">
        <f>SUMPRODUCT(('数据-基础表'!BB10:BK10="地下")*('数据-基础表'!BB11:BK11="车库—商业")*('数据-基础表'!BB5:BK5))</f>
        <v>0</v>
      </c>
      <c r="F14" s="1387"/>
      <c r="G14" s="2223"/>
      <c r="H14" s="2223"/>
      <c r="I14" s="1387"/>
      <c r="J14" s="1387"/>
      <c r="K14" s="1387"/>
      <c r="L14" s="1387"/>
      <c r="M14" s="1387"/>
      <c r="N14" s="1387"/>
      <c r="O14" s="1387"/>
      <c r="P14" s="1387"/>
    </row>
    <row r="15" spans="1:16" ht="14.5" thickBot="1">
      <c r="A15" s="2224"/>
      <c r="B15" s="2225"/>
      <c r="C15" s="46" t="s">
        <v>1931</v>
      </c>
      <c r="D15" s="46">
        <f t="shared" si="0"/>
        <v>0</v>
      </c>
      <c r="E15" s="49">
        <f>SUMPRODUCT(('数据-基础表'!BB10:BK10="地下")*('数据-基础表'!BB11:BK11="车库—办公")*('数据-基础表'!BB5:BK5))</f>
        <v>0</v>
      </c>
      <c r="F15" s="1387"/>
      <c r="G15" s="2223"/>
      <c r="H15" s="2223"/>
      <c r="I15" s="1387"/>
      <c r="J15" s="1387"/>
      <c r="K15" s="1387"/>
      <c r="L15" s="1387"/>
      <c r="M15" s="1387"/>
      <c r="N15" s="1387"/>
      <c r="O15" s="1387"/>
      <c r="P15" s="1387"/>
    </row>
    <row r="16" spans="1:16" ht="14.5" thickBot="1">
      <c r="A16" s="2220"/>
      <c r="B16" s="2225"/>
      <c r="C16" s="48" t="s">
        <v>1925</v>
      </c>
      <c r="D16" s="48">
        <f>SUM(D8:D15)</f>
        <v>91979.989999999991</v>
      </c>
      <c r="E16" s="50">
        <f>SUM(E8:E15)</f>
        <v>187222.3</v>
      </c>
      <c r="F16" s="1387"/>
      <c r="G16" s="2223"/>
      <c r="H16" s="2226" t="s">
        <v>1937</v>
      </c>
      <c r="I16" s="2227"/>
      <c r="J16" s="1387"/>
      <c r="K16" s="3120" t="s">
        <v>1937</v>
      </c>
      <c r="L16" s="3121"/>
      <c r="M16" s="3121"/>
      <c r="N16" s="3121"/>
      <c r="O16" s="3121"/>
      <c r="P16" s="3122"/>
    </row>
    <row r="17" spans="1:19">
      <c r="A17" s="2228" t="s">
        <v>1938</v>
      </c>
      <c r="B17" s="2229" t="s">
        <v>1939</v>
      </c>
      <c r="C17" s="2230" t="s">
        <v>1940</v>
      </c>
      <c r="D17" s="2231" t="s">
        <v>1928</v>
      </c>
      <c r="E17" s="2232" t="s">
        <v>1929</v>
      </c>
      <c r="F17" s="2233"/>
      <c r="G17" s="2234"/>
      <c r="H17" s="2235" t="s">
        <v>1941</v>
      </c>
      <c r="I17" s="2236" t="s">
        <v>1926</v>
      </c>
      <c r="J17" s="1387"/>
      <c r="K17" s="3117" t="s">
        <v>1942</v>
      </c>
      <c r="L17" s="3118"/>
      <c r="M17" s="3119"/>
      <c r="N17" s="3117" t="s">
        <v>1943</v>
      </c>
      <c r="O17" s="3118"/>
      <c r="P17" s="3119"/>
      <c r="R17" s="2214" t="s">
        <v>1944</v>
      </c>
      <c r="S17" s="61"/>
    </row>
    <row r="18" spans="1:19">
      <c r="A18" s="2224"/>
      <c r="B18" s="2237"/>
      <c r="C18" s="2238"/>
      <c r="D18" s="2239"/>
      <c r="E18" s="2240" t="s">
        <v>1945</v>
      </c>
      <c r="F18" s="2241" t="s">
        <v>1946</v>
      </c>
      <c r="G18" s="2242" t="s">
        <v>1947</v>
      </c>
      <c r="H18" s="1257" t="s">
        <v>1948</v>
      </c>
      <c r="I18" s="2243" t="s">
        <v>1949</v>
      </c>
      <c r="J18" s="1387"/>
      <c r="K18" s="1257" t="s">
        <v>1950</v>
      </c>
      <c r="L18" s="2244" t="s">
        <v>1951</v>
      </c>
      <c r="M18" s="1041" t="s">
        <v>1952</v>
      </c>
      <c r="N18" s="1257" t="s">
        <v>1950</v>
      </c>
      <c r="O18" s="2244" t="s">
        <v>1951</v>
      </c>
      <c r="P18" s="1041" t="s">
        <v>1952</v>
      </c>
      <c r="R18" s="1242" t="s">
        <v>1953</v>
      </c>
      <c r="S18" s="1242" t="s">
        <v>1954</v>
      </c>
    </row>
    <row r="19" spans="1:19">
      <c r="A19" s="2245"/>
      <c r="B19" s="48" t="s">
        <v>1927</v>
      </c>
      <c r="C19" s="2952" t="s">
        <v>3081</v>
      </c>
      <c r="D19" s="46">
        <f>ROUND($D$3*E19/$E$3,2)</f>
        <v>44860.74</v>
      </c>
      <c r="E19" s="53">
        <f t="shared" ref="E19:E26" si="1">SUM(F19:G19)</f>
        <v>91312.59</v>
      </c>
      <c r="F19" s="54">
        <f>面积表!Q3</f>
        <v>91312.59</v>
      </c>
      <c r="G19" s="55"/>
      <c r="H19" s="718">
        <f>ROUND($D$3*I19/$E$3,2)</f>
        <v>5992.02</v>
      </c>
      <c r="I19" s="49">
        <f t="shared" ref="I19:I26" si="2">IF($I$17="自定义",P19,M19)</f>
        <v>12196.57</v>
      </c>
      <c r="J19" s="1387"/>
      <c r="K19" s="1386">
        <f t="shared" ref="K19:K26" si="3">ROUND(E$28*E19/E$27,2)</f>
        <v>12196.57</v>
      </c>
      <c r="L19" s="1242">
        <f t="shared" ref="L19:L26" si="4">ROUND(IF(COUNTIF(C19,"*住宅*")&gt;0,E$29*E19/E$32,0),2)</f>
        <v>0</v>
      </c>
      <c r="M19" s="1398">
        <f>K19+L19</f>
        <v>12196.57</v>
      </c>
      <c r="N19" s="2246"/>
      <c r="O19" s="2247"/>
      <c r="P19" s="1398">
        <f>N19+O19</f>
        <v>0</v>
      </c>
      <c r="R19" s="1242">
        <f t="shared" ref="R19:S26" si="5">D19+H19</f>
        <v>50852.759999999995</v>
      </c>
      <c r="S19" s="1243">
        <f t="shared" si="5"/>
        <v>103509.16</v>
      </c>
    </row>
    <row r="20" spans="1:19">
      <c r="A20" s="2248"/>
      <c r="B20" s="48" t="s">
        <v>1955</v>
      </c>
      <c r="C20" s="2952" t="s">
        <v>3083</v>
      </c>
      <c r="D20" s="46">
        <f t="shared" ref="D20:D26" si="6">ROUND($D$3*E20/$E$3,2)</f>
        <v>9252.31</v>
      </c>
      <c r="E20" s="53">
        <f t="shared" si="1"/>
        <v>18832.780000000002</v>
      </c>
      <c r="F20" s="54">
        <f>面积表!Q4</f>
        <v>18832.780000000002</v>
      </c>
      <c r="G20" s="55"/>
      <c r="H20" s="718">
        <f t="shared" ref="H20:H26" si="7">ROUND($D$3*I20/$E$3,2)</f>
        <v>1235.82</v>
      </c>
      <c r="I20" s="49">
        <f t="shared" si="2"/>
        <v>2515.48</v>
      </c>
      <c r="J20" s="1387"/>
      <c r="K20" s="1386">
        <f t="shared" si="3"/>
        <v>2515.48</v>
      </c>
      <c r="L20" s="1242">
        <f t="shared" si="4"/>
        <v>0</v>
      </c>
      <c r="M20" s="1398">
        <f t="shared" ref="M20:M26" si="8">K20+L20</f>
        <v>2515.48</v>
      </c>
      <c r="N20" s="2246"/>
      <c r="O20" s="2247"/>
      <c r="P20" s="1398">
        <f t="shared" ref="P20:P26" si="9">N20+O20</f>
        <v>0</v>
      </c>
      <c r="R20" s="1242">
        <f t="shared" si="5"/>
        <v>10488.13</v>
      </c>
      <c r="S20" s="1243">
        <f t="shared" si="5"/>
        <v>21348.260000000002</v>
      </c>
    </row>
    <row r="21" spans="1:19">
      <c r="A21" s="2248"/>
      <c r="B21" s="48" t="s">
        <v>1955</v>
      </c>
      <c r="C21" s="2952" t="s">
        <v>3085</v>
      </c>
      <c r="D21" s="46">
        <f t="shared" si="6"/>
        <v>991.65</v>
      </c>
      <c r="E21" s="53">
        <f t="shared" si="1"/>
        <v>2018.48</v>
      </c>
      <c r="F21" s="54">
        <f>面积表!Q5</f>
        <v>2018.48</v>
      </c>
      <c r="G21" s="55"/>
      <c r="H21" s="718">
        <f t="shared" si="7"/>
        <v>132.46</v>
      </c>
      <c r="I21" s="49">
        <f t="shared" si="2"/>
        <v>269.61</v>
      </c>
      <c r="J21" s="1387"/>
      <c r="K21" s="1386">
        <f t="shared" si="3"/>
        <v>269.61</v>
      </c>
      <c r="L21" s="1242">
        <f t="shared" si="4"/>
        <v>0</v>
      </c>
      <c r="M21" s="1398">
        <f t="shared" si="8"/>
        <v>269.61</v>
      </c>
      <c r="N21" s="2246"/>
      <c r="O21" s="2247"/>
      <c r="P21" s="1398">
        <f t="shared" si="9"/>
        <v>0</v>
      </c>
      <c r="R21" s="1242">
        <f t="shared" si="5"/>
        <v>1124.1099999999999</v>
      </c>
      <c r="S21" s="1243">
        <f t="shared" si="5"/>
        <v>2288.09</v>
      </c>
    </row>
    <row r="22" spans="1:19">
      <c r="A22" s="2248"/>
      <c r="B22" s="48" t="s">
        <v>1955</v>
      </c>
      <c r="C22" s="2953" t="s">
        <v>3086</v>
      </c>
      <c r="D22" s="46">
        <f t="shared" si="6"/>
        <v>5466.83</v>
      </c>
      <c r="E22" s="53">
        <f t="shared" si="1"/>
        <v>11127.55</v>
      </c>
      <c r="F22" s="58">
        <f>'数据-基础表'!K5</f>
        <v>11127.55</v>
      </c>
      <c r="G22" s="59"/>
      <c r="H22" s="718">
        <f t="shared" si="7"/>
        <v>730.2</v>
      </c>
      <c r="I22" s="49">
        <f t="shared" si="2"/>
        <v>1486.3</v>
      </c>
      <c r="J22" s="1387"/>
      <c r="K22" s="1386">
        <f t="shared" si="3"/>
        <v>1486.3</v>
      </c>
      <c r="L22" s="1242">
        <f t="shared" si="4"/>
        <v>0</v>
      </c>
      <c r="M22" s="1398">
        <f t="shared" si="8"/>
        <v>1486.3</v>
      </c>
      <c r="N22" s="2246"/>
      <c r="O22" s="2247"/>
      <c r="P22" s="1398">
        <f t="shared" si="9"/>
        <v>0</v>
      </c>
      <c r="R22" s="1242">
        <f t="shared" si="5"/>
        <v>6197.03</v>
      </c>
      <c r="S22" s="1243">
        <f t="shared" si="5"/>
        <v>12613.849999999999</v>
      </c>
    </row>
    <row r="23" spans="1:19">
      <c r="A23" s="2248"/>
      <c r="B23" s="48" t="s">
        <v>1955</v>
      </c>
      <c r="C23" s="2953" t="s">
        <v>3087</v>
      </c>
      <c r="D23" s="46">
        <f>ROUND($D$3*E23/$E$3,2)</f>
        <v>3768.18</v>
      </c>
      <c r="E23" s="53">
        <f>SUM(F23:G23)</f>
        <v>7670</v>
      </c>
      <c r="F23" s="58"/>
      <c r="G23" s="59">
        <f>'数据-基础表'!M5</f>
        <v>7670</v>
      </c>
      <c r="H23" s="718">
        <f>ROUND($D$3*I23/$E$3,2)</f>
        <v>503.31</v>
      </c>
      <c r="I23" s="49">
        <f t="shared" si="2"/>
        <v>1024.48</v>
      </c>
      <c r="J23" s="1387"/>
      <c r="K23" s="1386">
        <f t="shared" si="3"/>
        <v>1024.48</v>
      </c>
      <c r="L23" s="1242">
        <f t="shared" si="4"/>
        <v>0</v>
      </c>
      <c r="M23" s="1398">
        <f t="shared" si="8"/>
        <v>1024.48</v>
      </c>
      <c r="N23" s="2246"/>
      <c r="O23" s="2247"/>
      <c r="P23" s="1398">
        <f t="shared" si="9"/>
        <v>0</v>
      </c>
      <c r="R23" s="1242">
        <f t="shared" si="5"/>
        <v>4271.49</v>
      </c>
      <c r="S23" s="1243">
        <f t="shared" si="5"/>
        <v>8694.48</v>
      </c>
    </row>
    <row r="24" spans="1:19">
      <c r="A24" s="2248"/>
      <c r="B24" s="48" t="s">
        <v>1955</v>
      </c>
      <c r="C24" s="2953" t="s">
        <v>3088</v>
      </c>
      <c r="D24" s="46">
        <f>ROUND($D$3*E24/$E$3,2)</f>
        <v>27640.28</v>
      </c>
      <c r="E24" s="53">
        <f>SUM(F24:G24)</f>
        <v>56260.9</v>
      </c>
      <c r="F24" s="58"/>
      <c r="G24" s="59">
        <f>'数据-基础表'!O5</f>
        <v>56260.9</v>
      </c>
      <c r="H24" s="718">
        <f>ROUND($D$3*I24/$E$3,2)</f>
        <v>3691.89</v>
      </c>
      <c r="I24" s="49">
        <f t="shared" si="2"/>
        <v>7514.73</v>
      </c>
      <c r="J24" s="1387"/>
      <c r="K24" s="1386">
        <f t="shared" si="3"/>
        <v>7514.73</v>
      </c>
      <c r="L24" s="1242">
        <f t="shared" si="4"/>
        <v>0</v>
      </c>
      <c r="M24" s="1398">
        <f t="shared" si="8"/>
        <v>7514.73</v>
      </c>
      <c r="N24" s="2246"/>
      <c r="O24" s="2247"/>
      <c r="P24" s="1398">
        <f t="shared" si="9"/>
        <v>0</v>
      </c>
      <c r="R24" s="1242">
        <f t="shared" si="5"/>
        <v>31332.17</v>
      </c>
      <c r="S24" s="1243">
        <f t="shared" si="5"/>
        <v>63775.630000000005</v>
      </c>
    </row>
    <row r="25" spans="1:19">
      <c r="A25" s="2248"/>
      <c r="B25" s="48" t="s">
        <v>1955</v>
      </c>
      <c r="C25" s="57"/>
      <c r="D25" s="46">
        <f t="shared" si="6"/>
        <v>0</v>
      </c>
      <c r="E25" s="53">
        <f t="shared" si="1"/>
        <v>0</v>
      </c>
      <c r="F25" s="58"/>
      <c r="G25" s="59"/>
      <c r="H25" s="45">
        <f t="shared" si="7"/>
        <v>0</v>
      </c>
      <c r="I25" s="49">
        <f t="shared" si="2"/>
        <v>0</v>
      </c>
      <c r="J25" s="1387"/>
      <c r="K25" s="1386">
        <f t="shared" si="3"/>
        <v>0</v>
      </c>
      <c r="L25" s="1242">
        <f t="shared" si="4"/>
        <v>0</v>
      </c>
      <c r="M25" s="1398">
        <f t="shared" si="8"/>
        <v>0</v>
      </c>
      <c r="N25" s="2246"/>
      <c r="O25" s="2247"/>
      <c r="P25" s="1398">
        <f t="shared" si="9"/>
        <v>0</v>
      </c>
      <c r="R25" s="1242">
        <f t="shared" si="5"/>
        <v>0</v>
      </c>
      <c r="S25" s="1243">
        <f t="shared" si="5"/>
        <v>0</v>
      </c>
    </row>
    <row r="26" spans="1:19">
      <c r="A26" s="2248"/>
      <c r="B26" s="48" t="s">
        <v>1955</v>
      </c>
      <c r="C26" s="60"/>
      <c r="D26" s="46">
        <f t="shared" si="6"/>
        <v>0</v>
      </c>
      <c r="E26" s="53">
        <f t="shared" si="1"/>
        <v>0</v>
      </c>
      <c r="F26" s="58"/>
      <c r="G26" s="59"/>
      <c r="H26" s="45">
        <f t="shared" si="7"/>
        <v>0</v>
      </c>
      <c r="I26" s="49">
        <f t="shared" si="2"/>
        <v>0</v>
      </c>
      <c r="J26" s="1387"/>
      <c r="K26" s="1393">
        <f t="shared" si="3"/>
        <v>0</v>
      </c>
      <c r="L26" s="1394">
        <f t="shared" si="4"/>
        <v>0</v>
      </c>
      <c r="M26" s="64">
        <f t="shared" si="8"/>
        <v>0</v>
      </c>
      <c r="N26" s="2249"/>
      <c r="O26" s="2250"/>
      <c r="P26" s="64">
        <f t="shared" si="9"/>
        <v>0</v>
      </c>
      <c r="R26" s="1242">
        <f t="shared" si="5"/>
        <v>0</v>
      </c>
      <c r="S26" s="1243">
        <f t="shared" si="5"/>
        <v>0</v>
      </c>
    </row>
    <row r="27" spans="1:19" ht="42.5" thickBot="1">
      <c r="A27" s="2248"/>
      <c r="B27" s="46"/>
      <c r="C27" s="2251" t="s">
        <v>1956</v>
      </c>
      <c r="D27" s="1388">
        <f>SUM(D19:D26)</f>
        <v>91979.989999999991</v>
      </c>
      <c r="E27" s="1389">
        <f>IF(SUM(E19:E26)='数据-基础表'!BA5,SUM(E19:E26),IF(F27="地上面积有误","面积有误","地下面积有误"))</f>
        <v>187222.3</v>
      </c>
      <c r="F27" s="1388">
        <f>IF(SUM(F19:F26)=E8,SUM(F19:F26),"地上面积有误")</f>
        <v>123291.4</v>
      </c>
      <c r="G27" s="1390">
        <f>SUM(G19:G26)</f>
        <v>63930.9</v>
      </c>
      <c r="H27" s="1391">
        <f>SUM(H19:H26)</f>
        <v>12285.699999999999</v>
      </c>
      <c r="I27" s="1392">
        <f>SUM(I19:I26)</f>
        <v>25007.17</v>
      </c>
      <c r="J27" s="1387"/>
      <c r="K27" s="1395">
        <f>SUM(K19:K26)</f>
        <v>25007.17</v>
      </c>
      <c r="L27" s="1396">
        <f>SUM(L19:L26)</f>
        <v>0</v>
      </c>
      <c r="M27" s="1399">
        <f>SUM(M19:M26)</f>
        <v>25007.17</v>
      </c>
      <c r="N27" s="1395">
        <f t="shared" ref="N27:O27" si="10">SUM(N19:N26)</f>
        <v>0</v>
      </c>
      <c r="O27" s="1396">
        <f t="shared" si="10"/>
        <v>0</v>
      </c>
      <c r="P27" s="1397">
        <f>SUM(P19:P26)</f>
        <v>0</v>
      </c>
      <c r="R27" s="1244" t="str">
        <f>IF(SUM(R19:R26)=$D$3,SUM(R19:R26),SUM(R19:R26)&amp;"误差"&amp;ROUND(SUM(R19:R26)-$D$3,2))</f>
        <v>104265.69误差-17.37</v>
      </c>
      <c r="S27" s="1242" t="str">
        <f>IF(SUM(S19:S26)=$E$3,SUM(S19:S26),SUM(S19:S26)&amp;"误差"&amp;ROUND(SUM(S19:S26)-E3,2))</f>
        <v>212229.47误差-35.33</v>
      </c>
    </row>
    <row r="28" spans="1:19">
      <c r="A28" s="2248"/>
      <c r="B28" s="48" t="s">
        <v>1957</v>
      </c>
      <c r="C28" s="1254" t="s">
        <v>1958</v>
      </c>
      <c r="D28" s="46">
        <f>ROUND($D$3*E28/$E$3,2)</f>
        <v>12285.71</v>
      </c>
      <c r="E28" s="53">
        <f>SUM(F28:G28)</f>
        <v>25007.170000000002</v>
      </c>
      <c r="F28" s="61">
        <f>'数据-基础表'!BQ5+'数据-基础表'!BS5</f>
        <v>272.33999999999997</v>
      </c>
      <c r="G28" s="62">
        <f>'数据-基础表'!BR5+'数据-基础表'!BT5</f>
        <v>24734.83</v>
      </c>
      <c r="H28" s="1387"/>
      <c r="I28" s="1387"/>
      <c r="J28" s="1387"/>
      <c r="K28" s="1387"/>
      <c r="L28" s="1387"/>
      <c r="M28" s="1387"/>
      <c r="N28" s="1387"/>
      <c r="O28" s="1387"/>
      <c r="P28" s="1387"/>
    </row>
    <row r="29" spans="1:19">
      <c r="A29" s="2248"/>
      <c r="B29" s="48" t="s">
        <v>1957</v>
      </c>
      <c r="C29" s="2252" t="s">
        <v>1959</v>
      </c>
      <c r="D29" s="46">
        <f>ROUND($D$3*E29/$E$3,2)</f>
        <v>17.36</v>
      </c>
      <c r="E29" s="53">
        <f>SUM(F29:G29)</f>
        <v>35.33</v>
      </c>
      <c r="F29" s="63">
        <f>'数据-基础表'!BM5+'数据-基础表'!BO5</f>
        <v>35.33</v>
      </c>
      <c r="G29" s="64">
        <f>'数据-基础表'!BN5+'数据-基础表'!BP5</f>
        <v>0</v>
      </c>
      <c r="H29" s="1387"/>
      <c r="I29" s="1387"/>
      <c r="J29" s="1387"/>
      <c r="K29" s="1387"/>
      <c r="L29" s="1387"/>
      <c r="M29" s="1387"/>
      <c r="N29" s="1387"/>
      <c r="O29" s="1387"/>
      <c r="P29" s="1387"/>
    </row>
    <row r="30" spans="1:19">
      <c r="A30" s="2248"/>
      <c r="B30" s="48"/>
      <c r="C30" s="2253" t="s">
        <v>1956</v>
      </c>
      <c r="D30" s="1388">
        <f>SUM(D28:D29)</f>
        <v>12303.07</v>
      </c>
      <c r="E30" s="1388">
        <f>SUM(E28:E29)</f>
        <v>25042.500000000004</v>
      </c>
      <c r="F30" s="1388">
        <f>SUM(F28:F29)</f>
        <v>307.66999999999996</v>
      </c>
      <c r="G30" s="1390">
        <f>SUM(G28:G29)</f>
        <v>24734.83</v>
      </c>
      <c r="H30" s="1387"/>
      <c r="I30" s="1387"/>
      <c r="J30" s="1387"/>
      <c r="K30" s="1387"/>
      <c r="L30" s="1387"/>
      <c r="M30" s="1387"/>
      <c r="N30" s="1387"/>
      <c r="O30" s="1387"/>
      <c r="P30" s="1387"/>
    </row>
    <row r="31" spans="1:19" ht="14.5" thickBot="1">
      <c r="A31" s="2254"/>
      <c r="B31" s="2255"/>
      <c r="C31" s="1002" t="s">
        <v>1960</v>
      </c>
      <c r="D31" s="724">
        <f>D27+D30</f>
        <v>104283.06</v>
      </c>
      <c r="E31" s="724">
        <f>E27+E30</f>
        <v>212264.8</v>
      </c>
      <c r="F31" s="725">
        <f>F27+F30</f>
        <v>123599.06999999999</v>
      </c>
      <c r="G31" s="726">
        <f>G27+G30</f>
        <v>88665.73000000001</v>
      </c>
      <c r="H31" s="1387"/>
      <c r="I31" s="1387"/>
      <c r="J31" s="1387"/>
      <c r="K31" s="1387"/>
      <c r="L31" s="1387"/>
      <c r="M31" s="1387"/>
      <c r="N31" s="1387"/>
      <c r="O31" s="1387"/>
      <c r="P31" s="1387"/>
    </row>
    <row r="32" spans="1:19">
      <c r="A32" s="2219"/>
      <c r="B32" s="2219" t="s">
        <v>1961</v>
      </c>
      <c r="C32" s="2219"/>
      <c r="D32" s="2219"/>
      <c r="E32" s="1269">
        <f>SUMIF(C19:C26,"*住宅*",E19:E26)</f>
        <v>0</v>
      </c>
      <c r="F32" s="2219"/>
      <c r="G32" s="2219"/>
      <c r="H32" s="1387"/>
      <c r="I32" s="1387"/>
      <c r="J32" s="1387"/>
      <c r="K32" s="1387"/>
      <c r="L32" s="1387"/>
      <c r="M32" s="1387"/>
      <c r="N32" s="1387"/>
      <c r="O32" s="1387"/>
      <c r="P32" s="1387"/>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H11" sqref="AH11"/>
    </sheetView>
  </sheetViews>
  <sheetFormatPr defaultColWidth="13.90625" defaultRowHeight="12.5"/>
  <cols>
    <col min="1" max="1" width="20.90625" style="2330" customWidth="1"/>
    <col min="2" max="2" width="12" style="2260" customWidth="1"/>
    <col min="3" max="3" width="10.90625" style="2260" customWidth="1"/>
    <col min="4" max="4" width="9.08984375" style="2331" customWidth="1"/>
    <col min="5" max="5" width="15" style="2260" bestFit="1" customWidth="1"/>
    <col min="6" max="10" width="8.90625" style="2260" customWidth="1"/>
    <col min="11" max="12" width="12.36328125" style="2180" customWidth="1"/>
    <col min="13" max="13" width="8.6328125" style="2260" customWidth="1"/>
    <col min="14" max="14" width="11.90625" style="2260" customWidth="1"/>
    <col min="15" max="15" width="8.453125" style="2260" customWidth="1"/>
    <col min="16" max="17" width="10.90625" style="2260" customWidth="1"/>
    <col min="18" max="19" width="12.453125" style="2260" customWidth="1"/>
    <col min="20" max="20" width="12.08984375" style="2260" customWidth="1"/>
    <col min="21" max="21" width="7.453125" style="2260" customWidth="1"/>
    <col min="22" max="22" width="6.36328125" style="2260" customWidth="1"/>
    <col min="23" max="24" width="6.90625" style="2260" customWidth="1"/>
    <col min="25" max="25" width="8.08984375" style="2260" customWidth="1"/>
    <col min="26" max="30" width="6.90625" style="2260" customWidth="1"/>
    <col min="31" max="31" width="8" style="2260" customWidth="1"/>
    <col min="32" max="34" width="7.08984375" style="2260" customWidth="1"/>
    <col min="35" max="39" width="8" style="2260" customWidth="1"/>
    <col min="40" max="40" width="13.90625" style="2259"/>
    <col min="41" max="41" width="11.6328125" style="2259" customWidth="1"/>
    <col min="42" max="42" width="9.90625" style="2259" customWidth="1"/>
    <col min="43" max="67" width="13.90625" style="2259"/>
    <col min="68" max="16384" width="13.90625" style="2260"/>
  </cols>
  <sheetData>
    <row r="1" spans="1:67" ht="18" thickBot="1">
      <c r="A1" s="2257" t="s">
        <v>1962</v>
      </c>
      <c r="B1" s="727"/>
      <c r="C1" s="1576"/>
      <c r="D1" s="2258"/>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 thickBot="1">
      <c r="A2" s="2261" t="s">
        <v>1963</v>
      </c>
      <c r="B2" s="1261">
        <f>项目基本情况!D3</f>
        <v>43903</v>
      </c>
      <c r="C2" s="2262"/>
      <c r="D2" s="2263"/>
      <c r="E2" s="2262"/>
      <c r="F2" s="2262"/>
      <c r="G2" s="2262"/>
      <c r="H2" s="2262"/>
      <c r="I2" s="2262"/>
      <c r="J2" s="2262"/>
      <c r="K2" s="1422"/>
      <c r="L2" s="142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5" customFormat="1" ht="14.5" thickBot="1">
      <c r="A3" s="2023"/>
      <c r="B3" s="2265"/>
      <c r="C3" s="2262"/>
      <c r="D3" s="2263"/>
      <c r="E3" s="2262"/>
      <c r="F3" s="2262"/>
      <c r="G3" s="2262"/>
      <c r="H3" s="2262"/>
      <c r="I3" s="2262"/>
      <c r="J3" s="2262"/>
      <c r="K3" s="1422"/>
      <c r="L3" s="142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5" customFormat="1" ht="14.5" thickBot="1">
      <c r="A4" s="65" t="s">
        <v>1964</v>
      </c>
      <c r="B4" s="2266"/>
      <c r="C4" s="2267"/>
      <c r="D4" s="2268"/>
      <c r="E4" s="2267" t="s">
        <v>1965</v>
      </c>
      <c r="F4" s="2267"/>
      <c r="G4" s="2267"/>
      <c r="H4" s="2267"/>
      <c r="I4" s="2267"/>
      <c r="J4" s="2269"/>
      <c r="K4" s="2270"/>
      <c r="L4" s="2271"/>
      <c r="M4" s="2267"/>
      <c r="N4" s="2267" t="s">
        <v>1966</v>
      </c>
      <c r="O4" s="2267"/>
      <c r="P4" s="2267"/>
      <c r="Q4" s="2267"/>
      <c r="R4" s="2267"/>
      <c r="S4" s="2269"/>
      <c r="T4" s="2272" t="str">
        <f>'数据-汇总表'!I17</f>
        <v>按面积比例</v>
      </c>
      <c r="U4" s="2266" t="s">
        <v>1967</v>
      </c>
      <c r="V4" s="2267"/>
      <c r="W4" s="2267"/>
      <c r="X4" s="2267"/>
      <c r="Y4" s="2269"/>
      <c r="Z4" s="2230" t="s">
        <v>1968</v>
      </c>
      <c r="AA4" s="2230"/>
      <c r="AB4" s="2230"/>
      <c r="AC4" s="2230"/>
      <c r="AD4" s="2230"/>
      <c r="AE4" s="2228" t="s">
        <v>1969</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6" customFormat="1" ht="56.5">
      <c r="A5" s="2274" t="s">
        <v>1970</v>
      </c>
      <c r="B5" s="2275" t="s">
        <v>1971</v>
      </c>
      <c r="C5" s="2276" t="s">
        <v>1972</v>
      </c>
      <c r="D5" s="2277" t="s">
        <v>1973</v>
      </c>
      <c r="E5" s="1263" t="s">
        <v>1974</v>
      </c>
      <c r="F5" s="2278" t="s">
        <v>1975</v>
      </c>
      <c r="G5" s="1263" t="s">
        <v>1976</v>
      </c>
      <c r="H5" s="1263" t="s">
        <v>1977</v>
      </c>
      <c r="I5" s="1263" t="s">
        <v>1978</v>
      </c>
      <c r="J5" s="2279" t="s">
        <v>1979</v>
      </c>
      <c r="K5" s="2280" t="s">
        <v>1980</v>
      </c>
      <c r="L5" s="2281" t="s">
        <v>1981</v>
      </c>
      <c r="M5" s="2282" t="s">
        <v>1982</v>
      </c>
      <c r="N5" s="2283" t="s">
        <v>1983</v>
      </c>
      <c r="O5" s="2281" t="s">
        <v>1984</v>
      </c>
      <c r="P5" s="2284" t="s">
        <v>1985</v>
      </c>
      <c r="Q5" s="66" t="s">
        <v>1986</v>
      </c>
      <c r="R5" s="2285" t="s">
        <v>1987</v>
      </c>
      <c r="S5" s="2286" t="s">
        <v>1988</v>
      </c>
      <c r="T5" s="2287" t="s">
        <v>1989</v>
      </c>
      <c r="U5" s="1262" t="s">
        <v>1990</v>
      </c>
      <c r="V5" s="1263" t="s">
        <v>1991</v>
      </c>
      <c r="W5" s="1263" t="s">
        <v>1992</v>
      </c>
      <c r="X5" s="68"/>
      <c r="Y5" s="67" t="s">
        <v>1993</v>
      </c>
      <c r="Z5" s="2288" t="s">
        <v>1990</v>
      </c>
      <c r="AA5" s="1263" t="s">
        <v>1991</v>
      </c>
      <c r="AB5" s="1263" t="s">
        <v>1992</v>
      </c>
      <c r="AC5" s="68"/>
      <c r="AD5" s="68" t="s">
        <v>1993</v>
      </c>
      <c r="AE5" s="1262" t="s">
        <v>1994</v>
      </c>
      <c r="AF5" s="1263" t="s">
        <v>1995</v>
      </c>
      <c r="AG5" s="67" t="s">
        <v>1996</v>
      </c>
      <c r="AH5" s="1262" t="s">
        <v>1997</v>
      </c>
      <c r="AI5" s="2288" t="s">
        <v>1998</v>
      </c>
      <c r="AJ5" s="2288" t="s">
        <v>1999</v>
      </c>
      <c r="AK5" s="1263" t="s">
        <v>2000</v>
      </c>
      <c r="AL5" s="1263" t="s">
        <v>2001</v>
      </c>
      <c r="AM5" s="67" t="s">
        <v>2002</v>
      </c>
      <c r="AN5" s="2289" t="s">
        <v>2003</v>
      </c>
      <c r="AO5" s="2065" t="s">
        <v>2004</v>
      </c>
      <c r="AP5" s="1244" t="s">
        <v>2005</v>
      </c>
      <c r="AQ5" s="2290" t="s">
        <v>2006</v>
      </c>
      <c r="AR5" s="2290"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4">
      <c r="A6" s="2291" t="str">
        <f>'数据-汇总表'!C19</f>
        <v>洋房</v>
      </c>
      <c r="B6" s="2292" t="str">
        <f>IF(A6=0,"","经营性")</f>
        <v>经营性</v>
      </c>
      <c r="C6" s="2293" t="s">
        <v>3071</v>
      </c>
      <c r="D6" s="1046">
        <f>SUMIF(项目基本情况!D$12:I$12,C6,项目基本情况!D$14:I$14)</f>
        <v>70</v>
      </c>
      <c r="E6" s="1043">
        <f>IF(B6="","",SUMIF(项目基本情况!D$12:I$12,C6,项目基本情况!D$13:I$13))</f>
        <v>67088</v>
      </c>
      <c r="F6" s="69">
        <f>SUMIF(项目基本情况!D$12:I$12,C6,项目基本情况!D$15:I$15)</f>
        <v>63.52</v>
      </c>
      <c r="G6" s="70">
        <f>IF(ISERROR(ROUND(POWER(1+H6,D6-F6)*(POWER(1+H6,F6)-1)/(POWER(1+H6,D6)-1),3)),0,ROUND(POWER(1+H6,D6-F6)*(POWER(1+H6,F6)-1)/(POWER(1+H6,D6)-1),3))</f>
        <v>0.98</v>
      </c>
      <c r="H6" s="797">
        <v>0.04</v>
      </c>
      <c r="I6" s="797">
        <v>4.4999999999999998E-2</v>
      </c>
      <c r="J6" s="71">
        <v>8.5000000000000006E-2</v>
      </c>
      <c r="K6" s="1246">
        <f>SUMIF('数据-汇总表'!C$19:C$33,A6,'数据-汇总表'!E$19:E$33)</f>
        <v>91312.59</v>
      </c>
      <c r="L6" s="798">
        <v>2400</v>
      </c>
      <c r="M6" s="72">
        <f t="shared" ref="M6:M14" si="0">ROUND(K6*L6/10000,0)</f>
        <v>21915</v>
      </c>
      <c r="N6" s="796">
        <f>面积表!S3</f>
        <v>0.44</v>
      </c>
      <c r="O6" s="72">
        <f>IF($N$5="成新度","——",ROUND(M6*N6,0))</f>
        <v>9643</v>
      </c>
      <c r="P6" s="73">
        <f>IF($N$5="成新度","——",M6-O6)</f>
        <v>12272</v>
      </c>
      <c r="Q6" s="799">
        <v>0.15</v>
      </c>
      <c r="R6" s="74">
        <f ca="1">SUMIF('数据-汇总表'!C$19:C$33,A6,'数据-汇总表'!R$19:R$27)</f>
        <v>50852.759999999995</v>
      </c>
      <c r="S6" s="51">
        <f>IF('数据-汇总表'!$I$17="按面积比例",SUMIF('数据-汇总表'!C$19:C$33,A6,'数据-汇总表'!K$19:K$33),SUMIF('数据-汇总表'!C$19:C$33,A6,'数据-汇总表'!N$19:N$33))</f>
        <v>12196.57</v>
      </c>
      <c r="T6" s="1438">
        <f>ROUND($L$14*S6/10000,0)</f>
        <v>2927</v>
      </c>
      <c r="U6" s="75"/>
      <c r="V6" s="76"/>
      <c r="W6" s="76"/>
      <c r="X6" s="1256"/>
      <c r="Y6" s="77"/>
      <c r="Z6" s="78"/>
      <c r="AA6" s="71"/>
      <c r="AB6" s="71"/>
      <c r="AC6" s="1256"/>
      <c r="AD6" s="79"/>
      <c r="AE6" s="1257">
        <f ca="1">IF(AN6="",0,SUMIF(INDIRECT("'"&amp;AN6&amp;"'"&amp;"!E:E"),$AE$5,INDIRECT("'"&amp;AN6&amp;"'"&amp;"!F:F")))</f>
        <v>0</v>
      </c>
      <c r="AF6" s="1799"/>
      <c r="AG6" s="142">
        <f>IF(AF6="",0,AE6-AF6)</f>
        <v>0</v>
      </c>
      <c r="AH6" s="80"/>
      <c r="AI6" s="82"/>
      <c r="AJ6" s="83"/>
      <c r="AK6" s="84"/>
      <c r="AL6" s="85"/>
      <c r="AM6" s="86"/>
      <c r="AN6" s="2294"/>
      <c r="AO6" s="52" t="e">
        <f ca="1">SUMIF(INDIRECT("'"&amp;AN6&amp;"'"&amp;"!A:A"),"总价",INDIRECT("'"&amp;AN6&amp;"'"&amp;"!B:B"))</f>
        <v>#REF!</v>
      </c>
      <c r="AP6" s="2295">
        <f>IF(C6="住宅",K6*L6,0)</f>
        <v>219150216</v>
      </c>
      <c r="AQ6" s="52">
        <f>ROUND($L$14*$N$14*S6/10000,0)</f>
        <v>29</v>
      </c>
      <c r="AR6" s="52">
        <f>ROUND($L$14*(1-$N$14)*S6/10000,0)</f>
        <v>2898</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5" customFormat="1" ht="14">
      <c r="A7" s="2291" t="str">
        <f>'数据-汇总表'!C20</f>
        <v>叠拼</v>
      </c>
      <c r="B7" s="2292" t="str">
        <f t="shared" ref="B7:B13" si="1">IF(A7=0,"","经营性")</f>
        <v>经营性</v>
      </c>
      <c r="C7" s="2293" t="s">
        <v>3071</v>
      </c>
      <c r="D7" s="1046">
        <f>SUMIF(项目基本情况!D$12:I$12,C7,项目基本情况!D$14:I$14)</f>
        <v>70</v>
      </c>
      <c r="E7" s="1043">
        <f>IF(B7="","",SUMIF(项目基本情况!D$12:I$12,C7,项目基本情况!D$13:I$13))</f>
        <v>67088</v>
      </c>
      <c r="F7" s="69">
        <f>SUMIF(项目基本情况!D$12:I$12,C7,项目基本情况!D$15:I$15)</f>
        <v>63.52</v>
      </c>
      <c r="G7" s="70">
        <f t="shared" ref="G7:G11" si="2">IF(ISERROR(ROUND(POWER(1+H7,D7-F7)*(POWER(1+H7,F7)-1)/(POWER(1+H7,D7)-1),3)),0,ROUND(POWER(1+H7,D7-F7)*(POWER(1+H7,F7)-1)/(POWER(1+H7,D7)-1),3))</f>
        <v>0.98</v>
      </c>
      <c r="H7" s="797">
        <f>H6</f>
        <v>0.04</v>
      </c>
      <c r="I7" s="797">
        <f>I6</f>
        <v>4.4999999999999998E-2</v>
      </c>
      <c r="J7" s="71">
        <v>8.5000000000000006E-2</v>
      </c>
      <c r="K7" s="1246">
        <f>SUMIF('数据-汇总表'!C$19:C$33,A7,'数据-汇总表'!E$19:E$33)</f>
        <v>18832.780000000002</v>
      </c>
      <c r="L7" s="798">
        <v>2400</v>
      </c>
      <c r="M7" s="72">
        <f t="shared" si="0"/>
        <v>4520</v>
      </c>
      <c r="N7" s="796">
        <v>0</v>
      </c>
      <c r="O7" s="72">
        <f t="shared" ref="O7:O14" si="3">IF($N$5="成新度","——",ROUND(M7*N7,0))</f>
        <v>0</v>
      </c>
      <c r="P7" s="73">
        <f t="shared" ref="P7:P14" si="4">IF($N$5="成新度","——",M7-O7)</f>
        <v>4520</v>
      </c>
      <c r="Q7" s="799">
        <v>0.15</v>
      </c>
      <c r="R7" s="74">
        <f ca="1">SUMIF('数据-汇总表'!C$19:C$33,A7,'数据-汇总表'!R$19:R$27)</f>
        <v>10488.13</v>
      </c>
      <c r="S7" s="51">
        <f>IF('数据-汇总表'!$I$17="按面积比例",SUMIF('数据-汇总表'!C$19:C$33,A7,'数据-汇总表'!K$19:K$33),SUMIF('数据-汇总表'!C$19:C$33,A7,'数据-汇总表'!N$19:N$33))</f>
        <v>2515.48</v>
      </c>
      <c r="T7" s="1438">
        <f t="shared" ref="T7:T13" si="5">ROUND($L$14*S7/10000,0)</f>
        <v>604</v>
      </c>
      <c r="U7" s="75"/>
      <c r="V7" s="76"/>
      <c r="W7" s="76"/>
      <c r="X7" s="1256"/>
      <c r="Y7" s="77"/>
      <c r="Z7" s="78"/>
      <c r="AA7" s="71"/>
      <c r="AB7" s="71"/>
      <c r="AC7" s="1256"/>
      <c r="AD7" s="79"/>
      <c r="AE7" s="1257">
        <f t="shared" ref="AE7:AE13" ca="1" si="6">IF(AN7="",0,SUMIF(INDIRECT("'"&amp;AN7&amp;"'"&amp;"!E:E"),$AE$5,INDIRECT("'"&amp;AN7&amp;"'"&amp;"!F:F")))</f>
        <v>0</v>
      </c>
      <c r="AF7" s="1799"/>
      <c r="AG7" s="142">
        <f t="shared" ref="AG7:AG13" si="7">IF(AF7="",0,AE7-AF7)</f>
        <v>0</v>
      </c>
      <c r="AH7" s="80"/>
      <c r="AI7" s="82"/>
      <c r="AJ7" s="83"/>
      <c r="AK7" s="84"/>
      <c r="AL7" s="85"/>
      <c r="AM7" s="86"/>
      <c r="AN7" s="2294"/>
      <c r="AO7" s="52" t="e">
        <f t="shared" ref="AO7:AO13" ca="1" si="8">SUMIF(INDIRECT("'"&amp;AN7&amp;"'"&amp;"!A:A"),"总价",INDIRECT("'"&amp;AN7&amp;"'"&amp;"!B:B"))</f>
        <v>#REF!</v>
      </c>
      <c r="AP7" s="2295">
        <f t="shared" ref="AP7:AP13" si="9">IF(C7="住宅",K7*L7,0)</f>
        <v>45198672.000000007</v>
      </c>
      <c r="AQ7" s="52">
        <f t="shared" ref="AQ7:AQ13" si="10">ROUND($L$14*$N$14*S7/10000,0)</f>
        <v>6</v>
      </c>
      <c r="AR7" s="52">
        <f t="shared" ref="AR7:AR13" si="11">ROUND($L$14*(1-$N$14)*S7/10000,0)</f>
        <v>598</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5" customFormat="1" ht="14">
      <c r="A8" s="2291" t="str">
        <f>'数据-汇总表'!C21</f>
        <v>联排</v>
      </c>
      <c r="B8" s="2292" t="str">
        <f t="shared" si="1"/>
        <v>经营性</v>
      </c>
      <c r="C8" s="2293" t="s">
        <v>3071</v>
      </c>
      <c r="D8" s="1046">
        <f>SUMIF(项目基本情况!D$12:I$12,C8,项目基本情况!D$14:I$14)</f>
        <v>70</v>
      </c>
      <c r="E8" s="1043">
        <f>IF(B8="","",SUMIF(项目基本情况!D$12:I$12,C8,项目基本情况!D$13:I$13))</f>
        <v>67088</v>
      </c>
      <c r="F8" s="69">
        <f>SUMIF(项目基本情况!D$12:I$12,C8,项目基本情况!D$15:I$15)</f>
        <v>63.52</v>
      </c>
      <c r="G8" s="70">
        <f t="shared" si="2"/>
        <v>0.98</v>
      </c>
      <c r="H8" s="797">
        <f>H6</f>
        <v>0.04</v>
      </c>
      <c r="I8" s="797">
        <f>I6</f>
        <v>4.4999999999999998E-2</v>
      </c>
      <c r="J8" s="71">
        <v>8.5000000000000006E-2</v>
      </c>
      <c r="K8" s="1246">
        <f>SUMIF('数据-汇总表'!C$19:C$33,A8,'数据-汇总表'!E$19:E$33)</f>
        <v>2018.48</v>
      </c>
      <c r="L8" s="798">
        <v>2400</v>
      </c>
      <c r="M8" s="72">
        <f>ROUND(K8*L8/10000,0)</f>
        <v>484</v>
      </c>
      <c r="N8" s="796">
        <v>0</v>
      </c>
      <c r="O8" s="72">
        <f t="shared" si="3"/>
        <v>0</v>
      </c>
      <c r="P8" s="73">
        <f t="shared" si="4"/>
        <v>484</v>
      </c>
      <c r="Q8" s="799">
        <v>0.15</v>
      </c>
      <c r="R8" s="74">
        <f ca="1">SUMIF('数据-汇总表'!C$19:C$33,A8,'数据-汇总表'!R$19:R$27)</f>
        <v>1124.1099999999999</v>
      </c>
      <c r="S8" s="51">
        <f>IF('数据-汇总表'!$I$17="按面积比例",SUMIF('数据-汇总表'!C$19:C$33,A8,'数据-汇总表'!K$19:K$33),SUMIF('数据-汇总表'!C$19:C$33,A8,'数据-汇总表'!N$19:N$33))</f>
        <v>269.61</v>
      </c>
      <c r="T8" s="1438">
        <f t="shared" si="5"/>
        <v>65</v>
      </c>
      <c r="U8" s="800"/>
      <c r="V8" s="801"/>
      <c r="W8" s="801"/>
      <c r="X8" s="1256"/>
      <c r="Y8" s="802"/>
      <c r="Z8" s="78"/>
      <c r="AA8" s="71"/>
      <c r="AB8" s="71"/>
      <c r="AC8" s="1256"/>
      <c r="AD8" s="79"/>
      <c r="AE8" s="1257">
        <f t="shared" ca="1" si="6"/>
        <v>0</v>
      </c>
      <c r="AF8" s="1799"/>
      <c r="AG8" s="142">
        <f t="shared" si="7"/>
        <v>0</v>
      </c>
      <c r="AH8" s="803"/>
      <c r="AI8" s="82"/>
      <c r="AJ8" s="83"/>
      <c r="AK8" s="804"/>
      <c r="AL8" s="805"/>
      <c r="AM8" s="806"/>
      <c r="AN8" s="2294"/>
      <c r="AO8" s="52" t="e">
        <f t="shared" ca="1" si="8"/>
        <v>#REF!</v>
      </c>
      <c r="AP8" s="2295">
        <f t="shared" si="9"/>
        <v>4844352</v>
      </c>
      <c r="AQ8" s="52">
        <f t="shared" si="10"/>
        <v>1</v>
      </c>
      <c r="AR8" s="52">
        <f t="shared" si="11"/>
        <v>64</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5" customFormat="1" ht="14">
      <c r="A9" s="2291" t="str">
        <f>'数据-汇总表'!C22</f>
        <v>商业</v>
      </c>
      <c r="B9" s="2292" t="str">
        <f t="shared" si="1"/>
        <v>经营性</v>
      </c>
      <c r="C9" s="2293" t="s">
        <v>1372</v>
      </c>
      <c r="D9" s="1046">
        <f>SUMIF(项目基本情况!D$12:I$12,C9,项目基本情况!D$14:I$14)</f>
        <v>40</v>
      </c>
      <c r="E9" s="1043">
        <f>IF(B9="","",SUMIF(项目基本情况!D$12:I$12,C9,项目基本情况!D$13:I$13))</f>
        <v>56131</v>
      </c>
      <c r="F9" s="69">
        <f>SUMIF(项目基本情况!D$12:I$12,C9,项目基本情况!D$15:I$15)</f>
        <v>33.5</v>
      </c>
      <c r="G9" s="70">
        <f t="shared" si="2"/>
        <v>0.93799999999999994</v>
      </c>
      <c r="H9" s="71">
        <v>0.05</v>
      </c>
      <c r="I9" s="71">
        <v>5.5E-2</v>
      </c>
      <c r="J9" s="71">
        <v>8.5000000000000006E-2</v>
      </c>
      <c r="K9" s="1246">
        <f>SUMIF('数据-汇总表'!C$19:C$33,A9,'数据-汇总表'!E$19:E$33)</f>
        <v>11127.55</v>
      </c>
      <c r="L9" s="798">
        <v>2400</v>
      </c>
      <c r="M9" s="72">
        <f t="shared" si="0"/>
        <v>2671</v>
      </c>
      <c r="N9" s="796">
        <f>面积表!S7</f>
        <v>0.51</v>
      </c>
      <c r="O9" s="72">
        <f t="shared" si="3"/>
        <v>1362</v>
      </c>
      <c r="P9" s="73">
        <f t="shared" si="4"/>
        <v>1309</v>
      </c>
      <c r="Q9" s="87">
        <v>0.15</v>
      </c>
      <c r="R9" s="74">
        <f ca="1">SUMIF('数据-汇总表'!C$19:C$33,A9,'数据-汇总表'!R$19:R$27)</f>
        <v>6197.03</v>
      </c>
      <c r="S9" s="51">
        <f>IF('数据-汇总表'!$I$17="按面积比例",SUMIF('数据-汇总表'!C$19:C$33,A9,'数据-汇总表'!K$19:K$33),SUMIF('数据-汇总表'!C$19:C$33,A9,'数据-汇总表'!N$19:N$33))</f>
        <v>1486.3</v>
      </c>
      <c r="T9" s="1438">
        <f t="shared" si="5"/>
        <v>357</v>
      </c>
      <c r="U9" s="75">
        <v>4</v>
      </c>
      <c r="V9" s="76">
        <v>0.03</v>
      </c>
      <c r="W9" s="76">
        <v>0.15</v>
      </c>
      <c r="X9" s="1256"/>
      <c r="Y9" s="77">
        <v>1</v>
      </c>
      <c r="Z9" s="78"/>
      <c r="AA9" s="71"/>
      <c r="AB9" s="71"/>
      <c r="AC9" s="1256"/>
      <c r="AD9" s="79"/>
      <c r="AE9" s="1257">
        <f t="shared" ca="1" si="6"/>
        <v>31.54</v>
      </c>
      <c r="AF9" s="1799"/>
      <c r="AG9" s="142">
        <f t="shared" si="7"/>
        <v>0</v>
      </c>
      <c r="AH9" s="80"/>
      <c r="AI9" s="82">
        <v>365</v>
      </c>
      <c r="AJ9" s="83"/>
      <c r="AK9" s="84">
        <v>0.01</v>
      </c>
      <c r="AL9" s="85">
        <v>1.5E-3</v>
      </c>
      <c r="AM9" s="86">
        <v>0.01</v>
      </c>
      <c r="AN9" s="2294" t="s">
        <v>3273</v>
      </c>
      <c r="AO9" s="52">
        <f t="shared" ca="1" si="8"/>
        <v>23051</v>
      </c>
      <c r="AP9" s="2295">
        <f t="shared" si="9"/>
        <v>0</v>
      </c>
      <c r="AQ9" s="52">
        <f t="shared" si="10"/>
        <v>4</v>
      </c>
      <c r="AR9" s="52">
        <f t="shared" si="11"/>
        <v>353</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5" customFormat="1" ht="14">
      <c r="A10" s="2291" t="str">
        <f>'数据-汇总表'!C23</f>
        <v>仓储</v>
      </c>
      <c r="B10" s="2292" t="str">
        <f t="shared" si="1"/>
        <v>经营性</v>
      </c>
      <c r="C10" s="2293" t="s">
        <v>3076</v>
      </c>
      <c r="D10" s="1046">
        <f>SUMIF(项目基本情况!D$12:I$12,C10,项目基本情况!D$14:I$14)</f>
        <v>50</v>
      </c>
      <c r="E10" s="1043">
        <f>IF(B10="","",SUMIF(项目基本情况!D$12:I$12,C10,项目基本情况!D$13:I$13))</f>
        <v>59783</v>
      </c>
      <c r="F10" s="69">
        <f>SUMIF(项目基本情况!D$12:I$12,C10,项目基本情况!D$15:I$15)</f>
        <v>43.5</v>
      </c>
      <c r="G10" s="70">
        <f t="shared" si="2"/>
        <v>0.95899999999999996</v>
      </c>
      <c r="H10" s="71">
        <v>4.4999999999999998E-2</v>
      </c>
      <c r="I10" s="71">
        <v>0.05</v>
      </c>
      <c r="J10" s="71">
        <v>8.5000000000000006E-2</v>
      </c>
      <c r="K10" s="1246">
        <f>SUMIF('数据-汇总表'!C$19:C$33,A10,'数据-汇总表'!E$19:E$33)</f>
        <v>7670</v>
      </c>
      <c r="L10" s="798">
        <v>2400</v>
      </c>
      <c r="M10" s="72">
        <f t="shared" si="0"/>
        <v>1841</v>
      </c>
      <c r="N10" s="796">
        <v>0</v>
      </c>
      <c r="O10" s="72">
        <f t="shared" si="3"/>
        <v>0</v>
      </c>
      <c r="P10" s="73">
        <f t="shared" si="4"/>
        <v>1841</v>
      </c>
      <c r="Q10" s="87">
        <v>0.1</v>
      </c>
      <c r="R10" s="74">
        <f ca="1">SUMIF('数据-汇总表'!C$19:C$33,A10,'数据-汇总表'!R$19:R$27)</f>
        <v>4271.49</v>
      </c>
      <c r="S10" s="51">
        <f>IF('数据-汇总表'!$I$17="按面积比例",SUMIF('数据-汇总表'!C$19:C$33,A10,'数据-汇总表'!K$19:K$33),SUMIF('数据-汇总表'!C$19:C$33,A10,'数据-汇总表'!N$19:N$33))</f>
        <v>1024.48</v>
      </c>
      <c r="T10" s="1438">
        <f t="shared" si="5"/>
        <v>246</v>
      </c>
      <c r="U10" s="75">
        <v>2.5</v>
      </c>
      <c r="V10" s="76">
        <v>0.03</v>
      </c>
      <c r="W10" s="76">
        <v>0.15</v>
      </c>
      <c r="X10" s="1256"/>
      <c r="Y10" s="77">
        <v>1</v>
      </c>
      <c r="Z10" s="78"/>
      <c r="AA10" s="71"/>
      <c r="AB10" s="71"/>
      <c r="AC10" s="1256"/>
      <c r="AD10" s="79"/>
      <c r="AE10" s="1257">
        <f t="shared" ca="1" si="6"/>
        <v>41.54</v>
      </c>
      <c r="AF10" s="1799"/>
      <c r="AG10" s="142">
        <f t="shared" si="7"/>
        <v>0</v>
      </c>
      <c r="AH10" s="80"/>
      <c r="AI10" s="82">
        <v>365</v>
      </c>
      <c r="AJ10" s="83"/>
      <c r="AK10" s="84">
        <v>0.01</v>
      </c>
      <c r="AL10" s="3040">
        <v>1.5E-3</v>
      </c>
      <c r="AM10" s="86">
        <v>0.01</v>
      </c>
      <c r="AN10" s="2294" t="s">
        <v>3422</v>
      </c>
      <c r="AO10" s="52">
        <f t="shared" ca="1" si="8"/>
        <v>12544</v>
      </c>
      <c r="AP10" s="2295">
        <f t="shared" si="9"/>
        <v>0</v>
      </c>
      <c r="AQ10" s="52">
        <f t="shared" si="10"/>
        <v>2</v>
      </c>
      <c r="AR10" s="52">
        <f t="shared" si="11"/>
        <v>243</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5" customFormat="1" ht="14">
      <c r="A11" s="2291" t="str">
        <f>'数据-汇总表'!C24</f>
        <v>地下车库</v>
      </c>
      <c r="B11" s="2292" t="str">
        <f t="shared" si="1"/>
        <v>经营性</v>
      </c>
      <c r="C11" s="2293" t="s">
        <v>3078</v>
      </c>
      <c r="D11" s="1046">
        <f>SUMIF(项目基本情况!D$12:I$12,C11,项目基本情况!D$14:I$14)</f>
        <v>50</v>
      </c>
      <c r="E11" s="1043">
        <f>IF(B11="","",SUMIF(项目基本情况!D$12:I$12,C11,项目基本情况!D$13:I$13))</f>
        <v>59783</v>
      </c>
      <c r="F11" s="69">
        <f>SUMIF(项目基本情况!D$12:I$12,C11,项目基本情况!D$15:I$15)</f>
        <v>43.5</v>
      </c>
      <c r="G11" s="70">
        <f t="shared" si="2"/>
        <v>0.95899999999999996</v>
      </c>
      <c r="H11" s="71">
        <v>4.4999999999999998E-2</v>
      </c>
      <c r="I11" s="71">
        <v>0.05</v>
      </c>
      <c r="J11" s="71">
        <v>8.5000000000000006E-2</v>
      </c>
      <c r="K11" s="1246">
        <f>SUMIF('数据-汇总表'!C$19:C$33,A11,'数据-汇总表'!E$19:E$33)</f>
        <v>56260.9</v>
      </c>
      <c r="L11" s="88">
        <v>2400</v>
      </c>
      <c r="M11" s="72">
        <f t="shared" si="0"/>
        <v>13503</v>
      </c>
      <c r="N11" s="89">
        <v>0</v>
      </c>
      <c r="O11" s="72">
        <f t="shared" si="3"/>
        <v>0</v>
      </c>
      <c r="P11" s="73">
        <f t="shared" si="4"/>
        <v>13503</v>
      </c>
      <c r="Q11" s="87">
        <v>0.05</v>
      </c>
      <c r="R11" s="74">
        <f ca="1">SUMIF('数据-汇总表'!C$19:C$33,A11,'数据-汇总表'!R$19:R$27)</f>
        <v>31332.17</v>
      </c>
      <c r="S11" s="51">
        <f>IF('数据-汇总表'!$I$17="按面积比例",SUMIF('数据-汇总表'!C$19:C$33,A11,'数据-汇总表'!K$19:K$33),SUMIF('数据-汇总表'!C$19:C$33,A11,'数据-汇总表'!N$19:N$33))</f>
        <v>7514.73</v>
      </c>
      <c r="T11" s="1438">
        <f t="shared" si="5"/>
        <v>1804</v>
      </c>
      <c r="U11" s="80">
        <v>800</v>
      </c>
      <c r="V11" s="71">
        <v>2.5000000000000001E-2</v>
      </c>
      <c r="W11" s="71">
        <v>0.15</v>
      </c>
      <c r="X11" s="1256"/>
      <c r="Y11" s="77">
        <v>1</v>
      </c>
      <c r="Z11" s="90"/>
      <c r="AA11" s="71"/>
      <c r="AB11" s="71"/>
      <c r="AC11" s="1256"/>
      <c r="AD11" s="79"/>
      <c r="AE11" s="1257">
        <f t="shared" ca="1" si="6"/>
        <v>41.54</v>
      </c>
      <c r="AF11" s="1799"/>
      <c r="AG11" s="142">
        <f t="shared" si="7"/>
        <v>0</v>
      </c>
      <c r="AH11" s="80">
        <f>ROUNDDOWN(K11/35,0)</f>
        <v>1607</v>
      </c>
      <c r="AI11" s="82">
        <v>12</v>
      </c>
      <c r="AJ11" s="83"/>
      <c r="AK11" s="91">
        <v>0.01</v>
      </c>
      <c r="AL11" s="2981">
        <v>1.5E-3</v>
      </c>
      <c r="AM11" s="93">
        <v>0.01</v>
      </c>
      <c r="AN11" s="2294" t="s">
        <v>3352</v>
      </c>
      <c r="AO11" s="52">
        <f t="shared" ca="1" si="8"/>
        <v>21049</v>
      </c>
      <c r="AP11" s="2295">
        <f t="shared" si="9"/>
        <v>0</v>
      </c>
      <c r="AQ11" s="52">
        <f t="shared" si="10"/>
        <v>18</v>
      </c>
      <c r="AR11" s="52">
        <f t="shared" si="11"/>
        <v>1785</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5" customFormat="1" ht="14">
      <c r="A12" s="2291">
        <f>'数据-汇总表'!C25</f>
        <v>0</v>
      </c>
      <c r="B12" s="2292" t="str">
        <f t="shared" si="1"/>
        <v/>
      </c>
      <c r="C12" s="2293"/>
      <c r="D12" s="1046">
        <f>SUMIF(项目基本情况!D$12:I$12,C12,项目基本情况!D$14:I$14)</f>
        <v>0</v>
      </c>
      <c r="E12" s="1043"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1246">
        <f>SUMIF('数据-汇总表'!C$19:C$33,A12,'数据-汇总表'!E$19:E$33)</f>
        <v>0</v>
      </c>
      <c r="L12" s="88"/>
      <c r="M12" s="72">
        <f>ROUND(K12*L12/10000,0)</f>
        <v>0</v>
      </c>
      <c r="N12" s="89"/>
      <c r="O12" s="72">
        <f t="shared" si="3"/>
        <v>0</v>
      </c>
      <c r="P12" s="73">
        <f t="shared" si="4"/>
        <v>0</v>
      </c>
      <c r="Q12" s="87"/>
      <c r="R12" s="74">
        <f ca="1">SUMIF('数据-汇总表'!C$19:C$33,A12,'数据-汇总表'!R$19:R$27)</f>
        <v>0</v>
      </c>
      <c r="S12" s="51">
        <f>IF('数据-汇总表'!$I$17="按面积比例",SUMIF('数据-汇总表'!C$19:C$33,A12,'数据-汇总表'!K$19:K$33),SUMIF('数据-汇总表'!C$19:C$33,A12,'数据-汇总表'!N$19:N$33))</f>
        <v>0</v>
      </c>
      <c r="T12" s="1438">
        <f t="shared" si="5"/>
        <v>0</v>
      </c>
      <c r="U12" s="80"/>
      <c r="V12" s="71"/>
      <c r="W12" s="71"/>
      <c r="X12" s="1256"/>
      <c r="Y12" s="77"/>
      <c r="Z12" s="90"/>
      <c r="AA12" s="71"/>
      <c r="AB12" s="71"/>
      <c r="AC12" s="1256"/>
      <c r="AD12" s="79"/>
      <c r="AE12" s="1257">
        <f t="shared" ca="1" si="6"/>
        <v>0</v>
      </c>
      <c r="AF12" s="1799"/>
      <c r="AG12" s="142">
        <f t="shared" si="7"/>
        <v>0</v>
      </c>
      <c r="AH12" s="80"/>
      <c r="AI12" s="82"/>
      <c r="AJ12" s="83"/>
      <c r="AK12" s="91"/>
      <c r="AL12" s="92"/>
      <c r="AM12" s="93"/>
      <c r="AN12" s="2294"/>
      <c r="AO12" s="52" t="e">
        <f t="shared" ca="1" si="8"/>
        <v>#REF!</v>
      </c>
      <c r="AP12" s="2295">
        <f t="shared" si="9"/>
        <v>0</v>
      </c>
      <c r="AQ12" s="52">
        <f t="shared" si="10"/>
        <v>0</v>
      </c>
      <c r="AR12" s="52">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5" customFormat="1" ht="14">
      <c r="A13" s="2291">
        <f>'数据-汇总表'!C26</f>
        <v>0</v>
      </c>
      <c r="B13" s="2292" t="str">
        <f t="shared" si="1"/>
        <v/>
      </c>
      <c r="C13" s="2293"/>
      <c r="D13" s="1046">
        <f>SUMIF(项目基本情况!D$12:I$12,C13,项目基本情况!D$14:I$14)</f>
        <v>0</v>
      </c>
      <c r="E13" s="1043"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1246">
        <f>SUMIF('数据-汇总表'!C$19:C$33,A13,'数据-汇总表'!E$19:E$33)</f>
        <v>0</v>
      </c>
      <c r="L13" s="88"/>
      <c r="M13" s="72">
        <f>ROUND(K13*L13/10000,0)</f>
        <v>0</v>
      </c>
      <c r="N13" s="89"/>
      <c r="O13" s="72">
        <f t="shared" si="3"/>
        <v>0</v>
      </c>
      <c r="P13" s="73">
        <f t="shared" si="4"/>
        <v>0</v>
      </c>
      <c r="Q13" s="87"/>
      <c r="R13" s="74">
        <f ca="1">SUMIF('数据-汇总表'!C$19:C$33,A13,'数据-汇总表'!R$19:R$27)</f>
        <v>0</v>
      </c>
      <c r="S13" s="51">
        <f>IF('数据-汇总表'!$I$17="按面积比例",SUMIF('数据-汇总表'!C$19:C$33,A13,'数据-汇总表'!K$19:K$33),SUMIF('数据-汇总表'!C$19:C$33,A13,'数据-汇总表'!N$19:N$33))</f>
        <v>0</v>
      </c>
      <c r="T13" s="1438">
        <f t="shared" si="5"/>
        <v>0</v>
      </c>
      <c r="U13" s="75"/>
      <c r="V13" s="76"/>
      <c r="W13" s="76"/>
      <c r="X13" s="1256"/>
      <c r="Y13" s="77"/>
      <c r="Z13" s="78"/>
      <c r="AA13" s="71"/>
      <c r="AB13" s="71"/>
      <c r="AC13" s="1256"/>
      <c r="AD13" s="79"/>
      <c r="AE13" s="1257">
        <f t="shared" ca="1" si="6"/>
        <v>0</v>
      </c>
      <c r="AF13" s="1799"/>
      <c r="AG13" s="142">
        <f t="shared" si="7"/>
        <v>0</v>
      </c>
      <c r="AH13" s="80"/>
      <c r="AI13" s="82"/>
      <c r="AJ13" s="83"/>
      <c r="AK13" s="84"/>
      <c r="AL13" s="85"/>
      <c r="AM13" s="86"/>
      <c r="AN13" s="2294"/>
      <c r="AO13" s="52" t="e">
        <f t="shared" ca="1" si="8"/>
        <v>#REF!</v>
      </c>
      <c r="AP13" s="2295">
        <f t="shared" si="9"/>
        <v>0</v>
      </c>
      <c r="AQ13" s="52">
        <f t="shared" si="10"/>
        <v>0</v>
      </c>
      <c r="AR13" s="52">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5" customFormat="1" ht="14">
      <c r="A14" s="2296" t="s">
        <v>2008</v>
      </c>
      <c r="B14" s="2292" t="s">
        <v>2009</v>
      </c>
      <c r="C14" s="2297" t="s">
        <v>2008</v>
      </c>
      <c r="D14" s="1046"/>
      <c r="E14" s="1043"/>
      <c r="F14" s="69"/>
      <c r="G14" s="70"/>
      <c r="H14" s="1245"/>
      <c r="I14" s="1245"/>
      <c r="J14" s="1245"/>
      <c r="K14" s="1246">
        <f>SUMIF('数据-汇总表'!C$19:C$33,A14,'数据-汇总表'!E$19:E$33)</f>
        <v>25007.170000000002</v>
      </c>
      <c r="L14" s="88">
        <v>2400</v>
      </c>
      <c r="M14" s="72">
        <f t="shared" si="0"/>
        <v>6002</v>
      </c>
      <c r="N14" s="89">
        <f>面积表!S10</f>
        <v>0.01</v>
      </c>
      <c r="O14" s="72">
        <f t="shared" si="3"/>
        <v>60</v>
      </c>
      <c r="P14" s="73">
        <f t="shared" si="4"/>
        <v>5942</v>
      </c>
      <c r="Q14" s="1249"/>
      <c r="R14" s="74"/>
      <c r="S14" s="51"/>
      <c r="T14" s="1438"/>
      <c r="U14" s="718"/>
      <c r="V14" s="1251"/>
      <c r="W14" s="1251"/>
      <c r="X14" s="1252"/>
      <c r="Y14" s="1253"/>
      <c r="Z14" s="1254"/>
      <c r="AA14" s="1255"/>
      <c r="AB14" s="1255"/>
      <c r="AC14" s="1256"/>
      <c r="AD14" s="1252"/>
      <c r="AE14" s="1257"/>
      <c r="AF14" s="52"/>
      <c r="AG14" s="142"/>
      <c r="AH14" s="1257"/>
      <c r="AI14" s="1810"/>
      <c r="AJ14" s="768"/>
      <c r="AK14" s="1258"/>
      <c r="AL14" s="1259"/>
      <c r="AM14" s="1260"/>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5" customFormat="1" ht="28">
      <c r="A15" s="2296" t="s">
        <v>2010</v>
      </c>
      <c r="B15" s="2292" t="s">
        <v>2009</v>
      </c>
      <c r="C15" s="2297" t="s">
        <v>2011</v>
      </c>
      <c r="D15" s="1046"/>
      <c r="E15" s="1043"/>
      <c r="F15" s="69"/>
      <c r="G15" s="70"/>
      <c r="H15" s="1245"/>
      <c r="I15" s="1245"/>
      <c r="J15" s="1245"/>
      <c r="K15" s="1246">
        <f>SUMIF('数据-汇总表'!C$19:C$33,A15,'数据-汇总表'!E$19:E$33)</f>
        <v>35.33</v>
      </c>
      <c r="L15" s="1247"/>
      <c r="M15" s="72"/>
      <c r="N15" s="1248"/>
      <c r="O15" s="72"/>
      <c r="P15" s="73"/>
      <c r="Q15" s="1249"/>
      <c r="R15" s="74"/>
      <c r="S15" s="51"/>
      <c r="T15" s="1438"/>
      <c r="U15" s="718"/>
      <c r="V15" s="1251"/>
      <c r="W15" s="1251"/>
      <c r="X15" s="1252"/>
      <c r="Y15" s="1253"/>
      <c r="Z15" s="1254"/>
      <c r="AA15" s="1255"/>
      <c r="AB15" s="1255"/>
      <c r="AC15" s="1256"/>
      <c r="AD15" s="1252"/>
      <c r="AE15" s="1257"/>
      <c r="AF15" s="52"/>
      <c r="AG15" s="142"/>
      <c r="AH15" s="1257"/>
      <c r="AI15" s="1810"/>
      <c r="AJ15" s="768"/>
      <c r="AK15" s="1258"/>
      <c r="AL15" s="1259"/>
      <c r="AM15" s="1260"/>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5" customFormat="1" ht="14.5" thickBot="1">
      <c r="A16" s="2298" t="s">
        <v>2012</v>
      </c>
      <c r="B16" s="94"/>
      <c r="C16" s="1000"/>
      <c r="D16" s="2299"/>
      <c r="E16" s="94"/>
      <c r="F16" s="94"/>
      <c r="G16" s="95">
        <f>ROUND(SUMPRODUCT(G6:G13,K6:K13)/SUMPRODUCT((G6:G13&gt;0)*(K6:K13)),3)</f>
        <v>0.97</v>
      </c>
      <c r="H16" s="96">
        <f>ROUND(SUMPRODUCT(H6:H13,K6:K13)/SUMPRODUCT((H6:H13&gt;0)*(K6:K13)),3)</f>
        <v>4.2000000000000003E-2</v>
      </c>
      <c r="I16" s="97"/>
      <c r="J16" s="97"/>
      <c r="K16" s="98">
        <f>SUM(K6:K15)</f>
        <v>212264.8</v>
      </c>
      <c r="L16" s="99">
        <f>ROUND(M16*10000/SUM(K6:K14),0)</f>
        <v>2400</v>
      </c>
      <c r="M16" s="99">
        <f>SUM(M6:M14)</f>
        <v>50936</v>
      </c>
      <c r="N16" s="100">
        <f>ROUND(SUMPRODUCT(M6:M14,N6:N14)/M16,3)</f>
        <v>0.217</v>
      </c>
      <c r="O16" s="99">
        <f>SUM(O6:O14)</f>
        <v>11065</v>
      </c>
      <c r="P16" s="99">
        <f>SUM(P6:P14)</f>
        <v>39871</v>
      </c>
      <c r="Q16" s="101">
        <f>ROUND(SUMPRODUCT(Q6:Q13,K6:K13)/SUMPRODUCT((Q6:Q13&gt;0)*(K6:K13)),2)</f>
        <v>0.12</v>
      </c>
      <c r="R16" s="1250">
        <f ca="1">SUM(R6:R13)</f>
        <v>104265.69</v>
      </c>
      <c r="S16" s="102">
        <f>SUM(S6:S13)</f>
        <v>25007.17</v>
      </c>
      <c r="T16" s="103" t="str">
        <f>IF(SUMIF(T6:T13,"&lt;9E307")=M14,SUMIF(T6:T13,"&lt;9E307"),"有误，请检查")</f>
        <v>有误，请检查</v>
      </c>
      <c r="U16" s="104"/>
      <c r="V16" s="105"/>
      <c r="W16" s="105"/>
      <c r="X16" s="108"/>
      <c r="Y16" s="106"/>
      <c r="Z16" s="107"/>
      <c r="AA16" s="105"/>
      <c r="AB16" s="105"/>
      <c r="AC16" s="108"/>
      <c r="AD16" s="108"/>
      <c r="AE16" s="104"/>
      <c r="AF16" s="105"/>
      <c r="AG16" s="106"/>
      <c r="AH16" s="104"/>
      <c r="AI16" s="107"/>
      <c r="AJ16" s="107"/>
      <c r="AK16" s="105"/>
      <c r="AL16" s="105"/>
      <c r="AM16" s="106"/>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27"/>
      <c r="C17" s="1576"/>
      <c r="D17" s="2258"/>
      <c r="E17" s="2258"/>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4.5" thickBot="1">
      <c r="A18" s="65" t="s">
        <v>2013</v>
      </c>
      <c r="B18" s="2265"/>
      <c r="C18" s="2262"/>
      <c r="D18" s="2263"/>
      <c r="E18" s="2262"/>
      <c r="F18" s="2262"/>
      <c r="G18" s="2262"/>
      <c r="H18" s="2262"/>
      <c r="I18" s="2262"/>
      <c r="J18" s="2262"/>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
      <c r="A19" s="2301" t="s">
        <v>2014</v>
      </c>
      <c r="B19" s="109">
        <v>0</v>
      </c>
      <c r="C19" s="2262" t="s">
        <v>2015</v>
      </c>
      <c r="D19" s="2263"/>
      <c r="E19" s="2262"/>
      <c r="F19" s="2262"/>
      <c r="G19" s="2262"/>
      <c r="H19" s="2262"/>
      <c r="I19" s="2262"/>
      <c r="J19" s="2262"/>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
      <c r="A20" s="2302" t="s">
        <v>2016</v>
      </c>
      <c r="B20" s="110">
        <v>2.5</v>
      </c>
      <c r="C20" s="2262" t="s">
        <v>2017</v>
      </c>
      <c r="D20" s="2263"/>
      <c r="E20" s="2262"/>
      <c r="F20" s="2262"/>
      <c r="G20" s="2262"/>
      <c r="H20" s="2262"/>
      <c r="I20" s="2262"/>
      <c r="J20" s="2262"/>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
      <c r="A21" s="2303" t="s">
        <v>2018</v>
      </c>
      <c r="B21" s="110">
        <f>ROUND(B20*N16,2)</f>
        <v>0.54</v>
      </c>
      <c r="C21" s="2262"/>
      <c r="D21" s="2263"/>
      <c r="E21" s="2262"/>
      <c r="F21" s="2262"/>
      <c r="G21" s="2262"/>
      <c r="H21" s="2262"/>
      <c r="I21" s="2262"/>
      <c r="J21" s="2262"/>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
      <c r="A22" s="2302" t="s">
        <v>2019</v>
      </c>
      <c r="B22" s="111">
        <f>B19+B20</f>
        <v>2.5</v>
      </c>
      <c r="C22" s="2262"/>
      <c r="D22" s="2263"/>
      <c r="E22" s="2262"/>
      <c r="F22" s="2262"/>
      <c r="G22" s="2262"/>
      <c r="H22" s="2262"/>
      <c r="I22" s="2262"/>
      <c r="J22" s="2262"/>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
      <c r="A23" s="2303" t="s">
        <v>2020</v>
      </c>
      <c r="B23" s="111">
        <f>B19+B21</f>
        <v>0.54</v>
      </c>
      <c r="C23" s="2262"/>
      <c r="D23" s="2263"/>
      <c r="E23" s="2262"/>
      <c r="F23" s="2262"/>
      <c r="G23" s="2262"/>
      <c r="H23" s="2262"/>
      <c r="I23" s="2262"/>
      <c r="J23" s="2262"/>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4.5" thickBot="1">
      <c r="A24" s="2304" t="s">
        <v>2021</v>
      </c>
      <c r="B24" s="112">
        <f>B20-B21</f>
        <v>1.96</v>
      </c>
      <c r="C24" s="2262"/>
      <c r="D24" s="2263"/>
      <c r="E24" s="2262"/>
      <c r="F24" s="2262"/>
      <c r="G24" s="2262"/>
      <c r="H24" s="2262"/>
      <c r="I24" s="2262"/>
      <c r="J24" s="2262"/>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5" thickBot="1">
      <c r="A25" s="2023"/>
      <c r="B25" s="2265"/>
      <c r="C25" s="2262"/>
      <c r="D25" s="2263"/>
      <c r="E25" s="2262"/>
      <c r="F25" s="2262"/>
      <c r="G25" s="2262"/>
      <c r="H25" s="2262"/>
      <c r="I25" s="2262"/>
      <c r="J25" s="2262"/>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4.5" thickBot="1">
      <c r="A26" s="2261" t="s">
        <v>2022</v>
      </c>
      <c r="B26" s="2305" t="s">
        <v>2023</v>
      </c>
      <c r="C26" s="2306" t="s">
        <v>2024</v>
      </c>
      <c r="D26" s="2263"/>
      <c r="E26" s="2262"/>
      <c r="F26" s="2262"/>
      <c r="G26" s="2262"/>
      <c r="H26" s="2262"/>
      <c r="I26" s="2262"/>
      <c r="J26" s="2262"/>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09" customFormat="1" ht="28.5">
      <c r="A27" s="2307" t="s">
        <v>2025</v>
      </c>
      <c r="B27" s="113">
        <v>160</v>
      </c>
      <c r="C27" s="1759" t="s">
        <v>2026</v>
      </c>
      <c r="D27" s="2308"/>
      <c r="E27" s="1422"/>
      <c r="F27" s="1422"/>
      <c r="G27" s="2262"/>
      <c r="H27" s="2262"/>
      <c r="I27" s="2262"/>
      <c r="J27" s="2262"/>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09" customFormat="1" ht="28.5">
      <c r="A28" s="2310" t="s">
        <v>2027</v>
      </c>
      <c r="B28" s="116">
        <v>200</v>
      </c>
      <c r="C28" s="2311"/>
      <c r="D28" s="2308"/>
      <c r="E28" s="1422"/>
      <c r="F28" s="1422"/>
      <c r="G28" s="2262"/>
      <c r="H28" s="2262"/>
      <c r="I28" s="2262"/>
      <c r="J28" s="2262"/>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09" customFormat="1" ht="29" thickBot="1">
      <c r="A29" s="2312" t="s">
        <v>2028</v>
      </c>
      <c r="B29" s="2988">
        <f ca="1">成本法!C9+成本法!C10</f>
        <v>3797</v>
      </c>
      <c r="C29" s="1759" t="s">
        <v>2029</v>
      </c>
      <c r="D29" s="2308"/>
      <c r="E29" s="1422"/>
      <c r="F29" s="1422"/>
      <c r="G29" s="2262"/>
      <c r="H29" s="2262"/>
      <c r="I29" s="2262"/>
      <c r="J29" s="2262"/>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09" customFormat="1" ht="28">
      <c r="A30" s="2313" t="s">
        <v>2030</v>
      </c>
      <c r="B30" s="719">
        <v>200</v>
      </c>
      <c r="C30" s="2311"/>
      <c r="D30" s="2308"/>
      <c r="E30" s="1422"/>
      <c r="F30" s="1422"/>
      <c r="G30" s="2262"/>
      <c r="H30" s="2262"/>
      <c r="I30" s="2262"/>
      <c r="J30" s="2262"/>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09" customFormat="1" ht="28">
      <c r="A31" s="2310" t="s">
        <v>2031</v>
      </c>
      <c r="B31" s="117">
        <f>B30-B32</f>
        <v>200</v>
      </c>
      <c r="C31" s="1759"/>
      <c r="D31" s="2308"/>
      <c r="E31" s="1422"/>
      <c r="F31" s="1422"/>
      <c r="G31" s="2262"/>
      <c r="H31" s="2262"/>
      <c r="I31" s="2262"/>
      <c r="J31" s="2262"/>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09" customFormat="1" ht="28.5" thickBot="1">
      <c r="A32" s="2314" t="s">
        <v>2032</v>
      </c>
      <c r="B32" s="720">
        <v>0</v>
      </c>
      <c r="C32" s="2311"/>
      <c r="D32" s="2263"/>
      <c r="E32" s="2262"/>
      <c r="F32" s="2262"/>
      <c r="G32" s="2262"/>
      <c r="H32" s="2262"/>
      <c r="I32" s="2262"/>
      <c r="J32" s="2262"/>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09" customFormat="1" ht="14">
      <c r="A33" s="2307" t="s">
        <v>2033</v>
      </c>
      <c r="B33" s="721">
        <v>0.03</v>
      </c>
      <c r="C33" s="1758" t="s">
        <v>2034</v>
      </c>
      <c r="D33" s="2263"/>
      <c r="E33" s="2262"/>
      <c r="F33" s="2262"/>
      <c r="G33" s="2262"/>
      <c r="H33" s="2262"/>
      <c r="I33" s="2262"/>
      <c r="J33" s="2262"/>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09" customFormat="1" ht="14">
      <c r="A34" s="2310" t="s">
        <v>2035</v>
      </c>
      <c r="B34" s="118">
        <v>0.03</v>
      </c>
      <c r="C34" s="1758" t="s">
        <v>2036</v>
      </c>
      <c r="D34" s="2263" t="s">
        <v>2037</v>
      </c>
      <c r="E34" s="727"/>
      <c r="F34" s="2262"/>
      <c r="G34" s="2262"/>
      <c r="H34" s="2262"/>
      <c r="I34" s="2262"/>
      <c r="J34" s="2262"/>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09" customFormat="1" ht="14">
      <c r="A35" s="2310" t="s">
        <v>2038</v>
      </c>
      <c r="B35" s="116">
        <v>200</v>
      </c>
      <c r="C35" s="1758" t="s">
        <v>2039</v>
      </c>
      <c r="D35" s="2308"/>
      <c r="E35" s="1422"/>
      <c r="F35" s="1422"/>
      <c r="G35" s="2262"/>
      <c r="H35" s="2262"/>
      <c r="I35" s="2262"/>
      <c r="J35" s="2262"/>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4.5" thickBot="1">
      <c r="A36" s="2312" t="s">
        <v>2040</v>
      </c>
      <c r="B36" s="119">
        <v>1.4999999999999999E-2</v>
      </c>
      <c r="C36" s="1758" t="s">
        <v>2041</v>
      </c>
      <c r="D36" s="2263"/>
      <c r="E36" s="2262"/>
      <c r="F36" s="2262"/>
      <c r="G36" s="2262"/>
      <c r="H36" s="2262"/>
      <c r="I36" s="2262"/>
      <c r="J36" s="2262"/>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
      <c r="A37" s="2313" t="s">
        <v>2042</v>
      </c>
      <c r="B37" s="120">
        <v>0.02</v>
      </c>
      <c r="C37" s="1758" t="s">
        <v>2043</v>
      </c>
      <c r="D37" s="2263"/>
      <c r="E37" s="2262"/>
      <c r="F37" s="2262"/>
      <c r="G37" s="2262"/>
      <c r="H37" s="2262"/>
      <c r="I37" s="2262"/>
      <c r="J37" s="2262"/>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
      <c r="A38" s="2310" t="s">
        <v>2044</v>
      </c>
      <c r="B38" s="118">
        <v>0.02</v>
      </c>
      <c r="C38" s="1758" t="s">
        <v>2043</v>
      </c>
      <c r="D38" s="2263"/>
      <c r="E38" s="2262"/>
      <c r="F38" s="2262"/>
      <c r="G38" s="2262"/>
      <c r="H38" s="2262"/>
      <c r="I38" s="2262"/>
      <c r="J38" s="2262"/>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
      <c r="A39" s="2314" t="s">
        <v>2045</v>
      </c>
      <c r="B39" s="357">
        <f ca="1">存贷款利率!I1</f>
        <v>1.4999999999999999E-2</v>
      </c>
      <c r="C39" s="1758"/>
      <c r="D39" s="2263"/>
      <c r="E39" s="2262"/>
      <c r="F39" s="2262"/>
      <c r="G39" s="2262"/>
      <c r="H39" s="2262"/>
      <c r="I39" s="2262"/>
      <c r="J39" s="2262"/>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4.5" thickBot="1">
      <c r="A40" s="2314" t="s">
        <v>2046</v>
      </c>
      <c r="B40" s="1295">
        <f ca="1">存贷款利率!G1</f>
        <v>4.7500000000000001E-2</v>
      </c>
      <c r="C40" s="1758" t="s">
        <v>2047</v>
      </c>
      <c r="D40" s="1576"/>
      <c r="E40" s="2263"/>
      <c r="F40" s="2262"/>
      <c r="G40" s="2262"/>
      <c r="H40" s="2262"/>
      <c r="I40" s="2262"/>
      <c r="J40" s="2262"/>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5">
      <c r="A41" s="2307" t="s">
        <v>2048</v>
      </c>
      <c r="B41" s="121">
        <f>B42+B43</f>
        <v>5.5000000000000007E-2</v>
      </c>
      <c r="C41" s="1759"/>
      <c r="D41" s="1576"/>
      <c r="E41" s="2263"/>
      <c r="F41" s="2262"/>
      <c r="G41" s="2262"/>
      <c r="H41" s="2262"/>
      <c r="I41" s="2262"/>
      <c r="J41" s="2262"/>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
      <c r="A42" s="2315" t="s">
        <v>2049</v>
      </c>
      <c r="B42" s="122">
        <v>0.05</v>
      </c>
      <c r="C42" s="2316">
        <f>IF(B2&lt;DATE(2016,5,1),0,B42)</f>
        <v>0.05</v>
      </c>
      <c r="D42" s="2263"/>
      <c r="E42" s="2262"/>
      <c r="F42" s="2262"/>
      <c r="G42" s="2262"/>
      <c r="H42" s="2262"/>
      <c r="I42" s="2262"/>
      <c r="J42" s="2262"/>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
      <c r="A43" s="2315" t="s">
        <v>2050</v>
      </c>
      <c r="B43" s="123">
        <f>B42*(B44+B45+B46)+B47</f>
        <v>5.000000000000001E-3</v>
      </c>
      <c r="C43" s="1759"/>
      <c r="D43" s="2263"/>
      <c r="E43" s="2262"/>
      <c r="F43" s="2262"/>
      <c r="G43" s="2262"/>
      <c r="H43" s="2262"/>
      <c r="I43" s="2262"/>
      <c r="J43" s="2262"/>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
      <c r="A44" s="2317" t="s">
        <v>2051</v>
      </c>
      <c r="B44" s="3015">
        <v>0.05</v>
      </c>
      <c r="C44" s="1758" t="s">
        <v>2052</v>
      </c>
      <c r="D44" s="2263"/>
      <c r="E44" s="2262"/>
      <c r="F44" s="2262"/>
      <c r="G44" s="2262"/>
      <c r="H44" s="2262"/>
      <c r="I44" s="2262"/>
      <c r="J44" s="2262"/>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
      <c r="A45" s="2317" t="s">
        <v>2053</v>
      </c>
      <c r="B45" s="122">
        <v>0.03</v>
      </c>
      <c r="C45" s="1759" t="s">
        <v>2054</v>
      </c>
      <c r="D45" s="2263"/>
      <c r="E45" s="2262"/>
      <c r="F45" s="2262"/>
      <c r="G45" s="2262"/>
      <c r="H45" s="2262"/>
      <c r="I45" s="2262"/>
      <c r="J45" s="2262"/>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
      <c r="A46" s="2317" t="s">
        <v>2055</v>
      </c>
      <c r="B46" s="122">
        <v>0.02</v>
      </c>
      <c r="C46" s="1759" t="s">
        <v>2056</v>
      </c>
      <c r="D46" s="2263"/>
      <c r="E46" s="2262"/>
      <c r="F46" s="2262"/>
      <c r="G46" s="2262"/>
      <c r="H46" s="2262"/>
      <c r="I46" s="2262"/>
      <c r="J46" s="2262"/>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4.5" thickBot="1">
      <c r="A47" s="2318" t="s">
        <v>2057</v>
      </c>
      <c r="B47" s="124">
        <v>0</v>
      </c>
      <c r="C47" s="1759" t="s">
        <v>2058</v>
      </c>
      <c r="D47" s="2263"/>
      <c r="E47" s="2262"/>
      <c r="F47" s="2262"/>
      <c r="G47" s="2262"/>
      <c r="H47" s="2262"/>
      <c r="I47" s="2262"/>
      <c r="J47" s="2262"/>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
      <c r="A48" s="2319" t="s">
        <v>2059</v>
      </c>
      <c r="B48" s="125">
        <v>0.03</v>
      </c>
      <c r="C48" s="1766" t="s">
        <v>2060</v>
      </c>
      <c r="D48" s="2263"/>
      <c r="E48" s="2262"/>
      <c r="F48" s="2262"/>
      <c r="G48" s="2262"/>
      <c r="H48" s="2262"/>
      <c r="I48" s="2262"/>
      <c r="J48" s="2262"/>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4.5" thickBot="1">
      <c r="A49" s="2314" t="s">
        <v>2061</v>
      </c>
      <c r="B49" s="122">
        <v>5.0000000000000001E-4</v>
      </c>
      <c r="C49" s="1766" t="s">
        <v>2062</v>
      </c>
      <c r="D49" s="2263"/>
      <c r="E49" s="2262"/>
      <c r="F49" s="2262"/>
      <c r="G49" s="2262"/>
      <c r="H49" s="2262"/>
      <c r="I49" s="2262"/>
      <c r="J49" s="2262"/>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5">
      <c r="A50" s="2320" t="s">
        <v>2063</v>
      </c>
      <c r="B50" s="126">
        <v>1.2E-2</v>
      </c>
      <c r="C50" s="1422"/>
      <c r="D50" s="2263"/>
      <c r="E50" s="2262"/>
      <c r="F50" s="2262"/>
      <c r="G50" s="2262"/>
      <c r="H50" s="2262"/>
      <c r="I50" s="2262"/>
      <c r="J50" s="2262"/>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2" t="s">
        <v>2064</v>
      </c>
      <c r="B51" s="127">
        <v>0.12</v>
      </c>
      <c r="C51" s="1422"/>
      <c r="D51" s="2263"/>
      <c r="E51" s="2262"/>
      <c r="F51" s="2262"/>
      <c r="G51" s="2262"/>
      <c r="H51" s="2262"/>
      <c r="I51" s="2262"/>
      <c r="J51" s="2262"/>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
      <c r="A52" s="2320" t="s">
        <v>2065</v>
      </c>
      <c r="B52" s="128">
        <f>SUMIF(A54:A63,B53,B54:B63)</f>
        <v>1.5</v>
      </c>
      <c r="C52" s="1422"/>
      <c r="D52" s="2263"/>
      <c r="E52" s="2262"/>
      <c r="F52" s="2262"/>
      <c r="G52" s="2262"/>
      <c r="H52" s="2262"/>
      <c r="I52" s="2262"/>
      <c r="J52" s="2262"/>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
      <c r="A53" s="2310" t="s">
        <v>2066</v>
      </c>
      <c r="B53" s="2321" t="s">
        <v>56</v>
      </c>
      <c r="C53" s="1422" t="s">
        <v>2067</v>
      </c>
      <c r="D53" s="2322" t="s">
        <v>2068</v>
      </c>
      <c r="E53" s="2262"/>
      <c r="F53" s="2262"/>
      <c r="G53" s="2262"/>
      <c r="H53" s="2262"/>
      <c r="I53" s="2262"/>
      <c r="J53" s="2262"/>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
      <c r="A54" s="2323" t="s">
        <v>2069</v>
      </c>
      <c r="B54" s="81">
        <f>C54</f>
        <v>30</v>
      </c>
      <c r="C54" s="1422">
        <v>30</v>
      </c>
      <c r="D54" s="2263"/>
      <c r="E54" s="2262"/>
      <c r="F54" s="2262"/>
      <c r="G54" s="2262"/>
      <c r="H54" s="2262"/>
      <c r="I54" s="2262"/>
      <c r="J54" s="2262"/>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
      <c r="A55" s="2323" t="s">
        <v>2070</v>
      </c>
      <c r="B55" s="81">
        <f t="shared" ref="B55:B59" si="12">C55</f>
        <v>24</v>
      </c>
      <c r="C55" s="1422">
        <v>24</v>
      </c>
      <c r="D55" s="2263"/>
      <c r="E55" s="2262"/>
      <c r="F55" s="2262"/>
      <c r="G55" s="2262"/>
      <c r="H55" s="2262"/>
      <c r="I55" s="2324"/>
      <c r="J55" s="2262"/>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
      <c r="A56" s="2323" t="s">
        <v>2071</v>
      </c>
      <c r="B56" s="81">
        <f t="shared" si="12"/>
        <v>18</v>
      </c>
      <c r="C56" s="1422">
        <v>18</v>
      </c>
      <c r="D56" s="2263"/>
      <c r="E56" s="2262"/>
      <c r="F56" s="2262"/>
      <c r="G56" s="2262"/>
      <c r="H56" s="2262"/>
      <c r="I56" s="2262"/>
      <c r="J56" s="2262"/>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
      <c r="A57" s="2323" t="s">
        <v>2072</v>
      </c>
      <c r="B57" s="81">
        <f t="shared" si="12"/>
        <v>12</v>
      </c>
      <c r="C57" s="1422">
        <v>12</v>
      </c>
      <c r="D57" s="2263"/>
      <c r="E57" s="2262"/>
      <c r="F57" s="2262"/>
      <c r="G57" s="2262"/>
      <c r="H57" s="2262"/>
      <c r="I57" s="2262"/>
      <c r="J57" s="2262"/>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
      <c r="A58" s="2323" t="s">
        <v>2073</v>
      </c>
      <c r="B58" s="81">
        <f t="shared" si="12"/>
        <v>3</v>
      </c>
      <c r="C58" s="1422">
        <v>3</v>
      </c>
      <c r="D58" s="2263"/>
      <c r="E58" s="2262"/>
      <c r="F58" s="2262"/>
      <c r="G58" s="2262"/>
      <c r="H58" s="2262"/>
      <c r="I58" s="2262"/>
      <c r="J58" s="2262"/>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
      <c r="A59" s="2323" t="s">
        <v>2074</v>
      </c>
      <c r="B59" s="81">
        <f t="shared" si="12"/>
        <v>1.5</v>
      </c>
      <c r="C59" s="1422">
        <v>1.5</v>
      </c>
      <c r="D59" s="2263"/>
      <c r="E59" s="2262"/>
      <c r="F59" s="2262"/>
      <c r="G59" s="2262"/>
      <c r="H59" s="2262"/>
      <c r="I59" s="2262"/>
      <c r="J59" s="2262"/>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
      <c r="A60" s="2323" t="s">
        <v>2075</v>
      </c>
      <c r="B60" s="81"/>
      <c r="C60" s="2262"/>
      <c r="D60" s="2263"/>
      <c r="E60" s="2262"/>
      <c r="F60" s="2262"/>
      <c r="G60" s="2262"/>
      <c r="H60" s="2262"/>
      <c r="I60" s="2262"/>
      <c r="J60" s="2262"/>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
      <c r="A61" s="2323" t="s">
        <v>2076</v>
      </c>
      <c r="B61" s="81"/>
      <c r="C61" s="2262"/>
      <c r="D61" s="2263"/>
      <c r="E61" s="2262"/>
      <c r="F61" s="2262"/>
      <c r="G61" s="2262"/>
      <c r="H61" s="2262"/>
      <c r="I61" s="2262"/>
      <c r="J61" s="2262"/>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
      <c r="A62" s="2323" t="s">
        <v>2077</v>
      </c>
      <c r="B62" s="81"/>
      <c r="C62" s="2262"/>
      <c r="D62" s="2263"/>
      <c r="E62" s="2262"/>
      <c r="F62" s="2262"/>
      <c r="G62" s="2262"/>
      <c r="H62" s="2262"/>
      <c r="I62" s="2262"/>
      <c r="J62" s="2262"/>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4.5" thickBot="1">
      <c r="A63" s="2325" t="s">
        <v>2078</v>
      </c>
      <c r="B63" s="129"/>
      <c r="C63" s="2262"/>
      <c r="D63" s="2263"/>
      <c r="E63" s="2262"/>
      <c r="F63" s="2262"/>
      <c r="G63" s="2262"/>
      <c r="H63" s="2262"/>
      <c r="I63" s="2262"/>
      <c r="J63" s="2262"/>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6"/>
      <c r="D64" s="2327"/>
      <c r="K64" s="793"/>
      <c r="L64" s="793"/>
    </row>
    <row r="65" spans="1:12" s="959" customFormat="1">
      <c r="A65" s="2326"/>
      <c r="D65" s="2327"/>
      <c r="K65" s="793"/>
      <c r="L65" s="793"/>
    </row>
    <row r="66" spans="1:12" s="959" customFormat="1">
      <c r="A66" s="2326"/>
      <c r="D66" s="2327"/>
      <c r="K66" s="793"/>
      <c r="L66" s="793"/>
    </row>
    <row r="67" spans="1:12" s="959" customFormat="1">
      <c r="A67" s="2326"/>
      <c r="D67" s="2327"/>
      <c r="K67" s="793"/>
      <c r="L67" s="793"/>
    </row>
    <row r="68" spans="1:12" s="959" customFormat="1">
      <c r="A68" s="2326"/>
      <c r="D68" s="2327"/>
      <c r="K68" s="793"/>
      <c r="L68" s="793"/>
    </row>
    <row r="69" spans="1:12" s="959" customFormat="1">
      <c r="A69" s="2326"/>
      <c r="D69" s="2327"/>
      <c r="K69" s="793"/>
      <c r="L69" s="793"/>
    </row>
    <row r="70" spans="1:12" s="959" customFormat="1">
      <c r="A70" s="2326"/>
      <c r="D70" s="2327"/>
      <c r="K70" s="793"/>
      <c r="L70" s="793"/>
    </row>
    <row r="71" spans="1:12" s="959" customFormat="1">
      <c r="A71" s="2326"/>
      <c r="D71" s="2327"/>
      <c r="K71" s="793"/>
      <c r="L71" s="793"/>
    </row>
    <row r="72" spans="1:12" s="959" customFormat="1">
      <c r="A72" s="2326"/>
      <c r="D72" s="2327"/>
      <c r="K72" s="793"/>
      <c r="L72" s="793"/>
    </row>
    <row r="73" spans="1:12" s="959" customFormat="1">
      <c r="A73" s="2326"/>
      <c r="D73" s="2327"/>
      <c r="K73" s="793"/>
      <c r="L73" s="793"/>
    </row>
    <row r="74" spans="1:12" s="959" customFormat="1">
      <c r="A74" s="2326"/>
      <c r="D74" s="2327"/>
      <c r="K74" s="793"/>
      <c r="L74" s="793"/>
    </row>
    <row r="75" spans="1:12" s="959" customFormat="1">
      <c r="A75" s="2326"/>
      <c r="D75" s="2327"/>
      <c r="K75" s="793"/>
      <c r="L75" s="793"/>
    </row>
    <row r="76" spans="1:12" s="959" customFormat="1">
      <c r="A76" s="2326"/>
      <c r="D76" s="2327"/>
      <c r="K76" s="793"/>
      <c r="L76" s="793"/>
    </row>
    <row r="77" spans="1:12" s="959" customFormat="1">
      <c r="A77" s="2326"/>
      <c r="D77" s="2327"/>
      <c r="K77" s="793"/>
      <c r="L77" s="793"/>
    </row>
    <row r="78" spans="1:12" s="959" customFormat="1">
      <c r="A78" s="2326"/>
      <c r="D78" s="2327"/>
      <c r="K78" s="793"/>
      <c r="L78" s="793"/>
    </row>
    <row r="79" spans="1:12" s="959" customFormat="1">
      <c r="A79" s="2326"/>
      <c r="D79" s="2327"/>
      <c r="K79" s="793"/>
      <c r="L79" s="793"/>
    </row>
    <row r="80" spans="1:12" s="959" customFormat="1">
      <c r="A80" s="2326"/>
      <c r="D80" s="2327"/>
      <c r="K80" s="793"/>
      <c r="L80" s="793"/>
    </row>
    <row r="81" spans="1:12" s="959" customFormat="1">
      <c r="A81" s="2326"/>
      <c r="D81" s="2327"/>
      <c r="K81" s="793"/>
      <c r="L81" s="793"/>
    </row>
    <row r="82" spans="1:12" s="959" customFormat="1">
      <c r="A82" s="2326"/>
      <c r="D82" s="2327"/>
      <c r="K82" s="793"/>
      <c r="L82" s="793"/>
    </row>
    <row r="83" spans="1:12" s="959" customFormat="1">
      <c r="A83" s="2326"/>
      <c r="D83" s="2327"/>
      <c r="K83" s="793"/>
      <c r="L83" s="793"/>
    </row>
    <row r="84" spans="1:12" s="959" customFormat="1">
      <c r="A84" s="2326"/>
      <c r="D84" s="2327"/>
      <c r="K84" s="793"/>
      <c r="L84" s="793"/>
    </row>
    <row r="85" spans="1:12" s="959" customFormat="1">
      <c r="A85" s="2326"/>
      <c r="D85" s="2327"/>
      <c r="K85" s="793"/>
      <c r="L85" s="793"/>
    </row>
    <row r="86" spans="1:12" s="959" customFormat="1">
      <c r="A86" s="2326"/>
      <c r="D86" s="2327"/>
      <c r="K86" s="793"/>
      <c r="L86" s="793"/>
    </row>
    <row r="87" spans="1:12" s="959" customFormat="1">
      <c r="A87" s="2326"/>
      <c r="D87" s="2327"/>
      <c r="K87" s="793"/>
      <c r="L87" s="793"/>
    </row>
    <row r="88" spans="1:12" s="959" customFormat="1">
      <c r="A88" s="2326"/>
      <c r="D88" s="2327"/>
      <c r="K88" s="793"/>
      <c r="L88" s="793"/>
    </row>
    <row r="89" spans="1:12" s="959" customFormat="1">
      <c r="A89" s="2326"/>
      <c r="D89" s="2327"/>
      <c r="K89" s="793"/>
      <c r="L89" s="793"/>
    </row>
    <row r="90" spans="1:12" s="959" customFormat="1">
      <c r="A90" s="2326"/>
      <c r="D90" s="2327"/>
      <c r="K90" s="793"/>
      <c r="L90" s="793"/>
    </row>
    <row r="91" spans="1:12" s="959" customFormat="1">
      <c r="A91" s="2326"/>
      <c r="D91" s="2327"/>
      <c r="K91" s="793"/>
      <c r="L91" s="793"/>
    </row>
    <row r="92" spans="1:12" s="959" customFormat="1">
      <c r="A92" s="2326"/>
      <c r="D92" s="2327"/>
      <c r="K92" s="793"/>
      <c r="L92" s="793"/>
    </row>
    <row r="93" spans="1:12" s="959" customFormat="1">
      <c r="A93" s="2326"/>
      <c r="D93" s="2327"/>
      <c r="K93" s="793"/>
      <c r="L93" s="793"/>
    </row>
    <row r="94" spans="1:12" s="959" customFormat="1">
      <c r="A94" s="2326"/>
      <c r="D94" s="2327"/>
      <c r="K94" s="793"/>
      <c r="L94" s="793"/>
    </row>
    <row r="95" spans="1:12" s="959" customFormat="1">
      <c r="A95" s="2326"/>
      <c r="D95" s="2327"/>
      <c r="K95" s="793"/>
      <c r="L95" s="793"/>
    </row>
    <row r="96" spans="1:12" s="959" customFormat="1">
      <c r="A96" s="2326"/>
      <c r="D96" s="2327"/>
      <c r="K96" s="793"/>
      <c r="L96" s="793"/>
    </row>
    <row r="97" spans="1:12" s="959" customFormat="1">
      <c r="A97" s="2326"/>
      <c r="D97" s="2327"/>
      <c r="K97" s="793"/>
      <c r="L97" s="793"/>
    </row>
    <row r="98" spans="1:12" s="959" customFormat="1">
      <c r="A98" s="2326"/>
      <c r="D98" s="2327"/>
      <c r="K98" s="793"/>
      <c r="L98" s="793"/>
    </row>
    <row r="99" spans="1:12" s="959" customFormat="1">
      <c r="A99" s="2326"/>
      <c r="D99" s="2327"/>
      <c r="K99" s="793"/>
      <c r="L99" s="793"/>
    </row>
    <row r="100" spans="1:12" s="959" customFormat="1">
      <c r="A100" s="2326"/>
      <c r="D100" s="2327"/>
      <c r="K100" s="793"/>
      <c r="L100" s="793"/>
    </row>
    <row r="101" spans="1:12" s="959" customFormat="1">
      <c r="A101" s="2326"/>
      <c r="D101" s="2327"/>
      <c r="K101" s="793"/>
      <c r="L101" s="793"/>
    </row>
    <row r="102" spans="1:12" s="959" customFormat="1">
      <c r="A102" s="2326"/>
      <c r="D102" s="2327"/>
      <c r="K102" s="793"/>
      <c r="L102" s="793"/>
    </row>
    <row r="103" spans="1:12" s="959" customFormat="1">
      <c r="A103" s="2326"/>
      <c r="D103" s="2327"/>
      <c r="K103" s="793"/>
      <c r="L103" s="793"/>
    </row>
    <row r="104" spans="1:12" s="959" customFormat="1">
      <c r="A104" s="2326"/>
      <c r="D104" s="2327"/>
      <c r="K104" s="793"/>
      <c r="L104" s="793"/>
    </row>
    <row r="105" spans="1:12" s="959" customFormat="1">
      <c r="A105" s="2326"/>
      <c r="D105" s="2327"/>
      <c r="K105" s="793"/>
      <c r="L105" s="793"/>
    </row>
    <row r="106" spans="1:12" s="959" customFormat="1">
      <c r="A106" s="2326"/>
      <c r="D106" s="2327"/>
      <c r="K106" s="793"/>
      <c r="L106" s="793"/>
    </row>
    <row r="107" spans="1:12" s="959" customFormat="1">
      <c r="A107" s="2326"/>
      <c r="D107" s="2327"/>
      <c r="K107" s="793"/>
      <c r="L107" s="793"/>
    </row>
    <row r="108" spans="1:12" s="959" customFormat="1">
      <c r="A108" s="2326"/>
      <c r="D108" s="2327"/>
      <c r="K108" s="793"/>
      <c r="L108" s="793"/>
    </row>
    <row r="109" spans="1:12" s="959" customFormat="1">
      <c r="A109" s="2326"/>
      <c r="D109" s="2327"/>
      <c r="K109" s="793"/>
      <c r="L109" s="793"/>
    </row>
    <row r="110" spans="1:12" s="959" customFormat="1">
      <c r="A110" s="2326"/>
      <c r="D110" s="2327"/>
      <c r="K110" s="793"/>
      <c r="L110" s="793"/>
    </row>
    <row r="111" spans="1:12" s="959" customFormat="1">
      <c r="A111" s="2326"/>
      <c r="D111" s="2327"/>
      <c r="K111" s="793"/>
      <c r="L111" s="793"/>
    </row>
    <row r="112" spans="1:12" s="959" customFormat="1">
      <c r="A112" s="2326"/>
      <c r="D112" s="2327"/>
      <c r="K112" s="793"/>
      <c r="L112" s="793"/>
    </row>
    <row r="113" spans="1:12" s="959" customFormat="1">
      <c r="A113" s="2326"/>
      <c r="D113" s="2327"/>
      <c r="K113" s="793"/>
      <c r="L113" s="793"/>
    </row>
    <row r="114" spans="1:12" s="959" customFormat="1">
      <c r="A114" s="2326"/>
      <c r="D114" s="2327"/>
      <c r="K114" s="793"/>
      <c r="L114" s="793"/>
    </row>
    <row r="115" spans="1:12" s="959" customFormat="1">
      <c r="A115" s="2326"/>
      <c r="D115" s="2327"/>
      <c r="K115" s="793"/>
      <c r="L115" s="793"/>
    </row>
    <row r="116" spans="1:12" s="959" customFormat="1">
      <c r="A116" s="2326"/>
      <c r="D116" s="2327"/>
      <c r="K116" s="793"/>
      <c r="L116" s="793"/>
    </row>
    <row r="117" spans="1:12" s="959" customFormat="1">
      <c r="A117" s="2326"/>
      <c r="D117" s="2327"/>
      <c r="K117" s="793"/>
      <c r="L117" s="793"/>
    </row>
    <row r="118" spans="1:12" s="959" customFormat="1">
      <c r="A118" s="2326"/>
      <c r="D118" s="2327"/>
      <c r="K118" s="793"/>
      <c r="L118" s="793"/>
    </row>
    <row r="119" spans="1:12" s="959" customFormat="1">
      <c r="A119" s="2326"/>
      <c r="D119" s="2327"/>
      <c r="K119" s="793"/>
      <c r="L119" s="793"/>
    </row>
    <row r="120" spans="1:12" s="959" customFormat="1">
      <c r="A120" s="2326"/>
      <c r="D120" s="2327"/>
      <c r="K120" s="793"/>
      <c r="L120" s="793"/>
    </row>
    <row r="121" spans="1:12" s="959" customFormat="1">
      <c r="A121" s="2326"/>
      <c r="D121" s="2327"/>
      <c r="K121" s="793"/>
      <c r="L121" s="793"/>
    </row>
    <row r="122" spans="1:12" s="959" customFormat="1">
      <c r="A122" s="2326"/>
      <c r="D122" s="2327"/>
      <c r="K122" s="793"/>
      <c r="L122" s="793"/>
    </row>
    <row r="123" spans="1:12" s="959" customFormat="1">
      <c r="A123" s="2326"/>
      <c r="D123" s="2327"/>
      <c r="K123" s="793"/>
      <c r="L123" s="793"/>
    </row>
    <row r="124" spans="1:12" s="959" customFormat="1">
      <c r="A124" s="2326"/>
      <c r="D124" s="2327"/>
      <c r="K124" s="793"/>
      <c r="L124" s="793"/>
    </row>
    <row r="125" spans="1:12" s="959" customFormat="1">
      <c r="A125" s="2326"/>
      <c r="D125" s="2327"/>
      <c r="K125" s="793"/>
      <c r="L125" s="793"/>
    </row>
    <row r="126" spans="1:12" s="959" customFormat="1">
      <c r="A126" s="2326"/>
      <c r="D126" s="2327"/>
      <c r="K126" s="793"/>
      <c r="L126" s="793"/>
    </row>
    <row r="127" spans="1:12" s="959" customFormat="1">
      <c r="A127" s="2326"/>
      <c r="D127" s="2327"/>
      <c r="K127" s="793"/>
      <c r="L127" s="793"/>
    </row>
    <row r="128" spans="1:12" s="959" customFormat="1">
      <c r="A128" s="2326"/>
      <c r="D128" s="2327"/>
      <c r="K128" s="793"/>
      <c r="L128" s="793"/>
    </row>
    <row r="129" spans="1:12" s="959" customFormat="1">
      <c r="A129" s="2326"/>
      <c r="D129" s="2327"/>
      <c r="K129" s="793"/>
      <c r="L129" s="793"/>
    </row>
    <row r="130" spans="1:12" s="959" customFormat="1">
      <c r="A130" s="2326"/>
      <c r="D130" s="2327"/>
      <c r="K130" s="793"/>
      <c r="L130" s="793"/>
    </row>
    <row r="131" spans="1:12" s="959" customFormat="1">
      <c r="A131" s="2326"/>
      <c r="D131" s="2327"/>
      <c r="K131" s="793"/>
      <c r="L131" s="793"/>
    </row>
    <row r="132" spans="1:12" s="959" customFormat="1">
      <c r="A132" s="2326"/>
      <c r="D132" s="2327"/>
      <c r="K132" s="793"/>
      <c r="L132" s="793"/>
    </row>
    <row r="133" spans="1:12" s="959" customFormat="1">
      <c r="A133" s="2326"/>
      <c r="D133" s="2327"/>
      <c r="K133" s="793"/>
      <c r="L133" s="793"/>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53" customWidth="1"/>
    <col min="2" max="2" width="24.453125" style="2401" customWidth="1"/>
    <col min="3" max="3" width="24.453125" style="2400" customWidth="1"/>
    <col min="4" max="4" width="2.6328125" style="2400" customWidth="1"/>
    <col min="5" max="5" width="5.90625" style="2400" customWidth="1"/>
    <col min="6" max="6" width="27" style="2401" customWidth="1"/>
    <col min="7" max="7" width="27" style="2402" customWidth="1"/>
    <col min="8" max="8" width="11.90625" style="2380" customWidth="1"/>
    <col min="9" max="9" width="16.90625" style="2381" customWidth="1"/>
    <col min="10" max="10" width="2.6328125" style="2380" customWidth="1"/>
    <col min="11" max="11" width="11.90625" style="2380" customWidth="1"/>
    <col min="12" max="12" width="16.90625" style="2381" customWidth="1"/>
    <col min="13" max="13" width="2.6328125" style="2380" customWidth="1"/>
    <col min="14" max="14" width="11.90625" style="2380" customWidth="1"/>
    <col min="15" max="15" width="16.90625" style="2381" customWidth="1"/>
    <col min="16" max="16" width="2.6328125" style="2380" customWidth="1"/>
    <col min="17" max="17" width="11.90625" style="2380" customWidth="1"/>
    <col min="18" max="18" width="16.90625" style="2382" customWidth="1"/>
    <col min="19" max="29" width="9" style="2352"/>
    <col min="30" max="16384" width="9" style="2353"/>
  </cols>
  <sheetData>
    <row r="1" spans="1:29" s="2346" customFormat="1" ht="18.5" thickBot="1">
      <c r="A1" s="3132" t="s">
        <v>2079</v>
      </c>
      <c r="B1" s="3133"/>
      <c r="C1" s="3133"/>
      <c r="D1" s="3133"/>
      <c r="E1" s="3133"/>
      <c r="F1" s="3133"/>
      <c r="G1" s="3133"/>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4.5" thickBot="1">
      <c r="A2" s="2347"/>
      <c r="B2" s="2348"/>
      <c r="C2" s="2349" t="s">
        <v>2080</v>
      </c>
      <c r="D2" s="2350"/>
      <c r="E2" s="2351"/>
      <c r="F2" s="2271"/>
      <c r="G2" s="2349" t="s">
        <v>2081</v>
      </c>
      <c r="H2" s="2352"/>
      <c r="I2" s="2352"/>
      <c r="J2" s="2352"/>
      <c r="K2" s="2352"/>
      <c r="L2" s="2352"/>
      <c r="M2" s="2352"/>
      <c r="N2" s="2352"/>
      <c r="O2" s="2352"/>
      <c r="P2" s="2352"/>
      <c r="Q2" s="2352"/>
      <c r="R2" s="2352"/>
    </row>
    <row r="3" spans="1:29" ht="56">
      <c r="A3" s="410" t="s">
        <v>2082</v>
      </c>
      <c r="B3" s="1263" t="s">
        <v>2083</v>
      </c>
      <c r="C3" s="2354" t="s">
        <v>2084</v>
      </c>
      <c r="D3" s="2355"/>
      <c r="E3" s="426" t="s">
        <v>2082</v>
      </c>
      <c r="F3" s="2356" t="s">
        <v>2085</v>
      </c>
      <c r="G3" s="2357" t="s">
        <v>2086</v>
      </c>
      <c r="H3" s="2352"/>
      <c r="I3" s="2352"/>
      <c r="J3" s="2352"/>
      <c r="K3" s="2352"/>
      <c r="L3" s="2352"/>
      <c r="M3" s="2352"/>
      <c r="N3" s="2352"/>
      <c r="O3" s="2352"/>
      <c r="P3" s="2352"/>
      <c r="Q3" s="2352"/>
      <c r="R3" s="2352"/>
    </row>
    <row r="4" spans="1:29" ht="42.5">
      <c r="A4" s="426"/>
      <c r="B4" s="1790" t="s">
        <v>2087</v>
      </c>
      <c r="C4" s="2358" t="s">
        <v>2088</v>
      </c>
      <c r="D4" s="2355"/>
      <c r="E4" s="2359"/>
      <c r="F4" s="40" t="s">
        <v>2089</v>
      </c>
      <c r="G4" s="2360" t="s">
        <v>2090</v>
      </c>
      <c r="H4" s="2352"/>
      <c r="I4" s="2352"/>
      <c r="J4" s="2352"/>
      <c r="K4" s="2352"/>
      <c r="L4" s="2352"/>
      <c r="M4" s="2352"/>
      <c r="N4" s="2352"/>
      <c r="O4" s="2352"/>
      <c r="P4" s="2352"/>
      <c r="Q4" s="2352"/>
      <c r="R4" s="2352"/>
    </row>
    <row r="5" spans="1:29" ht="42.5">
      <c r="A5" s="426"/>
      <c r="B5" s="1790" t="s">
        <v>2091</v>
      </c>
      <c r="C5" s="2358" t="s">
        <v>2092</v>
      </c>
      <c r="D5" s="2355"/>
      <c r="E5" s="2359"/>
      <c r="F5" s="1790" t="s">
        <v>2093</v>
      </c>
      <c r="G5" s="2360" t="s">
        <v>2094</v>
      </c>
      <c r="H5" s="2352"/>
      <c r="I5" s="2352"/>
      <c r="J5" s="2352"/>
      <c r="K5" s="2352"/>
      <c r="L5" s="2352"/>
      <c r="M5" s="2352"/>
      <c r="N5" s="2352"/>
      <c r="O5" s="2352"/>
      <c r="P5" s="2352"/>
      <c r="Q5" s="2352"/>
      <c r="R5" s="2352"/>
    </row>
    <row r="6" spans="1:29" ht="56">
      <c r="A6" s="426"/>
      <c r="B6" s="1790" t="s">
        <v>2095</v>
      </c>
      <c r="C6" s="2360" t="s">
        <v>2090</v>
      </c>
      <c r="D6" s="2355"/>
      <c r="E6" s="2359"/>
      <c r="F6" s="1790" t="s">
        <v>2096</v>
      </c>
      <c r="G6" s="2360" t="s">
        <v>2097</v>
      </c>
      <c r="H6" s="2352"/>
      <c r="I6" s="2352"/>
      <c r="J6" s="2352"/>
      <c r="K6" s="2352"/>
      <c r="L6" s="2352"/>
      <c r="M6" s="2352"/>
      <c r="N6" s="2352"/>
      <c r="O6" s="2352"/>
      <c r="P6" s="2352"/>
      <c r="Q6" s="2352"/>
      <c r="R6" s="2352"/>
    </row>
    <row r="7" spans="1:29" ht="42.5" thickBot="1">
      <c r="A7" s="426"/>
      <c r="B7" s="1790" t="s">
        <v>2093</v>
      </c>
      <c r="C7" s="2360" t="s">
        <v>2094</v>
      </c>
      <c r="D7" s="2361"/>
      <c r="E7" s="2362"/>
      <c r="F7" s="2363" t="s">
        <v>2098</v>
      </c>
      <c r="G7" s="2364" t="s">
        <v>2099</v>
      </c>
      <c r="H7" s="2352"/>
      <c r="I7" s="2352"/>
      <c r="J7" s="2352"/>
      <c r="K7" s="2352"/>
      <c r="L7" s="2352"/>
      <c r="M7" s="2352"/>
      <c r="N7" s="2352"/>
      <c r="O7" s="2352"/>
      <c r="P7" s="2352"/>
      <c r="Q7" s="2352"/>
      <c r="R7" s="2352"/>
    </row>
    <row r="8" spans="1:29" ht="28">
      <c r="A8" s="426"/>
      <c r="B8" s="1790" t="s">
        <v>2096</v>
      </c>
      <c r="C8" s="2360" t="s">
        <v>2097</v>
      </c>
      <c r="D8" s="2361"/>
      <c r="E8" s="2361"/>
      <c r="F8" s="1128"/>
      <c r="G8" s="1128"/>
      <c r="H8" s="2352"/>
      <c r="I8" s="2352"/>
      <c r="J8" s="2352"/>
      <c r="K8" s="2352"/>
      <c r="L8" s="2352"/>
      <c r="M8" s="2352"/>
      <c r="N8" s="2352"/>
      <c r="O8" s="2352"/>
      <c r="P8" s="2352"/>
      <c r="Q8" s="2352"/>
      <c r="R8" s="2352"/>
    </row>
    <row r="9" spans="1:29" ht="42">
      <c r="A9" s="426"/>
      <c r="B9" s="1790" t="s">
        <v>2100</v>
      </c>
      <c r="C9" s="2358" t="s">
        <v>2101</v>
      </c>
      <c r="D9" s="2355"/>
      <c r="E9" s="2361"/>
      <c r="F9" s="1128"/>
      <c r="G9" s="1128"/>
      <c r="H9" s="2352"/>
      <c r="I9" s="2352"/>
      <c r="J9" s="2352"/>
      <c r="K9" s="2352"/>
      <c r="L9" s="2352"/>
      <c r="M9" s="2352"/>
      <c r="N9" s="2352"/>
      <c r="O9" s="2352"/>
      <c r="P9" s="2352"/>
      <c r="Q9" s="2352"/>
      <c r="R9" s="2352"/>
    </row>
    <row r="10" spans="1:29" s="114" customFormat="1" ht="14.5" thickBot="1">
      <c r="A10" s="2365"/>
      <c r="B10" s="2366" t="s">
        <v>2102</v>
      </c>
      <c r="C10" s="2367"/>
      <c r="D10" s="2355"/>
      <c r="E10" s="2355"/>
      <c r="F10" s="1128"/>
      <c r="G10" s="1128"/>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4" customFormat="1">
      <c r="A11" s="2371"/>
      <c r="B11" s="2361"/>
      <c r="C11" s="2355"/>
      <c r="D11" s="2355"/>
      <c r="E11" s="2355"/>
      <c r="F11" s="2361"/>
      <c r="G11" s="1146"/>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46"/>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8.5" thickBot="1">
      <c r="A13" s="2378" t="s">
        <v>2103</v>
      </c>
      <c r="B13" s="2372"/>
      <c r="C13" s="2372"/>
      <c r="D13" s="2379"/>
      <c r="E13" s="2372"/>
      <c r="F13" s="2372"/>
      <c r="G13" s="2372"/>
    </row>
    <row r="14" spans="1:29" ht="14.5" thickBot="1">
      <c r="A14" s="2383"/>
      <c r="B14" s="2384"/>
      <c r="C14" s="2385" t="s">
        <v>2104</v>
      </c>
      <c r="D14" s="2355"/>
      <c r="E14" s="2386"/>
      <c r="F14" s="2386"/>
      <c r="G14" s="2349" t="s">
        <v>2105</v>
      </c>
    </row>
    <row r="15" spans="1:29" ht="56">
      <c r="A15" s="65" t="s">
        <v>2106</v>
      </c>
      <c r="B15" s="1262" t="s">
        <v>2083</v>
      </c>
      <c r="C15" s="2387" t="str">
        <f>C3</f>
        <v>估价对象周边居住用地比例、居住小区规模和社区发展完善程度，综合评价居住社区成熟度一般</v>
      </c>
      <c r="D15" s="2355"/>
      <c r="E15" s="2388" t="s">
        <v>2107</v>
      </c>
      <c r="F15" s="1262" t="s">
        <v>2108</v>
      </c>
      <c r="G15" s="130" t="str">
        <f>G3</f>
        <v>估价对象位于XX开发区，园区建设成熟度XX，产业集聚程度XX</v>
      </c>
    </row>
    <row r="16" spans="1:29" ht="42">
      <c r="A16" s="640"/>
      <c r="B16" s="2389" t="s">
        <v>2087</v>
      </c>
      <c r="C16" s="2390" t="str">
        <f>C4</f>
        <v>估价对象位于XX商圈，周边商业氛围成熟，人流量大，商业繁华度好</v>
      </c>
      <c r="D16" s="2355"/>
      <c r="E16" s="2391"/>
      <c r="F16" s="2392" t="s">
        <v>2089</v>
      </c>
      <c r="G16" s="131" t="str">
        <f>G4</f>
        <v>估价对象周边道路状况、公共交通通达情况、停车便捷程度，综合评价交通便捷度较好</v>
      </c>
    </row>
    <row r="17" spans="1:18" ht="42">
      <c r="A17" s="640"/>
      <c r="B17" s="2389" t="s">
        <v>2091</v>
      </c>
      <c r="C17" s="2390" t="str">
        <f>C5</f>
        <v>估价对象位于XX商圈，周边办公楼项目较多，入驻率高，办公集聚程度较好</v>
      </c>
      <c r="D17" s="2361"/>
      <c r="E17" s="2391"/>
      <c r="F17" s="2392" t="s">
        <v>2109</v>
      </c>
      <c r="G17" s="1564"/>
    </row>
    <row r="18" spans="1:18" ht="56">
      <c r="A18" s="640"/>
      <c r="B18" s="2392" t="s">
        <v>2095</v>
      </c>
      <c r="C18" s="131" t="str">
        <f>C6</f>
        <v>估价对象周边道路状况、公共交通通达情况、停车便捷程度，综合评价交通便捷度较好</v>
      </c>
      <c r="D18" s="2361"/>
      <c r="E18" s="2391"/>
      <c r="F18" s="2392" t="s">
        <v>2098</v>
      </c>
      <c r="G18" s="131" t="str">
        <f>G7</f>
        <v>该园区内是否有污染型企业，绿化情况，卫生条件，整体环境状况判断</v>
      </c>
    </row>
    <row r="19" spans="1:18" ht="28">
      <c r="A19" s="640"/>
      <c r="B19" s="2392" t="s">
        <v>2110</v>
      </c>
      <c r="C19" s="1564"/>
      <c r="D19" s="2355"/>
      <c r="E19" s="2391"/>
      <c r="F19" s="1790" t="s">
        <v>2093</v>
      </c>
      <c r="G19" s="131" t="str">
        <f>G5</f>
        <v>估价对象所在区域公共配套设施齐备情况</v>
      </c>
    </row>
    <row r="20" spans="1:18" ht="42">
      <c r="A20" s="640"/>
      <c r="B20" s="2392" t="s">
        <v>2111</v>
      </c>
      <c r="C20" s="2390" t="str">
        <f>C9</f>
        <v>区域自然环境：；人文环境；综合评价环境状况一般</v>
      </c>
      <c r="D20" s="2361"/>
      <c r="E20" s="2391"/>
      <c r="F20" s="1790" t="s">
        <v>2112</v>
      </c>
      <c r="G20" s="131" t="str">
        <f>G6</f>
        <v>估价对象所在区域基础设施水平</v>
      </c>
    </row>
    <row r="21" spans="1:18" ht="28">
      <c r="A21" s="640"/>
      <c r="B21" s="1790" t="s">
        <v>2093</v>
      </c>
      <c r="C21" s="131" t="str">
        <f>C7</f>
        <v>估价对象所在区域公共配套设施齐备情况</v>
      </c>
      <c r="D21" s="2355"/>
      <c r="E21" s="2391"/>
      <c r="F21" s="2392" t="s">
        <v>2113</v>
      </c>
      <c r="G21" s="2393"/>
    </row>
    <row r="22" spans="1:18" ht="13.5" customHeight="1">
      <c r="A22" s="640"/>
      <c r="B22" s="1790" t="s">
        <v>2096</v>
      </c>
      <c r="C22" s="131" t="str">
        <f>C8</f>
        <v>估价对象所在区域基础设施水平</v>
      </c>
      <c r="D22" s="2355"/>
      <c r="E22" s="2391"/>
      <c r="F22" s="2392" t="s">
        <v>2102</v>
      </c>
      <c r="G22" s="1564"/>
    </row>
    <row r="23" spans="1:18" s="2352" customFormat="1" ht="14.5" thickBot="1">
      <c r="A23" s="640"/>
      <c r="B23" s="2392" t="s">
        <v>2113</v>
      </c>
      <c r="C23" s="2393"/>
      <c r="D23" s="2380"/>
      <c r="E23" s="2394"/>
      <c r="F23" s="2395" t="s">
        <v>2114</v>
      </c>
      <c r="G23" s="2396"/>
      <c r="H23" s="2380"/>
      <c r="I23" s="2381"/>
      <c r="J23" s="2380"/>
      <c r="K23" s="2380"/>
      <c r="L23" s="2381"/>
      <c r="M23" s="2380"/>
      <c r="N23" s="2380"/>
      <c r="O23" s="2381"/>
      <c r="P23" s="2380"/>
      <c r="Q23" s="2380"/>
      <c r="R23" s="2382"/>
    </row>
    <row r="24" spans="1:18" s="2352" customFormat="1" ht="14.5" thickBot="1">
      <c r="A24" s="2397"/>
      <c r="B24" s="2395" t="s">
        <v>2115</v>
      </c>
      <c r="C24" s="132">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J23"/>
  <sheetViews>
    <sheetView workbookViewId="0">
      <selection activeCell="A20" sqref="A20"/>
    </sheetView>
  </sheetViews>
  <sheetFormatPr defaultColWidth="9" defaultRowHeight="14"/>
  <cols>
    <col min="1" max="1" width="23.36328125" style="1733" customWidth="1"/>
    <col min="2" max="9" width="15.90625" style="1733" customWidth="1"/>
    <col min="10" max="16384" width="9" style="1733"/>
  </cols>
  <sheetData>
    <row r="1" spans="1:10" ht="16.5">
      <c r="A1" s="1738" t="s">
        <v>1360</v>
      </c>
      <c r="B1" s="1738">
        <f>SUM(B14:B23)</f>
        <v>212264.80000000002</v>
      </c>
      <c r="C1" s="1737"/>
      <c r="D1" s="1737"/>
      <c r="E1" s="1737"/>
      <c r="F1" s="1737"/>
      <c r="G1" s="1735"/>
    </row>
    <row r="2" spans="1:10" ht="16.5">
      <c r="A2" s="1738" t="s">
        <v>1348</v>
      </c>
      <c r="B2" s="1738">
        <f>SUM(C14:C23)</f>
        <v>104283.06</v>
      </c>
      <c r="C2" s="1737"/>
      <c r="D2" s="1737"/>
      <c r="E2" s="1737"/>
      <c r="F2" s="1737"/>
      <c r="G2" s="1735"/>
    </row>
    <row r="3" spans="1:10" ht="16.5">
      <c r="A3" s="1738" t="s">
        <v>1357</v>
      </c>
      <c r="B3" s="1739">
        <f>项目基本情况!D3</f>
        <v>43903</v>
      </c>
      <c r="C3" s="1737"/>
      <c r="D3" s="1737"/>
      <c r="E3" s="1737"/>
      <c r="F3" s="1737"/>
      <c r="G3" s="1735"/>
    </row>
    <row r="4" spans="1:10" ht="33">
      <c r="A4" s="1738" t="s">
        <v>1356</v>
      </c>
      <c r="B4" s="1738" t="s">
        <v>1355</v>
      </c>
      <c r="C4" s="1738" t="s">
        <v>1354</v>
      </c>
      <c r="D4" s="1738" t="s">
        <v>1353</v>
      </c>
      <c r="E4" s="1737"/>
      <c r="F4" s="1735"/>
      <c r="G4" s="1735"/>
    </row>
    <row r="5" spans="1:10" ht="16.5">
      <c r="A5" s="1738" t="s">
        <v>1352</v>
      </c>
      <c r="B5" s="1738">
        <f ca="1">SUM(D14:D23)</f>
        <v>330898</v>
      </c>
      <c r="C5" s="1738">
        <f ca="1">ROUND(B5*10000/$B$1,0)</f>
        <v>15589</v>
      </c>
      <c r="D5" s="1738">
        <f ca="1">ROUND(B5*10000/$B$2,0)</f>
        <v>31731</v>
      </c>
      <c r="E5" s="1737"/>
      <c r="F5" s="1735"/>
      <c r="G5" s="1735"/>
    </row>
    <row r="6" spans="1:10" ht="16.5">
      <c r="A6" s="1738" t="s">
        <v>1351</v>
      </c>
      <c r="B6" s="1738">
        <f>SUM(G14:G23)</f>
        <v>0</v>
      </c>
      <c r="C6" s="1738">
        <f>ROUND(B6*10000/$B$1,0)</f>
        <v>0</v>
      </c>
      <c r="D6" s="1738">
        <f>ROUND(B6*10000/$B$2,0)</f>
        <v>0</v>
      </c>
      <c r="E6" s="1737"/>
      <c r="F6" s="1735"/>
      <c r="G6" s="1735"/>
    </row>
    <row r="7" spans="1:10" ht="16.5">
      <c r="A7" s="1738" t="s">
        <v>1359</v>
      </c>
      <c r="B7" s="1738">
        <f ca="1">SUM(H14:H23)</f>
        <v>330898</v>
      </c>
      <c r="C7" s="1738">
        <f ca="1">ROUND(B7*10000/$B$1,0)</f>
        <v>15589</v>
      </c>
      <c r="D7" s="1738">
        <f ca="1">ROUND(B7*10000/$B$2,0)</f>
        <v>31731</v>
      </c>
      <c r="E7" s="1737"/>
      <c r="F7" s="1735"/>
      <c r="G7" s="1735"/>
    </row>
    <row r="8" spans="1:10" ht="16.5">
      <c r="A8" s="1738" t="s">
        <v>1280</v>
      </c>
      <c r="B8" s="1738">
        <f ca="1">SUM(I14:I23)</f>
        <v>260226</v>
      </c>
      <c r="C8" s="1738">
        <f ca="1">ROUND(B8*10000/$B$1,0)</f>
        <v>12259</v>
      </c>
      <c r="D8" s="1738">
        <f ca="1">ROUND(B8*10000/$B$2,0)</f>
        <v>24954</v>
      </c>
      <c r="E8" s="1737"/>
      <c r="F8" s="1735"/>
      <c r="G8" s="1735"/>
    </row>
    <row r="9" spans="1:10" ht="16.5">
      <c r="A9" s="1738" t="s">
        <v>1350</v>
      </c>
      <c r="B9" s="1740"/>
      <c r="C9" s="1737"/>
      <c r="D9" s="1737"/>
      <c r="E9" s="1737"/>
      <c r="F9" s="1735"/>
      <c r="G9" s="1735"/>
    </row>
    <row r="10" spans="1:10" ht="16.5">
      <c r="A10" s="1738" t="s">
        <v>1349</v>
      </c>
      <c r="B10" s="1740"/>
      <c r="C10" s="1737"/>
      <c r="D10" s="1737"/>
      <c r="E10" s="1737"/>
      <c r="F10" s="1735"/>
      <c r="G10" s="1735"/>
    </row>
    <row r="11" spans="1:10" ht="16.5">
      <c r="A11" s="1738" t="s">
        <v>1365</v>
      </c>
      <c r="B11" s="1740"/>
      <c r="C11" s="1737"/>
      <c r="D11" s="1737"/>
      <c r="E11" s="1737"/>
      <c r="F11" s="1735"/>
      <c r="G11" s="1735"/>
    </row>
    <row r="12" spans="1:10" ht="16.5">
      <c r="A12" s="1737"/>
      <c r="B12" s="1737"/>
      <c r="C12" s="1737"/>
      <c r="D12" s="1737"/>
      <c r="E12" s="1737"/>
      <c r="F12" s="1735"/>
      <c r="G12" s="1735"/>
    </row>
    <row r="13" spans="1:10" ht="33">
      <c r="A13" s="1743" t="s">
        <v>1364</v>
      </c>
      <c r="B13" s="1736" t="s">
        <v>1361</v>
      </c>
      <c r="C13" s="1736" t="s">
        <v>1363</v>
      </c>
      <c r="D13" s="1736" t="s">
        <v>1362</v>
      </c>
      <c r="E13" s="1738" t="s">
        <v>1354</v>
      </c>
      <c r="F13" s="1738" t="s">
        <v>1353</v>
      </c>
      <c r="G13" s="1736" t="s">
        <v>1347</v>
      </c>
      <c r="H13" s="1736" t="s">
        <v>1358</v>
      </c>
      <c r="I13" s="1736" t="s">
        <v>1346</v>
      </c>
      <c r="J13" s="1735"/>
    </row>
    <row r="14" spans="1:10" ht="16.5">
      <c r="A14" s="1734" t="s">
        <v>1345</v>
      </c>
      <c r="B14" s="1736">
        <f>结果表!B118</f>
        <v>212264.80000000002</v>
      </c>
      <c r="C14" s="1736">
        <f>结果表!C118</f>
        <v>104283.06</v>
      </c>
      <c r="D14" s="1736">
        <f ca="1">结果表!H118</f>
        <v>330898</v>
      </c>
      <c r="E14" s="1736">
        <f ca="1">ROUND(D14*10000/B14,0)</f>
        <v>15589</v>
      </c>
      <c r="F14" s="1736">
        <f ca="1">ROUND(D14*10000/C14,0)</f>
        <v>31731</v>
      </c>
      <c r="G14" s="1736" t="str">
        <f>结果表!D122</f>
        <v>——</v>
      </c>
      <c r="H14" s="1736">
        <f ca="1">结果表!D124</f>
        <v>330898</v>
      </c>
      <c r="I14" s="1736">
        <f ca="1">结果表!D126</f>
        <v>260226</v>
      </c>
      <c r="J14" s="1735"/>
    </row>
    <row r="15" spans="1:10" ht="16.5">
      <c r="A15" s="1734" t="s">
        <v>1344</v>
      </c>
      <c r="B15" s="1741"/>
      <c r="C15" s="1741"/>
      <c r="D15" s="1741"/>
      <c r="E15" s="1736" t="e">
        <f t="shared" ref="E15:E23" si="0">ROUND(D15*10000/B15,0)</f>
        <v>#DIV/0!</v>
      </c>
      <c r="F15" s="1736" t="e">
        <f t="shared" ref="F15:F23" si="1">ROUND(D15*10000/C15,0)</f>
        <v>#DIV/0!</v>
      </c>
      <c r="G15" s="1742"/>
      <c r="H15" s="1742"/>
      <c r="I15" s="1741"/>
      <c r="J15" s="1735"/>
    </row>
    <row r="16" spans="1:10" ht="16.5">
      <c r="A16" s="1734" t="s">
        <v>1343</v>
      </c>
      <c r="B16" s="1741"/>
      <c r="C16" s="1741"/>
      <c r="D16" s="1741"/>
      <c r="E16" s="1736" t="e">
        <f t="shared" si="0"/>
        <v>#DIV/0!</v>
      </c>
      <c r="F16" s="1736" t="e">
        <f t="shared" si="1"/>
        <v>#DIV/0!</v>
      </c>
      <c r="G16" s="1742"/>
      <c r="H16" s="1742"/>
      <c r="I16" s="1741"/>
    </row>
    <row r="17" spans="1:9" ht="16.5">
      <c r="A17" s="1734" t="s">
        <v>1342</v>
      </c>
      <c r="B17" s="1741"/>
      <c r="C17" s="1741"/>
      <c r="D17" s="1741"/>
      <c r="E17" s="1736" t="e">
        <f t="shared" si="0"/>
        <v>#DIV/0!</v>
      </c>
      <c r="F17" s="1736" t="e">
        <f t="shared" si="1"/>
        <v>#DIV/0!</v>
      </c>
      <c r="G17" s="1742"/>
      <c r="H17" s="1742"/>
      <c r="I17" s="1741"/>
    </row>
    <row r="18" spans="1:9" ht="16.5">
      <c r="A18" s="1734" t="s">
        <v>1341</v>
      </c>
      <c r="B18" s="1741"/>
      <c r="C18" s="1741"/>
      <c r="D18" s="1741"/>
      <c r="E18" s="1736" t="e">
        <f t="shared" si="0"/>
        <v>#DIV/0!</v>
      </c>
      <c r="F18" s="1736" t="e">
        <f t="shared" si="1"/>
        <v>#DIV/0!</v>
      </c>
      <c r="G18" s="1741"/>
      <c r="H18" s="1741"/>
      <c r="I18" s="1741"/>
    </row>
    <row r="19" spans="1:9" ht="16.5">
      <c r="A19" s="1734" t="s">
        <v>1340</v>
      </c>
      <c r="B19" s="1741"/>
      <c r="C19" s="1741"/>
      <c r="D19" s="1741"/>
      <c r="E19" s="1736" t="e">
        <f t="shared" si="0"/>
        <v>#DIV/0!</v>
      </c>
      <c r="F19" s="1736" t="e">
        <f t="shared" si="1"/>
        <v>#DIV/0!</v>
      </c>
      <c r="G19" s="1741"/>
      <c r="H19" s="1741"/>
      <c r="I19" s="1741"/>
    </row>
    <row r="20" spans="1:9" ht="16.5">
      <c r="A20" s="1734" t="s">
        <v>1339</v>
      </c>
      <c r="B20" s="1741"/>
      <c r="C20" s="1741"/>
      <c r="D20" s="1741"/>
      <c r="E20" s="1736" t="e">
        <f t="shared" si="0"/>
        <v>#DIV/0!</v>
      </c>
      <c r="F20" s="1736" t="e">
        <f t="shared" si="1"/>
        <v>#DIV/0!</v>
      </c>
      <c r="G20" s="1741"/>
      <c r="H20" s="1741"/>
      <c r="I20" s="1741"/>
    </row>
    <row r="21" spans="1:9" ht="16.5">
      <c r="A21" s="1734" t="s">
        <v>1338</v>
      </c>
      <c r="B21" s="1741"/>
      <c r="C21" s="1741"/>
      <c r="D21" s="1741"/>
      <c r="E21" s="1736" t="e">
        <f t="shared" si="0"/>
        <v>#DIV/0!</v>
      </c>
      <c r="F21" s="1736" t="e">
        <f t="shared" si="1"/>
        <v>#DIV/0!</v>
      </c>
      <c r="G21" s="1741"/>
      <c r="H21" s="1741"/>
      <c r="I21" s="1741"/>
    </row>
    <row r="22" spans="1:9" ht="16.5">
      <c r="A22" s="1734" t="s">
        <v>1337</v>
      </c>
      <c r="B22" s="1741"/>
      <c r="C22" s="1741"/>
      <c r="D22" s="1741"/>
      <c r="E22" s="1736" t="e">
        <f t="shared" si="0"/>
        <v>#DIV/0!</v>
      </c>
      <c r="F22" s="1736" t="e">
        <f t="shared" si="1"/>
        <v>#DIV/0!</v>
      </c>
      <c r="G22" s="1741"/>
      <c r="H22" s="1741"/>
      <c r="I22" s="1741"/>
    </row>
    <row r="23" spans="1:9" ht="16.5">
      <c r="A23" s="1734" t="s">
        <v>1336</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0" customWidth="1"/>
    <col min="2" max="9" width="10" style="1010" customWidth="1"/>
    <col min="10" max="16384" width="9" style="1010"/>
  </cols>
  <sheetData>
    <row r="36" spans="1:9">
      <c r="A36" s="1009" t="s">
        <v>818</v>
      </c>
      <c r="B36" s="1009" t="s">
        <v>819</v>
      </c>
    </row>
    <row r="37" spans="1:9" ht="27.75" customHeight="1">
      <c r="A37" s="1009"/>
      <c r="B37" s="3041" t="str">
        <f>项目基本情况!B1</f>
        <v>北京市怀柔区雁栖湖柏崖厂村HR-0009-0113地块出让国有建设用地使用权及在建建筑物房地产抵押价值预评估</v>
      </c>
      <c r="C37" s="3041"/>
      <c r="D37" s="3041"/>
      <c r="E37" s="3041"/>
      <c r="F37" s="3041"/>
      <c r="G37" s="3041"/>
      <c r="H37" s="3041"/>
      <c r="I37" s="3041"/>
    </row>
    <row r="38" spans="1:9">
      <c r="A38" s="1011"/>
      <c r="B38" s="1011"/>
    </row>
    <row r="39" spans="1:9">
      <c r="A39" s="1009" t="s">
        <v>818</v>
      </c>
      <c r="B39" s="1009" t="s">
        <v>820</v>
      </c>
    </row>
    <row r="40" spans="1:9">
      <c r="A40" s="1009"/>
      <c r="B40" s="1936" t="str">
        <f>项目基本情况!B5</f>
        <v>北京京雁置业有限责任公司</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3.5">
      <c r="B46" s="1936" t="str">
        <f ca="1">项目基本情况!K4</f>
        <v>崔锴（注册号：1120100036)、郑燚（注册号：1120070131)</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I512"/>
  <sheetViews>
    <sheetView tabSelected="1" view="pageBreakPreview" zoomScaleNormal="100" zoomScaleSheetLayoutView="100" zoomScalePageLayoutView="80" workbookViewId="0">
      <selection activeCell="I27" sqref="I27"/>
    </sheetView>
  </sheetViews>
  <sheetFormatPr defaultColWidth="12.6328125" defaultRowHeight="21.75" customHeight="1"/>
  <cols>
    <col min="1" max="2" width="12.6328125" style="2409"/>
    <col min="3" max="4" width="12.6328125" style="2409" customWidth="1"/>
    <col min="5" max="9" width="12.6328125" style="2409"/>
    <col min="10" max="11" width="12.6328125" style="790" customWidth="1"/>
    <col min="12" max="12" width="12.6328125" style="790"/>
    <col min="13" max="13" width="14.08984375" style="790" bestFit="1" customWidth="1"/>
    <col min="14" max="26" width="12.6328125" style="790"/>
    <col min="27" max="35" width="12.6328125" style="2408"/>
    <col min="36" max="16384" width="12.6328125" style="2409"/>
  </cols>
  <sheetData>
    <row r="1" spans="1:12" ht="21.75" customHeight="1" thickBot="1">
      <c r="A1" s="2211" t="s">
        <v>2116</v>
      </c>
      <c r="B1" s="2403"/>
      <c r="C1" s="2404"/>
      <c r="D1" s="2403"/>
      <c r="E1" s="2403"/>
      <c r="F1" s="2405" t="s">
        <v>2117</v>
      </c>
      <c r="G1" s="2062" t="s">
        <v>2118</v>
      </c>
      <c r="H1" s="2406" t="str">
        <f>IF(G1="现房","——","估价对象范围")</f>
        <v>估价对象范围</v>
      </c>
      <c r="I1" s="2407" t="s">
        <v>3101</v>
      </c>
    </row>
    <row r="2" spans="1:12" ht="21.75" customHeight="1" thickBot="1">
      <c r="A2" s="3167" t="str">
        <f>项目基本情况!S2</f>
        <v>北京市怀柔区雁栖湖柏崖厂村HR-0009-0113地块出让国有建设用地使用权及在建建筑物房地产</v>
      </c>
      <c r="B2" s="3168"/>
      <c r="C2" s="3168"/>
      <c r="D2" s="3168"/>
      <c r="E2" s="3168"/>
      <c r="F2" s="3168"/>
      <c r="G2" s="3168"/>
      <c r="H2" s="3168"/>
      <c r="I2" s="3169"/>
    </row>
    <row r="3" spans="1:12" ht="13">
      <c r="A3" s="3171" t="s">
        <v>2119</v>
      </c>
      <c r="B3" s="3172"/>
      <c r="C3" s="3172"/>
      <c r="D3" s="3172"/>
      <c r="E3" s="3172"/>
      <c r="F3" s="3172"/>
      <c r="G3" s="3172"/>
      <c r="H3" s="3172"/>
      <c r="I3" s="3172"/>
    </row>
    <row r="4" spans="1:12" ht="14">
      <c r="A4" s="2410" t="s">
        <v>2120</v>
      </c>
      <c r="B4" s="2411" t="s">
        <v>2121</v>
      </c>
      <c r="C4" s="2412" t="s">
        <v>3102</v>
      </c>
      <c r="D4" s="2412" t="s">
        <v>3103</v>
      </c>
      <c r="E4" s="3164" t="s">
        <v>2122</v>
      </c>
      <c r="F4" s="3165"/>
      <c r="G4" s="3165"/>
      <c r="H4" s="3165"/>
      <c r="I4" s="3173"/>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3">
      <c r="A5" s="3147" t="s">
        <v>2123</v>
      </c>
      <c r="B5" s="3085">
        <v>25</v>
      </c>
      <c r="C5" s="3150"/>
      <c r="D5" s="3170"/>
      <c r="E5" s="135" t="s">
        <v>2124</v>
      </c>
      <c r="F5" s="2414"/>
      <c r="G5" s="2414"/>
      <c r="H5" s="2414"/>
      <c r="I5" s="1826"/>
    </row>
    <row r="6" spans="1:12" ht="13">
      <c r="A6" s="3147"/>
      <c r="B6" s="3085"/>
      <c r="C6" s="3151"/>
      <c r="D6" s="3170"/>
      <c r="E6" s="135" t="s">
        <v>2125</v>
      </c>
      <c r="F6" s="2414"/>
      <c r="G6" s="2414"/>
      <c r="H6" s="2414"/>
      <c r="I6" s="1826"/>
    </row>
    <row r="7" spans="1:12" ht="13">
      <c r="A7" s="3147"/>
      <c r="B7" s="3085"/>
      <c r="C7" s="3152"/>
      <c r="D7" s="3170"/>
      <c r="E7" s="135" t="s">
        <v>2126</v>
      </c>
      <c r="F7" s="2414"/>
      <c r="G7" s="2414"/>
      <c r="H7" s="2414"/>
      <c r="I7" s="1826"/>
    </row>
    <row r="8" spans="1:12" ht="13">
      <c r="A8" s="3147" t="s">
        <v>2127</v>
      </c>
      <c r="B8" s="3085">
        <v>15</v>
      </c>
      <c r="C8" s="3150"/>
      <c r="D8" s="3170"/>
      <c r="E8" s="135" t="s">
        <v>2128</v>
      </c>
      <c r="F8" s="2414"/>
      <c r="G8" s="2414"/>
      <c r="H8" s="2414"/>
      <c r="I8" s="1826"/>
    </row>
    <row r="9" spans="1:12" ht="13">
      <c r="A9" s="3147"/>
      <c r="B9" s="3085"/>
      <c r="C9" s="3152"/>
      <c r="D9" s="3170"/>
      <c r="E9" s="135" t="s">
        <v>2129</v>
      </c>
      <c r="F9" s="2414"/>
      <c r="G9" s="2414"/>
      <c r="H9" s="2414"/>
      <c r="I9" s="1826"/>
    </row>
    <row r="10" spans="1:12" ht="13">
      <c r="A10" s="3147" t="s">
        <v>2130</v>
      </c>
      <c r="B10" s="3085">
        <v>15</v>
      </c>
      <c r="C10" s="3150"/>
      <c r="D10" s="3170"/>
      <c r="E10" s="135" t="s">
        <v>2131</v>
      </c>
      <c r="F10" s="2414"/>
      <c r="G10" s="2414"/>
      <c r="H10" s="2414"/>
      <c r="I10" s="1826"/>
    </row>
    <row r="11" spans="1:12" ht="13">
      <c r="A11" s="3147"/>
      <c r="B11" s="3085"/>
      <c r="C11" s="3152"/>
      <c r="D11" s="3170"/>
      <c r="E11" s="135" t="s">
        <v>2132</v>
      </c>
      <c r="F11" s="2414"/>
      <c r="G11" s="2414"/>
      <c r="H11" s="2414"/>
      <c r="I11" s="1826"/>
    </row>
    <row r="12" spans="1:12" ht="13">
      <c r="A12" s="3147" t="s">
        <v>2133</v>
      </c>
      <c r="B12" s="3085">
        <v>15</v>
      </c>
      <c r="C12" s="3150"/>
      <c r="D12" s="3170"/>
      <c r="E12" s="135" t="s">
        <v>2134</v>
      </c>
      <c r="F12" s="2414"/>
      <c r="G12" s="2414"/>
      <c r="H12" s="2414"/>
      <c r="I12" s="1826"/>
    </row>
    <row r="13" spans="1:12" ht="13">
      <c r="A13" s="3147"/>
      <c r="B13" s="3085"/>
      <c r="C13" s="3152"/>
      <c r="D13" s="3170"/>
      <c r="E13" s="135" t="s">
        <v>2135</v>
      </c>
      <c r="F13" s="2414"/>
      <c r="G13" s="2414"/>
      <c r="H13" s="2414"/>
      <c r="I13" s="1826"/>
    </row>
    <row r="14" spans="1:12" ht="13">
      <c r="A14" s="3147" t="s">
        <v>2136</v>
      </c>
      <c r="B14" s="3085">
        <v>30</v>
      </c>
      <c r="C14" s="3150">
        <v>5</v>
      </c>
      <c r="D14" s="3170">
        <v>5</v>
      </c>
      <c r="E14" s="135" t="s">
        <v>2137</v>
      </c>
      <c r="F14" s="2414"/>
      <c r="G14" s="2414"/>
      <c r="H14" s="2414"/>
      <c r="I14" s="1826"/>
    </row>
    <row r="15" spans="1:12" ht="13">
      <c r="A15" s="3147"/>
      <c r="B15" s="3085"/>
      <c r="C15" s="3151"/>
      <c r="D15" s="3170"/>
      <c r="E15" s="135" t="s">
        <v>2138</v>
      </c>
      <c r="F15" s="2414"/>
      <c r="G15" s="2414"/>
      <c r="H15" s="2414"/>
      <c r="I15" s="1826"/>
    </row>
    <row r="16" spans="1:12" ht="13">
      <c r="A16" s="3147"/>
      <c r="B16" s="3085"/>
      <c r="C16" s="3152"/>
      <c r="D16" s="3170"/>
      <c r="E16" s="135" t="s">
        <v>2139</v>
      </c>
      <c r="F16" s="2414"/>
      <c r="G16" s="2414"/>
      <c r="H16" s="2414"/>
      <c r="I16" s="1826"/>
    </row>
    <row r="17" spans="1:35" ht="14">
      <c r="A17" s="2415" t="s">
        <v>2140</v>
      </c>
      <c r="B17" s="61"/>
      <c r="C17" s="136">
        <f>SUM(C5:C16)</f>
        <v>5</v>
      </c>
      <c r="D17" s="136">
        <f>SUM(D5:D16)</f>
        <v>5</v>
      </c>
      <c r="E17" s="133"/>
      <c r="F17" s="133"/>
      <c r="G17" s="133"/>
      <c r="H17" s="133"/>
      <c r="I17" s="133"/>
      <c r="K17" s="2413"/>
      <c r="L17" s="2416" t="s">
        <v>2141</v>
      </c>
      <c r="M17" s="2416" t="s">
        <v>2142</v>
      </c>
    </row>
    <row r="18" spans="1:35" ht="14.5" thickBot="1">
      <c r="A18" s="2417" t="s">
        <v>2143</v>
      </c>
      <c r="B18" s="2418"/>
      <c r="C18" s="137">
        <f>ROUND(C17/SUM(C17:D17),2)</f>
        <v>0.5</v>
      </c>
      <c r="D18" s="137">
        <f>1-C18</f>
        <v>0.5</v>
      </c>
      <c r="E18" s="133"/>
      <c r="F18" s="133"/>
      <c r="G18" s="133"/>
      <c r="H18" s="133"/>
      <c r="I18" s="133"/>
      <c r="K18" s="2413" t="s">
        <v>2144</v>
      </c>
      <c r="L18" s="2413">
        <f>IF(C1="",'数据-汇总表'!E3,SUMIF(项目类型,C1,'数据-汇总表'!E17:E26)+SUMIF(项目类型,C1,'数据-汇总表'!I17:I26))</f>
        <v>212264.80000000002</v>
      </c>
      <c r="M18" s="2413">
        <f>IF(C1="",'数据-汇总表'!E3,SUMIF(项目类型,C1,'数据-汇总表'!E17:E26))</f>
        <v>212264.80000000002</v>
      </c>
    </row>
    <row r="19" spans="1:35" ht="14">
      <c r="A19" s="2419" t="s">
        <v>2145</v>
      </c>
      <c r="B19" s="2420" t="s">
        <v>2146</v>
      </c>
      <c r="C19" s="138">
        <f ca="1">SUMIF(INDIRECT("'"&amp;C4&amp;"'"&amp;"!A:A"),结果表!B19,INDIRECT("'"&amp;C4&amp;"'"&amp;"!B:B"))</f>
        <v>357177</v>
      </c>
      <c r="D19" s="139">
        <f ca="1">SUMIF(INDIRECT("'"&amp;D4&amp;"'"&amp;"!A:A"),结果表!B19,INDIRECT("'"&amp;D4&amp;"'"&amp;"!B:B"))</f>
        <v>304619</v>
      </c>
      <c r="E19" s="2419" t="s">
        <v>2147</v>
      </c>
      <c r="F19" s="2420" t="s">
        <v>2146</v>
      </c>
      <c r="G19" s="140">
        <f ca="1">ROUND(C19*$C$18+D19*$D$18,0)</f>
        <v>330898</v>
      </c>
      <c r="H19" s="2421" t="s">
        <v>2148</v>
      </c>
      <c r="I19" s="133"/>
      <c r="K19" s="2413" t="s">
        <v>2149</v>
      </c>
      <c r="L19" s="2413">
        <f>IF(C1="",'数据-汇总表'!D3,SUMIF(项目类型,C1,'数据-汇总表'!D17:D26)+SUMIF(项目类型,C1,'数据-汇总表'!H17:H27))</f>
        <v>104283.06</v>
      </c>
      <c r="M19" s="2413">
        <f>IF(C1="",'数据-汇总表'!D3,SUMIF(项目类型,C1,'数据-汇总表'!D17:D26))</f>
        <v>104283.06</v>
      </c>
    </row>
    <row r="20" spans="1:35" ht="14">
      <c r="A20" s="2422"/>
      <c r="B20" s="1242" t="s">
        <v>2150</v>
      </c>
      <c r="C20" s="141">
        <f ca="1">SUMIF(INDIRECT("'"&amp;C4&amp;"'"&amp;"!A:A"),结果表!B20,INDIRECT("'"&amp;C4&amp;"'"&amp;"!B:B"))</f>
        <v>16827</v>
      </c>
      <c r="D20" s="142">
        <f ca="1">SUMIF(INDIRECT("'"&amp;D4&amp;"'"&amp;"!A:A"),结果表!B20,INDIRECT("'"&amp;D4&amp;"'"&amp;"!B:B"))</f>
        <v>14351</v>
      </c>
      <c r="E20" s="2422"/>
      <c r="F20" s="1242" t="s">
        <v>2150</v>
      </c>
      <c r="G20" s="143">
        <f ca="1">ROUND(C20*$C$18+D20*$D$18,0)</f>
        <v>15589</v>
      </c>
      <c r="H20" s="975" t="s">
        <v>2151</v>
      </c>
      <c r="I20" s="133"/>
    </row>
    <row r="21" spans="1:35" ht="15" customHeight="1" thickBot="1">
      <c r="A21" s="995"/>
      <c r="B21" s="2423" t="s">
        <v>2152</v>
      </c>
      <c r="C21" s="784">
        <f ca="1">ROUND(C19*10000/L19,0)</f>
        <v>34251</v>
      </c>
      <c r="D21" s="785">
        <f ca="1">ROUND(D19*10000/L19,0)</f>
        <v>29211</v>
      </c>
      <c r="E21" s="995"/>
      <c r="F21" s="2423" t="s">
        <v>2152</v>
      </c>
      <c r="G21" s="144">
        <f ca="1">ROUND(G19*10000/L19,0)</f>
        <v>31731</v>
      </c>
      <c r="H21" s="2424" t="s">
        <v>2151</v>
      </c>
      <c r="I21" s="133"/>
    </row>
    <row r="22" spans="1:35" ht="14.5" thickBot="1">
      <c r="A22" s="2266" t="s">
        <v>2153</v>
      </c>
      <c r="B22" s="2425"/>
      <c r="C22" s="2426"/>
      <c r="D22" s="786">
        <f ca="1">IF(C19&lt;D19,D19/C19-1,C19/D19-1)</f>
        <v>0.17253684110314849</v>
      </c>
      <c r="E22" s="133"/>
      <c r="F22" s="133"/>
      <c r="G22" s="133"/>
      <c r="H22" s="133"/>
      <c r="I22" s="133"/>
    </row>
    <row r="23" spans="1:35" ht="13" thickBot="1">
      <c r="A23" s="2403"/>
      <c r="B23" s="2403"/>
      <c r="C23" s="2403"/>
      <c r="D23" s="2403"/>
      <c r="E23" s="133"/>
      <c r="F23" s="133"/>
      <c r="G23" s="133"/>
      <c r="H23" s="133"/>
      <c r="I23" s="133"/>
    </row>
    <row r="24" spans="1:35" ht="14">
      <c r="A24" s="3141" t="s">
        <v>2154</v>
      </c>
      <c r="B24" s="2420" t="s">
        <v>2146</v>
      </c>
      <c r="C24" s="140">
        <f>IF(B30=0,0,D30)</f>
        <v>0</v>
      </c>
      <c r="D24" s="2427"/>
      <c r="E24" s="133"/>
      <c r="F24" s="133"/>
      <c r="G24" s="133"/>
      <c r="H24" s="133"/>
      <c r="I24" s="133"/>
    </row>
    <row r="25" spans="1:35" ht="14">
      <c r="A25" s="3142"/>
      <c r="B25" s="1242" t="s">
        <v>2150</v>
      </c>
      <c r="C25" s="145">
        <f>IF(B30=0,0,C30)</f>
        <v>0</v>
      </c>
      <c r="D25" s="2428"/>
      <c r="E25" s="133"/>
      <c r="F25" s="133"/>
      <c r="G25" s="133"/>
      <c r="H25" s="133"/>
      <c r="I25" s="133"/>
    </row>
    <row r="26" spans="1:35" ht="13.5" customHeight="1">
      <c r="A26" s="2429" t="s">
        <v>2155</v>
      </c>
      <c r="B26" s="146" t="s">
        <v>2156</v>
      </c>
      <c r="C26" s="146" t="s">
        <v>2157</v>
      </c>
      <c r="D26" s="147" t="s">
        <v>2158</v>
      </c>
      <c r="E26" s="133"/>
      <c r="F26" s="133"/>
      <c r="G26" s="133"/>
      <c r="H26" s="133"/>
      <c r="I26" s="133"/>
    </row>
    <row r="27" spans="1:35" ht="14">
      <c r="A27" s="2429"/>
      <c r="B27" s="146">
        <v>0</v>
      </c>
      <c r="C27" s="146">
        <v>0</v>
      </c>
      <c r="D27" s="147">
        <f>ROUND(C27*B27/10000,0)</f>
        <v>0</v>
      </c>
      <c r="E27" s="133"/>
      <c r="F27" s="133"/>
      <c r="G27" s="133"/>
      <c r="H27" s="133"/>
      <c r="I27" s="133"/>
    </row>
    <row r="28" spans="1:35" ht="14">
      <c r="A28" s="2429"/>
      <c r="B28" s="146"/>
      <c r="C28" s="146"/>
      <c r="D28" s="147">
        <f ca="1">G19*0.6</f>
        <v>198538.8</v>
      </c>
      <c r="E28" s="133"/>
      <c r="F28" s="133"/>
      <c r="G28" s="133"/>
      <c r="H28" s="133"/>
      <c r="I28" s="133"/>
    </row>
    <row r="29" spans="1:35" ht="14">
      <c r="A29" s="2429"/>
      <c r="B29" s="146"/>
      <c r="C29" s="146"/>
      <c r="D29" s="147">
        <f ca="1">G19/'数据-汇总表'!F31</f>
        <v>2.6771884286831611</v>
      </c>
      <c r="E29" s="133"/>
      <c r="F29" s="133"/>
      <c r="G29" s="133"/>
      <c r="H29" s="133"/>
      <c r="I29" s="133"/>
    </row>
    <row r="30" spans="1:35" ht="14">
      <c r="A30" s="146" t="s">
        <v>2159</v>
      </c>
      <c r="B30" s="146"/>
      <c r="C30" s="146"/>
      <c r="D30" s="146"/>
      <c r="E30" s="2901" t="s">
        <v>3025</v>
      </c>
      <c r="F30" s="133"/>
      <c r="G30" s="133"/>
      <c r="H30" s="133"/>
      <c r="I30" s="133"/>
    </row>
    <row r="31" spans="1:35" s="2431" customFormat="1" ht="14.5" thickBot="1">
      <c r="A31" s="2430"/>
      <c r="B31" s="2430"/>
      <c r="C31" s="2430"/>
      <c r="D31" s="2430"/>
      <c r="E31" s="133"/>
      <c r="F31" s="133"/>
      <c r="G31" s="133"/>
      <c r="H31" s="133"/>
      <c r="I31" s="133"/>
      <c r="J31" s="790"/>
      <c r="K31" s="790"/>
      <c r="L31" s="790"/>
      <c r="M31" s="790"/>
      <c r="N31" s="790"/>
      <c r="O31" s="790"/>
      <c r="P31" s="790"/>
      <c r="Q31" s="790"/>
      <c r="R31" s="790"/>
      <c r="S31" s="790"/>
      <c r="T31" s="790"/>
      <c r="U31" s="790"/>
      <c r="V31" s="790"/>
      <c r="W31" s="790"/>
      <c r="X31" s="790"/>
      <c r="Y31" s="790"/>
      <c r="Z31" s="790"/>
      <c r="AA31" s="2408"/>
      <c r="AB31" s="2408"/>
      <c r="AC31" s="2408"/>
      <c r="AD31" s="2408"/>
      <c r="AE31" s="2408"/>
      <c r="AF31" s="2408"/>
      <c r="AG31" s="2408"/>
      <c r="AH31" s="2408"/>
      <c r="AI31" s="2408"/>
    </row>
    <row r="32" spans="1:35" ht="14.5" thickBot="1">
      <c r="A32" s="2432" t="s">
        <v>2160</v>
      </c>
      <c r="B32" s="2433"/>
      <c r="C32" s="148">
        <f ca="1">IF(D32="总价",G19-C24,G20-C25)</f>
        <v>330898</v>
      </c>
      <c r="D32" s="2434" t="s">
        <v>2161</v>
      </c>
      <c r="E32" s="133"/>
      <c r="F32" s="133"/>
      <c r="G32" s="133"/>
      <c r="H32" s="133"/>
      <c r="I32" s="133"/>
    </row>
    <row r="33" spans="1:15" ht="14">
      <c r="A33" s="952" t="s">
        <v>2162</v>
      </c>
      <c r="B33" s="2435"/>
      <c r="C33" s="2436" t="s">
        <v>3369</v>
      </c>
      <c r="D33" s="2437" t="s">
        <v>3102</v>
      </c>
      <c r="E33" s="2438" t="s">
        <v>2163</v>
      </c>
      <c r="F33" s="2439" t="str">
        <f>IF(D32="楼面单价","取值（单价）","取值（总价）")</f>
        <v>取值（总价）</v>
      </c>
      <c r="G33" s="133"/>
      <c r="H33" s="133"/>
      <c r="I33" s="133"/>
    </row>
    <row r="34" spans="1:15" ht="14">
      <c r="A34" s="2440"/>
      <c r="B34" s="2441" t="s">
        <v>2164</v>
      </c>
      <c r="C34" s="152">
        <f ca="1">IF(C33="自定义",F34,C32-C35)</f>
        <v>316008</v>
      </c>
      <c r="D34" s="1050">
        <f ca="1">IF(C33="自定义",ROUND(C34/C32,3),IF(C33="收益比率",SUMIF(INDIRECT("'"&amp;D33&amp;"'"&amp;"!b:b"),"土地收益比率",INDIRECT("'"&amp;D33&amp;"'"&amp;"!c:c")),SUMIF(INDIRECT("'"&amp;D33&amp;"'"&amp;"!b:b"),"土地成本比率",INDIRECT("'"&amp;D33&amp;"'"&amp;"!c:c"))))</f>
        <v>0.95499999999999996</v>
      </c>
      <c r="E34" s="2442" t="s">
        <v>2165</v>
      </c>
      <c r="F34" s="1731"/>
      <c r="G34" s="133"/>
      <c r="H34" s="133"/>
      <c r="I34" s="133"/>
    </row>
    <row r="35" spans="1:15" ht="14.5" thickBot="1">
      <c r="A35" s="2443"/>
      <c r="B35" s="2444" t="s">
        <v>2166</v>
      </c>
      <c r="C35" s="1436">
        <f ca="1">IF(C33="自定义",F35,ROUND(C32*D35,0))</f>
        <v>14890</v>
      </c>
      <c r="D35" s="1437">
        <f ca="1">IF(C33="自定义",ROUND(C35/C32,3),IF(C33="收益比率",SUMIF(INDIRECT("'"&amp;D33&amp;"'"&amp;"!b:b"),"建筑物收益比率",INDIRECT("'"&amp;D33&amp;"'"&amp;"!c:c")),SUMIF(INDIRECT("'"&amp;D33&amp;"'"&amp;"!b:b"),"建筑物成本比率",INDIRECT("'"&amp;D33&amp;"'"&amp;"!c:c"))))</f>
        <v>4.4999999999999998E-2</v>
      </c>
      <c r="E35" s="2445" t="s">
        <v>2167</v>
      </c>
      <c r="F35" s="158"/>
      <c r="G35" s="133"/>
      <c r="H35" s="133"/>
      <c r="I35" s="133"/>
    </row>
    <row r="36" spans="1:15" ht="14.5" thickBot="1">
      <c r="A36" s="3159" t="s">
        <v>2168</v>
      </c>
      <c r="B36" s="2446" t="s">
        <v>2169</v>
      </c>
      <c r="C36" s="149"/>
      <c r="D36" s="2447"/>
      <c r="E36" s="2448"/>
      <c r="F36" s="2449"/>
      <c r="G36" s="133"/>
      <c r="H36" s="133"/>
      <c r="I36" s="133"/>
    </row>
    <row r="37" spans="1:15" ht="14.5" thickBot="1">
      <c r="A37" s="3160"/>
      <c r="B37" s="2252" t="s">
        <v>2170</v>
      </c>
      <c r="C37" s="151"/>
      <c r="D37" s="1387"/>
      <c r="E37" s="1387"/>
      <c r="F37" s="2449"/>
      <c r="G37" s="133"/>
      <c r="H37" s="133"/>
      <c r="I37" s="133"/>
    </row>
    <row r="38" spans="1:15" ht="14.5" thickBot="1">
      <c r="A38" s="3161"/>
      <c r="B38" s="2450" t="s">
        <v>2171</v>
      </c>
      <c r="C38" s="722"/>
      <c r="D38" s="2451" t="s">
        <v>2172</v>
      </c>
      <c r="E38" s="1387"/>
      <c r="F38" s="2449"/>
      <c r="G38" s="133"/>
      <c r="H38" s="133"/>
      <c r="I38" s="133"/>
    </row>
    <row r="39" spans="1:15" ht="14">
      <c r="A39" s="2422" t="s">
        <v>2173</v>
      </c>
      <c r="B39" s="2452" t="s">
        <v>2174</v>
      </c>
      <c r="C39" s="2453" t="s">
        <v>2175</v>
      </c>
      <c r="D39" s="2453" t="s">
        <v>2176</v>
      </c>
      <c r="E39" s="2454" t="s">
        <v>2177</v>
      </c>
      <c r="F39" s="2449"/>
      <c r="G39" s="133"/>
      <c r="H39" s="133"/>
      <c r="I39" s="133"/>
    </row>
    <row r="40" spans="1:15" ht="14">
      <c r="A40" s="2455" t="s">
        <v>2178</v>
      </c>
      <c r="B40" s="153"/>
      <c r="C40" s="154"/>
      <c r="D40" s="154"/>
      <c r="E40" s="155"/>
      <c r="F40" s="2449"/>
      <c r="G40" s="133"/>
      <c r="H40" s="133"/>
      <c r="I40" s="133"/>
    </row>
    <row r="41" spans="1:15" ht="14">
      <c r="A41" s="2455" t="s">
        <v>2179</v>
      </c>
      <c r="B41" s="153"/>
      <c r="C41" s="154"/>
      <c r="D41" s="154"/>
      <c r="E41" s="155"/>
      <c r="F41" s="2449"/>
      <c r="G41" s="133"/>
      <c r="H41" s="133"/>
      <c r="I41" s="133"/>
    </row>
    <row r="42" spans="1:15" ht="14.5" thickBot="1">
      <c r="A42" s="2456"/>
      <c r="B42" s="156"/>
      <c r="C42" s="157"/>
      <c r="D42" s="157"/>
      <c r="E42" s="158"/>
      <c r="F42" s="2449"/>
      <c r="G42" s="133"/>
      <c r="H42" s="133"/>
      <c r="I42" s="133"/>
    </row>
    <row r="43" spans="1:15" ht="12.5">
      <c r="A43" s="2156"/>
      <c r="B43" s="2156"/>
      <c r="C43" s="2156"/>
      <c r="D43" s="2156"/>
      <c r="E43" s="2156"/>
      <c r="F43" s="2457"/>
      <c r="G43" s="2457"/>
      <c r="H43" s="2457"/>
      <c r="I43" s="2458"/>
    </row>
    <row r="44" spans="1:15" ht="18">
      <c r="A44" s="2459" t="s">
        <v>2180</v>
      </c>
      <c r="B44" s="2460"/>
      <c r="C44" s="2460"/>
      <c r="D44" s="2461"/>
      <c r="E44" s="2461"/>
      <c r="F44" s="2462"/>
      <c r="G44" s="2462"/>
      <c r="H44" s="2462"/>
      <c r="I44" s="2462"/>
      <c r="J44" s="2463" t="s">
        <v>2181</v>
      </c>
      <c r="K44" s="2464"/>
      <c r="L44" s="2464"/>
      <c r="M44" s="2464"/>
      <c r="N44" s="2464"/>
      <c r="O44" s="2464"/>
    </row>
    <row r="45" spans="1:15" ht="14.25" customHeight="1" thickBot="1">
      <c r="A45" s="3138" t="s">
        <v>2182</v>
      </c>
      <c r="B45" s="3139"/>
      <c r="C45" s="3140"/>
      <c r="D45" s="159">
        <f ca="1">ROUND(H101*F45,0)</f>
        <v>330898</v>
      </c>
      <c r="E45" s="160" t="s">
        <v>2183</v>
      </c>
      <c r="F45" s="161">
        <v>1</v>
      </c>
      <c r="G45" s="162" t="s">
        <v>2184</v>
      </c>
      <c r="H45" s="133"/>
      <c r="I45" s="133"/>
      <c r="J45" s="3198" t="s">
        <v>2185</v>
      </c>
      <c r="K45" s="3198"/>
      <c r="L45" s="3198"/>
      <c r="M45" s="3198"/>
      <c r="N45" s="3198"/>
      <c r="O45" s="3198"/>
    </row>
    <row r="46" spans="1:15" ht="14.25" customHeight="1">
      <c r="A46" s="3135" t="s">
        <v>2186</v>
      </c>
      <c r="B46" s="3136"/>
      <c r="C46" s="3136"/>
      <c r="D46" s="3136"/>
      <c r="E46" s="3136"/>
      <c r="F46" s="3136"/>
      <c r="G46" s="3137"/>
      <c r="H46" s="2465"/>
      <c r="I46" s="163"/>
      <c r="J46" s="1804">
        <v>1</v>
      </c>
      <c r="K46" s="3198" t="s">
        <v>2187</v>
      </c>
      <c r="L46" s="3198"/>
      <c r="M46" s="3218"/>
      <c r="N46" s="3218"/>
      <c r="O46" s="3218"/>
    </row>
    <row r="47" spans="1:15" ht="12" customHeight="1">
      <c r="A47" s="164" t="s">
        <v>2188</v>
      </c>
      <c r="B47" s="165"/>
      <c r="C47" s="166"/>
      <c r="D47" s="167" t="s">
        <v>2189</v>
      </c>
      <c r="E47" s="24" t="s">
        <v>2190</v>
      </c>
      <c r="F47" s="168" t="s">
        <v>2191</v>
      </c>
      <c r="G47" s="169" t="s">
        <v>2192</v>
      </c>
      <c r="H47" s="2465"/>
      <c r="I47" s="163"/>
      <c r="J47" s="1804">
        <v>2</v>
      </c>
      <c r="K47" s="3198" t="s">
        <v>2193</v>
      </c>
      <c r="L47" s="3198"/>
      <c r="M47" s="3219">
        <f>'数据-取费表'!B2</f>
        <v>43903</v>
      </c>
      <c r="N47" s="3219"/>
      <c r="O47" s="3219"/>
    </row>
    <row r="48" spans="1:15" ht="26">
      <c r="A48" s="3166" t="s">
        <v>2194</v>
      </c>
      <c r="B48" s="3149"/>
      <c r="C48" s="3149"/>
      <c r="D48" s="135">
        <f ca="1">IF(H48="情况1",0,IF(H48="情况2",D52,IF(H48="情况3",D53,IF(H48="情况4",D54))))</f>
        <v>17333</v>
      </c>
      <c r="E48" s="1793" t="str">
        <f>IF(H48="情况4","(销售额-原购置价)×税（费）率","销售额×税（费）率")</f>
        <v>销售额×税（费）率</v>
      </c>
      <c r="F48" s="170">
        <f>IF(H48="情况1","免征",'数据-取费表'!B41)</f>
        <v>5.5000000000000007E-2</v>
      </c>
      <c r="G48" s="2466" t="s">
        <v>2195</v>
      </c>
      <c r="H48" s="2467" t="s">
        <v>3419</v>
      </c>
      <c r="I48" s="2465"/>
      <c r="J48" s="1804">
        <v>3</v>
      </c>
      <c r="K48" s="3198" t="s">
        <v>2196</v>
      </c>
      <c r="L48" s="3198"/>
      <c r="M48" s="3220">
        <f ca="1">H101</f>
        <v>330898</v>
      </c>
      <c r="N48" s="3220"/>
      <c r="O48" s="3220"/>
    </row>
    <row r="49" spans="1:35" ht="25.5" customHeight="1">
      <c r="A49" s="171" t="s">
        <v>2197</v>
      </c>
      <c r="B49" s="3134" t="s">
        <v>2198</v>
      </c>
      <c r="C49" s="3134"/>
      <c r="D49" s="172">
        <v>0</v>
      </c>
      <c r="E49" s="23" t="s">
        <v>2199</v>
      </c>
      <c r="F49" s="28" t="s">
        <v>34</v>
      </c>
      <c r="G49" s="3204"/>
      <c r="H49" s="133"/>
      <c r="I49" s="2468"/>
      <c r="J49" s="1804">
        <v>4</v>
      </c>
      <c r="K49" s="3198" t="str">
        <f>IF(项目基本情况!E8="房地产抵押价值","房地产抵押价值","抵押担保权已注销时的房地产抵押价值")</f>
        <v>抵押担保权已注销时的房地产抵押价值</v>
      </c>
      <c r="L49" s="3198"/>
      <c r="M49" s="3220">
        <f ca="1">IF(项目基本情况!E8="房地产抵押价值",H107,H109)</f>
        <v>330898</v>
      </c>
      <c r="N49" s="3220"/>
      <c r="O49" s="3220"/>
    </row>
    <row r="50" spans="1:35" ht="25.5" customHeight="1">
      <c r="A50" s="173"/>
      <c r="B50" s="3134" t="s">
        <v>2200</v>
      </c>
      <c r="C50" s="3134"/>
      <c r="D50" s="174"/>
      <c r="E50" s="31"/>
      <c r="F50" s="175"/>
      <c r="G50" s="3205"/>
      <c r="H50" s="133"/>
      <c r="I50" s="2468"/>
      <c r="J50" s="3198" t="s">
        <v>2201</v>
      </c>
      <c r="K50" s="3198"/>
      <c r="L50" s="3198"/>
      <c r="M50" s="3198"/>
      <c r="N50" s="3198"/>
      <c r="O50" s="3198"/>
    </row>
    <row r="51" spans="1:35" ht="12" customHeight="1">
      <c r="A51" s="176"/>
      <c r="B51" s="3134" t="s">
        <v>2202</v>
      </c>
      <c r="C51" s="3134"/>
      <c r="D51" s="177"/>
      <c r="E51" s="30"/>
      <c r="F51" s="175"/>
      <c r="G51" s="3206"/>
      <c r="H51" s="133"/>
      <c r="I51" s="2468"/>
      <c r="J51" s="2469" t="s">
        <v>2203</v>
      </c>
      <c r="K51" s="3198" t="s">
        <v>2204</v>
      </c>
      <c r="L51" s="3198"/>
      <c r="M51" s="2469" t="s">
        <v>2205</v>
      </c>
      <c r="N51" s="2469" t="s">
        <v>2206</v>
      </c>
      <c r="O51" s="2469" t="s">
        <v>2207</v>
      </c>
    </row>
    <row r="52" spans="1:35" ht="24" customHeight="1">
      <c r="A52" s="178" t="s">
        <v>2208</v>
      </c>
      <c r="B52" s="3134" t="s">
        <v>2209</v>
      </c>
      <c r="C52" s="3134"/>
      <c r="D52" s="177">
        <f ca="1">ROUND(D45*'数据-取费表'!B41/(1+'数据-取费表'!C42),0)</f>
        <v>17333</v>
      </c>
      <c r="E52" s="11" t="s">
        <v>2210</v>
      </c>
      <c r="F52" s="179">
        <f>'数据-取费表'!B41</f>
        <v>5.5000000000000007E-2</v>
      </c>
      <c r="G52" s="2470"/>
      <c r="H52" s="133"/>
      <c r="I52" s="2468"/>
      <c r="J52" s="1804">
        <v>1</v>
      </c>
      <c r="K52" s="3199" t="s">
        <v>2211</v>
      </c>
      <c r="L52" s="3199"/>
      <c r="M52" s="1746">
        <f ca="1">D48</f>
        <v>17333</v>
      </c>
      <c r="N52" s="1804" t="str">
        <f>E48</f>
        <v>销售额×税（费）率</v>
      </c>
      <c r="O52" s="1747">
        <f>F48</f>
        <v>5.5000000000000007E-2</v>
      </c>
    </row>
    <row r="53" spans="1:35" ht="12" customHeight="1">
      <c r="A53" s="178" t="s">
        <v>2212</v>
      </c>
      <c r="B53" s="3157" t="s">
        <v>2213</v>
      </c>
      <c r="C53" s="3158"/>
      <c r="D53" s="177">
        <f ca="1">ROUND(D45*'数据-取费表'!B41/(1+'数据-取费表'!C42),0)</f>
        <v>17333</v>
      </c>
      <c r="E53" s="11" t="s">
        <v>2210</v>
      </c>
      <c r="F53" s="179">
        <f>'数据-取费表'!B41</f>
        <v>5.5000000000000007E-2</v>
      </c>
      <c r="G53" s="2470"/>
      <c r="H53" s="133"/>
      <c r="I53" s="2468"/>
      <c r="J53" s="1804">
        <v>2</v>
      </c>
      <c r="K53" s="3199" t="s">
        <v>2214</v>
      </c>
      <c r="L53" s="3199"/>
      <c r="M53" s="1746">
        <f t="shared" ref="M53:O54" ca="1" si="0">D55</f>
        <v>165</v>
      </c>
      <c r="N53" s="1804" t="str">
        <f t="shared" si="0"/>
        <v>销售额×税（费）率</v>
      </c>
      <c r="O53" s="1747">
        <f t="shared" si="0"/>
        <v>5.0000000000000001E-4</v>
      </c>
    </row>
    <row r="54" spans="1:35" ht="12" customHeight="1">
      <c r="A54" s="178" t="s">
        <v>2215</v>
      </c>
      <c r="B54" s="3157" t="s">
        <v>2216</v>
      </c>
      <c r="C54" s="3158"/>
      <c r="D54" s="177">
        <f ca="1">C68</f>
        <v>17333</v>
      </c>
      <c r="E54" s="30" t="s">
        <v>2217</v>
      </c>
      <c r="F54" s="179">
        <f>'数据-取费表'!B41</f>
        <v>5.5000000000000007E-2</v>
      </c>
      <c r="G54" s="2470"/>
      <c r="H54" s="2471"/>
      <c r="I54" s="2468"/>
      <c r="J54" s="1804">
        <v>3</v>
      </c>
      <c r="K54" s="3199" t="s">
        <v>2218</v>
      </c>
      <c r="L54" s="3199"/>
      <c r="M54" s="1746">
        <f t="shared" ca="1" si="0"/>
        <v>53174</v>
      </c>
      <c r="N54" s="1804" t="str">
        <f t="shared" si="0"/>
        <v>增值额×税（费）率</v>
      </c>
      <c r="O54" s="1748" t="str">
        <f t="shared" si="0"/>
        <v>——</v>
      </c>
    </row>
    <row r="55" spans="1:35" ht="24" customHeight="1">
      <c r="A55" s="3148" t="s">
        <v>2219</v>
      </c>
      <c r="B55" s="3149"/>
      <c r="C55" s="3149"/>
      <c r="D55" s="180">
        <f ca="1">IF(H55="个人住宅",0,ROUND(D45*I55,0))</f>
        <v>165</v>
      </c>
      <c r="E55" s="11" t="s">
        <v>2220</v>
      </c>
      <c r="F55" s="179">
        <f>IF(H55="正常",I55,"免征")</f>
        <v>5.0000000000000001E-4</v>
      </c>
      <c r="G55" s="2470"/>
      <c r="H55" s="2467" t="s">
        <v>2221</v>
      </c>
      <c r="I55" s="181">
        <f>'数据-取费表'!B49</f>
        <v>5.0000000000000001E-4</v>
      </c>
      <c r="J55" s="1804" t="str">
        <f>IF(H59="非个人房产","",4)</f>
        <v/>
      </c>
      <c r="K55" s="3199" t="str">
        <f>IF(H59="非个人房产","——","个人所得税")</f>
        <v>——</v>
      </c>
      <c r="L55" s="3199"/>
      <c r="M55" s="1749" t="str">
        <f>D59</f>
        <v>——</v>
      </c>
      <c r="N55" s="1802" t="str">
        <f>E59</f>
        <v>——</v>
      </c>
      <c r="O55" s="1750" t="str">
        <f>F59</f>
        <v>——</v>
      </c>
    </row>
    <row r="56" spans="1:35" ht="26">
      <c r="A56" s="3148" t="s">
        <v>2222</v>
      </c>
      <c r="B56" s="3149"/>
      <c r="C56" s="3149"/>
      <c r="D56" s="180">
        <f ca="1">IF(H56="个人住宅",D57,D58)</f>
        <v>53174</v>
      </c>
      <c r="E56" s="11" t="s">
        <v>2223</v>
      </c>
      <c r="F56" s="179" t="str">
        <f>IF(H56="正常",F58,"免征")</f>
        <v>——</v>
      </c>
      <c r="G56" s="2472" t="s">
        <v>2224</v>
      </c>
      <c r="H56" s="2473" t="s">
        <v>2221</v>
      </c>
      <c r="I56" s="2474"/>
      <c r="J56" s="1804" t="str">
        <f>IF(项目基本情况!K6="上海银行",IF(J55="",4,J55+1),"")</f>
        <v/>
      </c>
      <c r="K56" s="3222" t="str">
        <f>IF(项目基本情况!K6="上海银行","其他处置费用","")</f>
        <v/>
      </c>
      <c r="L56" s="3223"/>
      <c r="M56" s="1746" t="str">
        <f>IF(项目基本情况!K6="上海银行",M69,"")</f>
        <v/>
      </c>
      <c r="N56" s="3225" t="str">
        <f>IF(项目基本情况!K6="上海银行","包含处置中涉及的律师、诉讼、拍卖、评估等费用","")</f>
        <v/>
      </c>
      <c r="O56" s="3226"/>
    </row>
    <row r="57" spans="1:35" ht="13">
      <c r="A57" s="178" t="s">
        <v>2197</v>
      </c>
      <c r="B57" s="3164" t="s">
        <v>2225</v>
      </c>
      <c r="C57" s="3173"/>
      <c r="D57" s="182">
        <v>0</v>
      </c>
      <c r="E57" s="23" t="s">
        <v>2199</v>
      </c>
      <c r="F57" s="150"/>
      <c r="G57" s="2470"/>
      <c r="H57" s="2474"/>
      <c r="I57" s="2474"/>
      <c r="J57" s="3199">
        <f>IF(AND(J55="",J56=""),4,IF(项目基本情况!K6="上海银行",结果表!J56+1,结果表!J55+1))</f>
        <v>4</v>
      </c>
      <c r="K57" s="3199" t="s">
        <v>2226</v>
      </c>
      <c r="L57" s="2475" t="s">
        <v>2227</v>
      </c>
      <c r="M57" s="1751"/>
      <c r="N57" s="1752">
        <f ca="1">SUMIF(M52:M56,"&lt;9e307")</f>
        <v>70672</v>
      </c>
      <c r="O57" s="2476"/>
      <c r="P57" s="1745">
        <f ca="1">N57/M49</f>
        <v>0.21357638909875551</v>
      </c>
    </row>
    <row r="58" spans="1:35" ht="26">
      <c r="A58" s="178" t="s">
        <v>2208</v>
      </c>
      <c r="B58" s="3164" t="s">
        <v>2228</v>
      </c>
      <c r="C58" s="3165"/>
      <c r="D58" s="180">
        <f ca="1">IF(H58="转让取得",C81,C97)</f>
        <v>53174</v>
      </c>
      <c r="E58" s="11" t="s">
        <v>2223</v>
      </c>
      <c r="F58" s="24" t="s">
        <v>34</v>
      </c>
      <c r="G58" s="2470"/>
      <c r="H58" s="2473" t="s">
        <v>3420</v>
      </c>
      <c r="I58" s="2474"/>
      <c r="J58" s="3199"/>
      <c r="K58" s="3199"/>
      <c r="L58" s="2475" t="s">
        <v>2229</v>
      </c>
      <c r="M58" s="1753"/>
      <c r="N58" s="2477" t="str">
        <f ca="1">NUMBERSTRING(INT(N57*10000),2)&amp;"元整"</f>
        <v>柒亿零陆佰柒拾贰万元整</v>
      </c>
      <c r="O58" s="2478"/>
      <c r="P58" s="790">
        <f ca="1">ROUND(N59*D34,0)</f>
        <v>248516</v>
      </c>
    </row>
    <row r="59" spans="1:35" ht="26.5" thickBot="1">
      <c r="A59" s="3202" t="s">
        <v>2230</v>
      </c>
      <c r="B59" s="3203"/>
      <c r="C59" s="3203"/>
      <c r="D59" s="183" t="str">
        <f>IF(H59="非个人房产","——",IF(H59="个人住宅",0,ROUND(D45*I59,0)))</f>
        <v>——</v>
      </c>
      <c r="E59" s="184" t="str">
        <f>IF(H59="非个人房产","——","销售额×税（费）率")</f>
        <v>——</v>
      </c>
      <c r="F59" s="185" t="str">
        <f>IF(H59="非个人房产","——",IF(H59="个人住宅","免征",I59))</f>
        <v>——</v>
      </c>
      <c r="G59" s="2479" t="s">
        <v>2224</v>
      </c>
      <c r="H59" s="2473" t="s">
        <v>2231</v>
      </c>
      <c r="I59" s="186">
        <v>0.01</v>
      </c>
      <c r="J59" s="3200">
        <f>J57+1</f>
        <v>5</v>
      </c>
      <c r="K59" s="3199" t="s">
        <v>2232</v>
      </c>
      <c r="L59" s="1804" t="s">
        <v>2227</v>
      </c>
      <c r="M59" s="1754"/>
      <c r="N59" s="1755">
        <f ca="1">M49-N57</f>
        <v>260226</v>
      </c>
      <c r="O59" s="2480"/>
      <c r="P59" s="790">
        <f ca="1">ROUND(N59*D35,0)</f>
        <v>11710</v>
      </c>
    </row>
    <row r="60" spans="1:35" ht="12" customHeight="1">
      <c r="A60" s="2481"/>
      <c r="B60" s="2403"/>
      <c r="C60" s="2403"/>
      <c r="D60" s="2403"/>
      <c r="E60" s="2157"/>
      <c r="F60" s="2474"/>
      <c r="G60" s="2474"/>
      <c r="H60" s="2482"/>
      <c r="I60" s="133"/>
      <c r="J60" s="3201"/>
      <c r="K60" s="3199"/>
      <c r="L60" s="2475" t="s">
        <v>2229</v>
      </c>
      <c r="M60" s="1753"/>
      <c r="N60" s="2477" t="str">
        <f ca="1">NUMBERSTRING(INT(N59*10000),2)&amp;"元整"</f>
        <v>贰拾陆亿零贰佰贰拾陆万元整</v>
      </c>
      <c r="O60" s="2478"/>
    </row>
    <row r="61" spans="1:35" ht="13.5" thickBot="1">
      <c r="A61" s="3146" t="s">
        <v>2233</v>
      </c>
      <c r="B61" s="3146"/>
      <c r="C61" s="3146"/>
      <c r="D61" s="3146"/>
      <c r="E61" s="3146"/>
      <c r="F61" s="2474"/>
      <c r="G61" s="2474"/>
      <c r="H61" s="2482"/>
      <c r="I61" s="133"/>
      <c r="J61" s="1804">
        <f>J59+1</f>
        <v>6</v>
      </c>
      <c r="K61" s="3199" t="s">
        <v>2234</v>
      </c>
      <c r="L61" s="3199"/>
      <c r="M61" s="1756"/>
      <c r="N61" s="1757">
        <f ca="1">ROUND(N59*10000/'数据-汇总表'!E3,0)</f>
        <v>12259</v>
      </c>
      <c r="O61" s="2483"/>
    </row>
    <row r="62" spans="1:35" ht="13">
      <c r="A62" s="3162" t="s">
        <v>2235</v>
      </c>
      <c r="B62" s="3163"/>
      <c r="C62" s="1796"/>
      <c r="D62" s="1796" t="s">
        <v>2236</v>
      </c>
      <c r="E62" s="187" t="s">
        <v>2237</v>
      </c>
      <c r="F62" s="2474"/>
      <c r="G62" s="2474"/>
      <c r="H62" s="2482"/>
      <c r="I62" s="133"/>
    </row>
    <row r="63" spans="1:35" ht="13">
      <c r="A63" s="198" t="s">
        <v>775</v>
      </c>
      <c r="B63" s="188" t="s">
        <v>2238</v>
      </c>
      <c r="C63" s="189">
        <f ca="1">ROUND((C64+C65)/(1+'数据-取费表'!C42),0)</f>
        <v>315141</v>
      </c>
      <c r="D63" s="190"/>
      <c r="E63" s="191"/>
      <c r="F63" s="2474"/>
      <c r="G63" s="2474"/>
      <c r="H63" s="2482"/>
      <c r="I63" s="133"/>
      <c r="J63" s="3224" t="s">
        <v>2239</v>
      </c>
      <c r="K63" s="2484" t="s">
        <v>2240</v>
      </c>
      <c r="L63" s="1744">
        <f ca="1">IF(M49&gt;10000,M49*0.5%,IF(AND(M49&gt;1000,M49&lt;=10000),M49*1%,IF(AND(M49&gt;100,M49&lt;=1000),M49*3%,IF(AND(M49&gt;10,M49&lt;=100),M49*5%,M49*8%))))</f>
        <v>1654.49</v>
      </c>
      <c r="M63" s="24">
        <f ca="1">ROUND(L63,1)</f>
        <v>1654.5</v>
      </c>
      <c r="Z63" s="2408"/>
      <c r="AI63" s="2409"/>
    </row>
    <row r="64" spans="1:35" ht="14.25" customHeight="1">
      <c r="A64" s="192" t="s">
        <v>770</v>
      </c>
      <c r="B64" s="193" t="s">
        <v>2241</v>
      </c>
      <c r="C64" s="194">
        <f ca="1">D45</f>
        <v>330898</v>
      </c>
      <c r="D64" s="195" t="s">
        <v>32</v>
      </c>
      <c r="E64" s="196"/>
      <c r="F64" s="2474"/>
      <c r="G64" s="2474"/>
      <c r="H64" s="2482"/>
      <c r="I64" s="133"/>
      <c r="J64" s="3224"/>
      <c r="K64" s="2484" t="s">
        <v>2242</v>
      </c>
      <c r="L64" s="1744">
        <f ca="1">IF(M49&gt;2000,M49*0.5%,IF(AND(M49&gt;1000,M49&lt;=2000),M49*0.6%,IF(AND(M49&gt;500,M49&lt;=1000),M49*0.7%,IF(AND(M49&gt;200,M49&lt;=500),M49*0.8%,IF(AND(M49&gt;100,M49&lt;=200),M49*0.9%,IF(AND(M49&gt;50,M49&lt;=100),M49*1%,IF(AND(M49&gt;20,M49&lt;=50),M49*1.5%,IF(AND(M49&gt;10,M49&lt;=20),M49*2%,IF(AND(M49&gt;1,M49&lt;=10),M49*2.5%)))))))))</f>
        <v>1654.49</v>
      </c>
      <c r="M64" s="24">
        <f t="shared" ref="M64:M65" ca="1" si="1">ROUND(L64,1)</f>
        <v>1654.5</v>
      </c>
      <c r="N64" s="133" t="s">
        <v>2243</v>
      </c>
      <c r="Z64" s="2408"/>
      <c r="AI64" s="2409"/>
    </row>
    <row r="65" spans="1:35" ht="14.25" customHeight="1">
      <c r="A65" s="192" t="s">
        <v>771</v>
      </c>
      <c r="B65" s="193" t="s">
        <v>2244</v>
      </c>
      <c r="C65" s="197"/>
      <c r="D65" s="195"/>
      <c r="E65" s="196"/>
      <c r="F65" s="2474"/>
      <c r="G65" s="2474"/>
      <c r="H65" s="2482"/>
      <c r="I65" s="133"/>
      <c r="J65" s="3224"/>
      <c r="K65" s="2484" t="s">
        <v>2245</v>
      </c>
      <c r="L65" s="1744">
        <f ca="1">IF(M49&gt;1000,M49*0.1%,IF(AND(M49&gt;500,M49&lt;=1000),M49*0.5%,IF(AND(M49&gt;50,M49&lt;=500),M49*1%,IF(AND(M49&gt;1,M49&lt;=50),M49*1.5%))))</f>
        <v>330.89800000000002</v>
      </c>
      <c r="M65" s="24">
        <f t="shared" ca="1" si="1"/>
        <v>330.9</v>
      </c>
      <c r="N65" s="133" t="s">
        <v>2243</v>
      </c>
      <c r="Z65" s="2408"/>
      <c r="AI65" s="2409"/>
    </row>
    <row r="66" spans="1:35" ht="14.25" customHeight="1">
      <c r="A66" s="198" t="s">
        <v>772</v>
      </c>
      <c r="B66" s="199" t="s">
        <v>2246</v>
      </c>
      <c r="C66" s="200"/>
      <c r="D66" s="201" t="s">
        <v>32</v>
      </c>
      <c r="E66" s="1768" t="s">
        <v>1366</v>
      </c>
      <c r="F66" s="2474"/>
      <c r="G66" s="2474"/>
      <c r="H66" s="2482"/>
      <c r="I66" s="133"/>
      <c r="J66" s="3224"/>
      <c r="K66" s="2484" t="s">
        <v>2247</v>
      </c>
      <c r="L66" s="1744">
        <f ca="1">M49*0.5%</f>
        <v>1654.49</v>
      </c>
      <c r="M66" s="24">
        <f ca="1">IF(L66&gt;0.5,0.5,ROUND(L66,0))</f>
        <v>0.5</v>
      </c>
      <c r="N66" s="133" t="s">
        <v>2248</v>
      </c>
      <c r="Z66" s="2408"/>
      <c r="AI66" s="2409"/>
    </row>
    <row r="67" spans="1:35" ht="14.25" customHeight="1">
      <c r="A67" s="198" t="s">
        <v>773</v>
      </c>
      <c r="B67" s="199" t="s">
        <v>2249</v>
      </c>
      <c r="C67" s="202">
        <f ca="1">C63-C66</f>
        <v>315141</v>
      </c>
      <c r="D67" s="195" t="s">
        <v>32</v>
      </c>
      <c r="E67" s="196"/>
      <c r="F67" s="2474"/>
      <c r="G67" s="2474"/>
      <c r="H67" s="2482"/>
      <c r="I67" s="133"/>
      <c r="J67" s="3224"/>
      <c r="K67" s="2484" t="s">
        <v>2250</v>
      </c>
      <c r="L67" s="1744">
        <f ca="1">IF(M49&gt;=10000,(8.25+(M49-10000)*0.01%),IF(AND(M49&gt;=8000,M49&lt;10000),(7.85+(M49-8000)*0.02%),IF(AND(M49&gt;=5000,M49&lt;8000),(6.65+(M49-5000)*0.04%),IF(AND(M49&gt;=2000,M49&lt;5000),(4.25+(PM49-2000)*0.08%),IF(AND(M49&gt;=1000,M49&lt;2000),(2.75+(M49-1000)*0.15%),IF(AND(M49&gt;=100,M49&lt;1000),(0.5+(M49-100)*0.25%),IF(AND(M49&gt;0,M49&lt;100),M49*0.5%)))))))</f>
        <v>40.339800000000004</v>
      </c>
      <c r="M67" s="24">
        <f ca="1">ROUND(L67*0.9,1)</f>
        <v>36.299999999999997</v>
      </c>
      <c r="Z67" s="2408"/>
      <c r="AI67" s="2409"/>
    </row>
    <row r="68" spans="1:35" ht="14.25" customHeight="1" thickBot="1">
      <c r="A68" s="203" t="s">
        <v>774</v>
      </c>
      <c r="B68" s="204" t="s">
        <v>2251</v>
      </c>
      <c r="C68" s="205">
        <f ca="1">IF(C67&lt;=0,0,ROUND(C67*D68,0))</f>
        <v>17333</v>
      </c>
      <c r="D68" s="206">
        <f>'数据-取费表'!B41</f>
        <v>5.5000000000000007E-2</v>
      </c>
      <c r="E68" s="207"/>
      <c r="F68" s="2474"/>
      <c r="G68" s="2474"/>
      <c r="H68" s="2482"/>
      <c r="I68" s="133"/>
      <c r="J68" s="3224"/>
      <c r="K68" s="2484" t="s">
        <v>2252</v>
      </c>
      <c r="L68" s="1744">
        <f ca="1">IF(M49&gt;10000,M49*0.5%,IF(AND(M49&gt;5000,M49&lt;=10000),M49*1%,IF(AND(M49&gt;1000,M49&lt;=5000),M49*2%,IF(AND(M49&gt;200,M49&lt;=1000),M49*3%,M49*5%))))</f>
        <v>1654.49</v>
      </c>
      <c r="M68" s="24">
        <f ca="1">ROUND(L68,1)</f>
        <v>1654.5</v>
      </c>
      <c r="Z68" s="2408"/>
      <c r="AI68" s="2409"/>
    </row>
    <row r="69" spans="1:35" s="2431" customFormat="1" ht="16.5" customHeight="1">
      <c r="A69" s="2485"/>
      <c r="B69" s="2486"/>
      <c r="C69" s="2487"/>
      <c r="D69" s="2488"/>
      <c r="E69" s="2489"/>
      <c r="F69" s="2157"/>
      <c r="G69" s="2157"/>
      <c r="H69" s="2156"/>
      <c r="I69" s="2403"/>
      <c r="J69" s="3224"/>
      <c r="K69" s="2484" t="s">
        <v>2253</v>
      </c>
      <c r="L69" s="2490"/>
      <c r="M69" s="24">
        <f ca="1">ROUND(SUM(M63:M68),0)</f>
        <v>5331</v>
      </c>
      <c r="N69" s="1745">
        <f ca="1">M69/M49</f>
        <v>1.6110704809337018E-2</v>
      </c>
      <c r="O69" s="790"/>
      <c r="P69" s="790"/>
      <c r="Q69" s="790"/>
      <c r="R69" s="790"/>
      <c r="S69" s="790"/>
      <c r="T69" s="790"/>
      <c r="U69" s="790"/>
      <c r="V69" s="790"/>
      <c r="W69" s="790"/>
      <c r="X69" s="790"/>
      <c r="Y69" s="790"/>
      <c r="Z69" s="2408"/>
      <c r="AA69" s="2408"/>
      <c r="AB69" s="2408"/>
      <c r="AC69" s="2408"/>
      <c r="AD69" s="2408"/>
      <c r="AE69" s="2408"/>
      <c r="AF69" s="2408"/>
      <c r="AG69" s="2408"/>
      <c r="AH69" s="2408"/>
    </row>
    <row r="70" spans="1:35" s="2492" customFormat="1" ht="14.5" thickBot="1">
      <c r="A70" s="3183" t="s">
        <v>2254</v>
      </c>
      <c r="B70" s="3184"/>
      <c r="C70" s="3184"/>
      <c r="D70" s="3184"/>
      <c r="E70" s="3184"/>
      <c r="F70" s="3184"/>
      <c r="G70" s="3184"/>
      <c r="H70" s="3184"/>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
      <c r="A71" s="3162" t="s">
        <v>2235</v>
      </c>
      <c r="B71" s="3163"/>
      <c r="C71" s="1796"/>
      <c r="D71" s="1796" t="s">
        <v>2236</v>
      </c>
      <c r="E71" s="208" t="s">
        <v>2237</v>
      </c>
      <c r="F71" s="209"/>
      <c r="G71" s="209"/>
      <c r="H71" s="210"/>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
      <c r="A72" s="198" t="s">
        <v>775</v>
      </c>
      <c r="B72" s="199" t="s">
        <v>2255</v>
      </c>
      <c r="C72" s="202">
        <f ca="1">ROUND(D45/(1+'数据-取费表'!C42),0)</f>
        <v>315141</v>
      </c>
      <c r="D72" s="195" t="s">
        <v>32</v>
      </c>
      <c r="E72" s="1795"/>
      <c r="F72" s="1789"/>
      <c r="G72" s="1789"/>
      <c r="H72" s="211"/>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
      <c r="A73" s="198" t="s">
        <v>772</v>
      </c>
      <c r="B73" s="168" t="s">
        <v>2256</v>
      </c>
      <c r="C73" s="202">
        <f ca="1">C74+C78</f>
        <v>1576</v>
      </c>
      <c r="D73" s="195" t="s">
        <v>32</v>
      </c>
      <c r="E73" s="1795"/>
      <c r="F73" s="1789"/>
      <c r="G73" s="1789"/>
      <c r="H73" s="211"/>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6">
      <c r="A74" s="212" t="s">
        <v>770</v>
      </c>
      <c r="B74" s="193" t="s">
        <v>2257</v>
      </c>
      <c r="C74" s="195">
        <f>ROUND(IF(G77="2016年5月1日后购买",C75/(1+'数据-取费表'!C42)+C76+C77,C75+C76+C77),0)</f>
        <v>0</v>
      </c>
      <c r="D74" s="195" t="s">
        <v>32</v>
      </c>
      <c r="E74" s="1795"/>
      <c r="F74" s="1789"/>
      <c r="G74" s="1789"/>
      <c r="H74" s="211"/>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
      <c r="A75" s="212" t="s">
        <v>776</v>
      </c>
      <c r="B75" s="193" t="s">
        <v>2258</v>
      </c>
      <c r="C75" s="213"/>
      <c r="D75" s="195" t="s">
        <v>32</v>
      </c>
      <c r="E75" s="214" t="s">
        <v>2259</v>
      </c>
      <c r="F75" s="2496" t="s">
        <v>2260</v>
      </c>
      <c r="G75" s="214" t="s">
        <v>2261</v>
      </c>
      <c r="H75" s="215"/>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2" t="s">
        <v>777</v>
      </c>
      <c r="B76" s="216" t="s">
        <v>2262</v>
      </c>
      <c r="C76" s="195">
        <f>IF(F75="购房发票",ROUND(C75*H75*D76,0),0)</f>
        <v>0</v>
      </c>
      <c r="D76" s="217">
        <v>0.05</v>
      </c>
      <c r="E76" s="3157" t="s">
        <v>2263</v>
      </c>
      <c r="F76" s="3134"/>
      <c r="G76" s="3134"/>
      <c r="H76" s="3182"/>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2" t="s">
        <v>778</v>
      </c>
      <c r="B77" s="193" t="s">
        <v>2264</v>
      </c>
      <c r="C77" s="195">
        <f>ROUND(IF(G77="个人住宅",0,IF(G77="2016年5月1日前购买",C75*D77,C75*D77/(1+'数据-取费表'!C42))),0)</f>
        <v>0</v>
      </c>
      <c r="D77" s="218">
        <f>'数据-取费表'!B48+'数据-取费表'!B49</f>
        <v>3.0499999999999999E-2</v>
      </c>
      <c r="E77" s="15" t="s">
        <v>2265</v>
      </c>
      <c r="F77" s="219"/>
      <c r="G77" s="2498" t="s">
        <v>2266</v>
      </c>
      <c r="H77" s="1800"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2" t="s">
        <v>771</v>
      </c>
      <c r="B78" s="193" t="s">
        <v>2267</v>
      </c>
      <c r="C78" s="220">
        <f ca="1">ROUND(D45*D78/(1+'数据-取费表'!C42),0)</f>
        <v>1576</v>
      </c>
      <c r="D78" s="221">
        <f>'数据-取费表'!B43</f>
        <v>5.000000000000001E-3</v>
      </c>
      <c r="E78" s="3143" t="s">
        <v>2268</v>
      </c>
      <c r="F78" s="3144"/>
      <c r="G78" s="3144"/>
      <c r="H78" s="3153"/>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
      <c r="A79" s="2500" t="s">
        <v>779</v>
      </c>
      <c r="B79" s="199" t="s">
        <v>2269</v>
      </c>
      <c r="C79" s="202">
        <f ca="1">C72-C73</f>
        <v>313565</v>
      </c>
      <c r="D79" s="195" t="s">
        <v>32</v>
      </c>
      <c r="E79" s="1795"/>
      <c r="F79" s="1789"/>
      <c r="G79" s="1789"/>
      <c r="H79" s="211"/>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6">
      <c r="A80" s="2500" t="s">
        <v>780</v>
      </c>
      <c r="B80" s="199" t="s">
        <v>2270</v>
      </c>
      <c r="C80" s="222">
        <f ca="1">IF(C79&lt;=0,0,C79/C73)</f>
        <v>198.96256345177665</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1"/>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6.5" thickBot="1">
      <c r="A81" s="2501" t="s">
        <v>781</v>
      </c>
      <c r="B81" s="204" t="s">
        <v>2271</v>
      </c>
      <c r="C81" s="223">
        <f ca="1">ROUND(IF(C79&lt;=0,0,IF(C80&gt;=200%,C79*60%-C73*35%,IF(C80&gt;=100%,C79*50%-C73*15%,IF(C80&gt;=50%,C79*40%-C73*5%,IF(C80&lt;50%,C79*30%,0))))),0)</f>
        <v>187587</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28"/>
      <c r="B82" s="729"/>
      <c r="C82" s="7"/>
      <c r="D82" s="7"/>
      <c r="E82" s="729"/>
      <c r="F82" s="729"/>
      <c r="G82" s="729"/>
      <c r="H82" s="730"/>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4.5" thickBot="1">
      <c r="A83" s="3183" t="s">
        <v>2272</v>
      </c>
      <c r="B83" s="3184"/>
      <c r="C83" s="3184"/>
      <c r="D83" s="3184"/>
      <c r="E83" s="3184"/>
      <c r="F83" s="3184"/>
      <c r="G83" s="3184"/>
      <c r="H83" s="3184"/>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
      <c r="A84" s="3162" t="s">
        <v>2235</v>
      </c>
      <c r="B84" s="3163"/>
      <c r="C84" s="1796"/>
      <c r="D84" s="1796" t="s">
        <v>2236</v>
      </c>
      <c r="E84" s="208" t="s">
        <v>2237</v>
      </c>
      <c r="F84" s="209"/>
      <c r="G84" s="209"/>
      <c r="H84" s="228"/>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
      <c r="A85" s="198" t="s">
        <v>775</v>
      </c>
      <c r="B85" s="199" t="s">
        <v>2255</v>
      </c>
      <c r="C85" s="202">
        <f ca="1">ROUND(D45/(1+'数据-取费表'!C42),0)</f>
        <v>315141</v>
      </c>
      <c r="D85" s="195" t="s">
        <v>32</v>
      </c>
      <c r="E85" s="1795"/>
      <c r="F85" s="1789"/>
      <c r="G85" s="1789"/>
      <c r="H85" s="229"/>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
      <c r="A86" s="198" t="s">
        <v>772</v>
      </c>
      <c r="B86" s="168" t="s">
        <v>2256</v>
      </c>
      <c r="C86" s="202">
        <f ca="1">IF(H88="仅含出让金",C87+C90+C91+C92+C93+C94,C87+C91+C92+C93+C94)</f>
        <v>161961.66862345627</v>
      </c>
      <c r="D86" s="230"/>
      <c r="E86" s="1795"/>
      <c r="F86" s="1789"/>
      <c r="G86" s="1789"/>
      <c r="H86" s="229"/>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
      <c r="A87" s="212" t="s">
        <v>770</v>
      </c>
      <c r="B87" s="193" t="s">
        <v>2273</v>
      </c>
      <c r="C87" s="220">
        <f>C88+C89</f>
        <v>110600.66862345627</v>
      </c>
      <c r="D87" s="221"/>
      <c r="E87" s="1791"/>
      <c r="F87" s="1792"/>
      <c r="G87" s="1792"/>
      <c r="H87" s="1794"/>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
      <c r="A88" s="212" t="s">
        <v>776</v>
      </c>
      <c r="B88" s="193" t="s">
        <v>2274</v>
      </c>
      <c r="C88" s="231">
        <f>(164500+6344.422+2643.1551)*('数据-汇总表'!E3/343111.02)</f>
        <v>107327.66862345627</v>
      </c>
      <c r="D88" s="221"/>
      <c r="E88" s="232" t="s">
        <v>2275</v>
      </c>
      <c r="F88" s="1792"/>
      <c r="G88" s="233" t="s">
        <v>2276</v>
      </c>
      <c r="H88" s="2502" t="s">
        <v>3421</v>
      </c>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
      <c r="A89" s="212" t="s">
        <v>777</v>
      </c>
      <c r="B89" s="193" t="s">
        <v>2264</v>
      </c>
      <c r="C89" s="220">
        <f>ROUND(C88*D89,0)</f>
        <v>3273</v>
      </c>
      <c r="D89" s="221">
        <f>'数据-取费表'!B48+'数据-取费表'!B49</f>
        <v>3.0499999999999999E-2</v>
      </c>
      <c r="E89" s="232" t="s">
        <v>2277</v>
      </c>
      <c r="F89" s="1792"/>
      <c r="G89" s="1792"/>
      <c r="H89" s="1794"/>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
      <c r="A90" s="212" t="s">
        <v>771</v>
      </c>
      <c r="B90" s="193" t="s">
        <v>2278</v>
      </c>
      <c r="C90" s="231"/>
      <c r="D90" s="221"/>
      <c r="E90" s="232" t="str">
        <f>IF(H88="-","土地取得成本中已包含该笔费用"," ")</f>
        <v xml:space="preserve"> </v>
      </c>
      <c r="F90" s="1792"/>
      <c r="G90" s="1792"/>
      <c r="H90" s="1794"/>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2" t="s">
        <v>2279</v>
      </c>
      <c r="B91" s="193" t="s">
        <v>2280</v>
      </c>
      <c r="C91" s="220">
        <f ca="1">IF(H91="——",成本法!C33,I91)</f>
        <v>12773</v>
      </c>
      <c r="D91" s="221"/>
      <c r="E91" s="3143" t="s">
        <v>2281</v>
      </c>
      <c r="F91" s="3144"/>
      <c r="G91" s="3144"/>
      <c r="H91" s="2503" t="s">
        <v>70</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2" t="s">
        <v>2282</v>
      </c>
      <c r="B92" s="193" t="s">
        <v>2283</v>
      </c>
      <c r="C92" s="220">
        <f ca="1">ROUND((C87+C90+C91)*D92,0)</f>
        <v>12337</v>
      </c>
      <c r="D92" s="221">
        <v>0.1</v>
      </c>
      <c r="E92" s="3143" t="s">
        <v>2284</v>
      </c>
      <c r="F92" s="3144"/>
      <c r="G92" s="3144"/>
      <c r="H92" s="3153"/>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2" t="s">
        <v>2285</v>
      </c>
      <c r="B93" s="193" t="s">
        <v>2267</v>
      </c>
      <c r="C93" s="220">
        <f ca="1">ROUND(D45*D93/(1+'数据-取费表'!C42),0)</f>
        <v>1576</v>
      </c>
      <c r="D93" s="221">
        <f>'数据-取费表'!B43</f>
        <v>5.000000000000001E-3</v>
      </c>
      <c r="E93" s="3143" t="s">
        <v>2268</v>
      </c>
      <c r="F93" s="3144"/>
      <c r="G93" s="3144"/>
      <c r="H93" s="3153"/>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2" t="s">
        <v>2286</v>
      </c>
      <c r="B94" s="193" t="s">
        <v>2287</v>
      </c>
      <c r="C94" s="231">
        <f ca="1">ROUND((C87+C90+C91)*D94,0)</f>
        <v>24675</v>
      </c>
      <c r="D94" s="221">
        <v>0.2</v>
      </c>
      <c r="E94" s="3154" t="s">
        <v>2288</v>
      </c>
      <c r="F94" s="3155"/>
      <c r="G94" s="3155"/>
      <c r="H94" s="3156"/>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
      <c r="A95" s="2500" t="s">
        <v>779</v>
      </c>
      <c r="B95" s="199" t="s">
        <v>2269</v>
      </c>
      <c r="C95" s="202">
        <f ca="1">ROUND(C85-C86,0)</f>
        <v>153179</v>
      </c>
      <c r="D95" s="195" t="s">
        <v>32</v>
      </c>
      <c r="E95" s="1795"/>
      <c r="F95" s="1789"/>
      <c r="G95" s="1789"/>
      <c r="H95" s="229"/>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6">
      <c r="A96" s="2500" t="s">
        <v>780</v>
      </c>
      <c r="B96" s="199" t="s">
        <v>2270</v>
      </c>
      <c r="C96" s="222">
        <f ca="1">IF(C95&lt;=0,0,C95/C86)</f>
        <v>0.94577316535386502</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89"/>
      <c r="G96" s="1789"/>
      <c r="H96" s="229"/>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6.5" thickBot="1">
      <c r="A97" s="2501" t="s">
        <v>781</v>
      </c>
      <c r="B97" s="204" t="s">
        <v>2271</v>
      </c>
      <c r="C97" s="223">
        <f ca="1">ROUND(IF(C95&lt;=0,0,IF(C96&gt;=200%,C95*60%-C86*35%,IF(C96&gt;=100%,C95*50%-C86*15%,IF(C96&gt;=50%,C95*40%-C86*5%,IF(C96&lt;50%,C95*30%,0))))),0)</f>
        <v>53174</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26"/>
      <c r="G97" s="226"/>
      <c r="H97" s="234"/>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7"/>
      <c r="F98" s="2157"/>
      <c r="G98" s="2157"/>
      <c r="H98" s="2156"/>
      <c r="I98" s="133"/>
    </row>
    <row r="99" spans="1:35" ht="21.75" customHeight="1" thickBot="1">
      <c r="A99" s="2459" t="s">
        <v>2289</v>
      </c>
      <c r="B99" s="2403"/>
      <c r="C99" s="2403"/>
      <c r="D99" s="2403"/>
      <c r="E99" s="2157"/>
      <c r="F99" s="2157"/>
      <c r="G99" s="2157"/>
      <c r="H99" s="2156"/>
      <c r="I99" s="133"/>
    </row>
    <row r="100" spans="1:35" ht="18.75" customHeight="1">
      <c r="A100" s="3128" t="s">
        <v>2290</v>
      </c>
      <c r="B100" s="3129"/>
      <c r="C100" s="3129"/>
      <c r="D100" s="3145"/>
      <c r="E100" s="3129" t="s">
        <v>2291</v>
      </c>
      <c r="F100" s="3129"/>
      <c r="G100" s="3129"/>
      <c r="H100" s="3145"/>
      <c r="I100" s="133"/>
    </row>
    <row r="101" spans="1:35" ht="18.75" customHeight="1">
      <c r="A101" s="3207" t="s">
        <v>2292</v>
      </c>
      <c r="B101" s="3208"/>
      <c r="C101" s="731" t="str">
        <f>C4</f>
        <v>成本法</v>
      </c>
      <c r="D101" s="732" t="str">
        <f>D4</f>
        <v>假设开发法</v>
      </c>
      <c r="E101" s="3221" t="s">
        <v>2293</v>
      </c>
      <c r="F101" s="3175"/>
      <c r="G101" s="2505" t="s">
        <v>2294</v>
      </c>
      <c r="H101" s="1040">
        <f ca="1">H118</f>
        <v>330898</v>
      </c>
      <c r="I101" s="133"/>
    </row>
    <row r="102" spans="1:35" ht="18.75" customHeight="1">
      <c r="A102" s="3177" t="s">
        <v>2295</v>
      </c>
      <c r="B102" s="2505" t="s">
        <v>2294</v>
      </c>
      <c r="C102" s="731">
        <f ca="1">C19</f>
        <v>357177</v>
      </c>
      <c r="D102" s="732">
        <f ca="1">D19</f>
        <v>304619</v>
      </c>
      <c r="E102" s="3221"/>
      <c r="F102" s="3175"/>
      <c r="G102" s="2505" t="s">
        <v>2296</v>
      </c>
      <c r="H102" s="366">
        <f ca="1">I118</f>
        <v>15589</v>
      </c>
      <c r="I102" s="133"/>
    </row>
    <row r="103" spans="1:35" ht="42.75" customHeight="1">
      <c r="A103" s="3177"/>
      <c r="B103" s="2505" t="s">
        <v>2296</v>
      </c>
      <c r="C103" s="733">
        <f ca="1">C20</f>
        <v>16827</v>
      </c>
      <c r="D103" s="734">
        <f ca="1">D20</f>
        <v>14351</v>
      </c>
      <c r="E103" s="3216" t="s">
        <v>2297</v>
      </c>
      <c r="F103" s="3217"/>
      <c r="G103" s="2506" t="s">
        <v>2298</v>
      </c>
      <c r="H103" s="1040">
        <f>IF(D36="正常操作",H104+H105+H106,H105+H106)</f>
        <v>0</v>
      </c>
      <c r="I103" s="133"/>
    </row>
    <row r="104" spans="1:35" ht="18.75" customHeight="1">
      <c r="A104" s="3177" t="s">
        <v>2299</v>
      </c>
      <c r="B104" s="2507" t="s">
        <v>2294</v>
      </c>
      <c r="C104" s="735">
        <f ca="1">H118</f>
        <v>330898</v>
      </c>
      <c r="D104" s="736"/>
      <c r="E104" s="2252" t="s">
        <v>2300</v>
      </c>
      <c r="F104" s="2244"/>
      <c r="G104" s="2506" t="s">
        <v>2298</v>
      </c>
      <c r="H104" s="1041">
        <f>IF(D36="同一抵押权人同一抵押物续贷",C36&amp;"（未扣减，详见特别提示）",C36)</f>
        <v>0</v>
      </c>
      <c r="I104" s="133"/>
    </row>
    <row r="105" spans="1:35" ht="18.75" customHeight="1" thickBot="1">
      <c r="A105" s="3178"/>
      <c r="B105" s="2508" t="s">
        <v>2296</v>
      </c>
      <c r="C105" s="737">
        <f ca="1">I118</f>
        <v>15589</v>
      </c>
      <c r="D105" s="738"/>
      <c r="E105" s="2252" t="s">
        <v>2301</v>
      </c>
      <c r="F105" s="2244"/>
      <c r="G105" s="2506" t="s">
        <v>2298</v>
      </c>
      <c r="H105" s="1041">
        <f>C37</f>
        <v>0</v>
      </c>
      <c r="I105" s="133"/>
    </row>
    <row r="106" spans="1:35" ht="18.75" customHeight="1">
      <c r="A106" s="2403" t="s">
        <v>2302</v>
      </c>
      <c r="B106" s="2403"/>
      <c r="C106" s="2403"/>
      <c r="D106" s="2403"/>
      <c r="E106" s="2509" t="s">
        <v>2303</v>
      </c>
      <c r="F106" s="2244"/>
      <c r="G106" s="2506" t="s">
        <v>2298</v>
      </c>
      <c r="H106" s="1041">
        <f>C38</f>
        <v>0</v>
      </c>
      <c r="I106" s="133"/>
    </row>
    <row r="107" spans="1:35" ht="18.75" customHeight="1">
      <c r="A107" s="133"/>
      <c r="B107" s="133"/>
      <c r="C107" s="133"/>
      <c r="D107" s="133"/>
      <c r="E107" s="3174" t="str">
        <f>IF(项目基本情况!E8="已注销","——","3.房地产抵押价值")</f>
        <v>——</v>
      </c>
      <c r="F107" s="3175"/>
      <c r="G107" s="2505" t="s">
        <v>2294</v>
      </c>
      <c r="H107" s="1040" t="str">
        <f>IF(E107="——","——",H101-H103)</f>
        <v>——</v>
      </c>
      <c r="I107" s="133"/>
    </row>
    <row r="108" spans="1:35" ht="18.75" customHeight="1">
      <c r="A108" s="133"/>
      <c r="B108" s="133"/>
      <c r="C108" s="133"/>
      <c r="D108" s="133"/>
      <c r="E108" s="3174"/>
      <c r="F108" s="3175"/>
      <c r="G108" s="2505" t="s">
        <v>2296</v>
      </c>
      <c r="H108" s="366" t="e">
        <f>ROUND(H107*10000/'数据-汇总表'!E3,0)</f>
        <v>#VALUE!</v>
      </c>
      <c r="I108" s="133"/>
    </row>
    <row r="109" spans="1:35" ht="18.75" customHeight="1">
      <c r="A109" s="133"/>
      <c r="B109" s="133"/>
      <c r="C109" s="133"/>
      <c r="D109" s="133"/>
      <c r="E109" s="3174" t="str">
        <f>IF(项目基本情况!E8="已注销及未注销","4.抵押担保权已注销时的房地产抵押价值",IF(项目基本情况!E8="已注销","3.抵押担保权已注销时的房地产抵押价值","——"))</f>
        <v>3.抵押担保权已注销时的房地产抵押价值</v>
      </c>
      <c r="F109" s="3175"/>
      <c r="G109" s="2505" t="s">
        <v>2294</v>
      </c>
      <c r="H109" s="343">
        <f ca="1">IF(E109="——","——",H101-H105-H106)</f>
        <v>330898</v>
      </c>
      <c r="I109" s="133"/>
    </row>
    <row r="110" spans="1:35" ht="18.75" customHeight="1">
      <c r="A110" s="133"/>
      <c r="B110" s="133"/>
      <c r="C110" s="133"/>
      <c r="D110" s="133"/>
      <c r="E110" s="3174"/>
      <c r="F110" s="3175"/>
      <c r="G110" s="2505" t="s">
        <v>2296</v>
      </c>
      <c r="H110" s="366">
        <f ca="1">IF(H109="——","——",ROUND(H109*10000/'数据-汇总表'!E3,0))</f>
        <v>15589</v>
      </c>
      <c r="I110" s="133"/>
    </row>
    <row r="111" spans="1:35" ht="18.75" customHeight="1">
      <c r="A111" s="133"/>
      <c r="B111" s="133"/>
      <c r="C111" s="133"/>
      <c r="D111" s="133"/>
      <c r="E111" s="3209" t="str">
        <f>IF(项目基本情况!E9="抵押净值",IF(OR(项目基本情况!E8="已注销",项目基本情况!E8="房地产抵押价值"),"4.抵押净值","5.抵押净值"),"——")</f>
        <v>4.抵押净值</v>
      </c>
      <c r="F111" s="3210"/>
      <c r="G111" s="2505" t="s">
        <v>2294</v>
      </c>
      <c r="H111" s="1040">
        <f ca="1">IF(E111="——","——",N59)</f>
        <v>260226</v>
      </c>
      <c r="I111" s="133"/>
    </row>
    <row r="112" spans="1:35" ht="18.75" customHeight="1" thickBot="1">
      <c r="A112" s="133"/>
      <c r="B112" s="133"/>
      <c r="C112" s="133"/>
      <c r="D112" s="133"/>
      <c r="E112" s="3211"/>
      <c r="F112" s="3212"/>
      <c r="G112" s="2510" t="s">
        <v>2296</v>
      </c>
      <c r="H112" s="785">
        <f ca="1">IF(E111="——","——",N61)</f>
        <v>12259</v>
      </c>
      <c r="I112" s="133"/>
    </row>
    <row r="113" spans="1:11" ht="18.75" customHeight="1">
      <c r="A113" s="133"/>
      <c r="B113" s="133"/>
      <c r="C113" s="133"/>
      <c r="D113" s="133"/>
      <c r="E113" s="3179" t="s">
        <v>2302</v>
      </c>
      <c r="F113" s="3179"/>
      <c r="G113" s="3179"/>
      <c r="H113" s="3179"/>
      <c r="I113" s="133"/>
    </row>
    <row r="114" spans="1:11" ht="3.75" customHeight="1">
      <c r="A114" s="2403"/>
      <c r="B114" s="2403"/>
      <c r="C114" s="2403"/>
      <c r="D114" s="2403"/>
      <c r="E114" s="2481"/>
      <c r="F114" s="2481"/>
      <c r="G114" s="2481"/>
      <c r="H114" s="2481"/>
      <c r="I114" s="2403"/>
    </row>
    <row r="115" spans="1:11" ht="18.75" customHeight="1">
      <c r="A115" s="3192" t="s">
        <v>2304</v>
      </c>
      <c r="B115" s="3193"/>
      <c r="C115" s="3193"/>
      <c r="D115" s="3193"/>
      <c r="E115" s="3193"/>
      <c r="F115" s="3193"/>
      <c r="G115" s="3193"/>
      <c r="H115" s="3193"/>
      <c r="I115" s="3194"/>
    </row>
    <row r="116" spans="1:11" ht="27" customHeight="1">
      <c r="A116" s="3085" t="s">
        <v>2305</v>
      </c>
      <c r="B116" s="3180" t="s">
        <v>2306</v>
      </c>
      <c r="C116" s="3180" t="s">
        <v>2307</v>
      </c>
      <c r="D116" s="3196" t="s">
        <v>2308</v>
      </c>
      <c r="E116" s="3197"/>
      <c r="F116" s="3188" t="s">
        <v>2309</v>
      </c>
      <c r="G116" s="3188"/>
      <c r="H116" s="3085" t="s">
        <v>2310</v>
      </c>
      <c r="I116" s="3085"/>
    </row>
    <row r="117" spans="1:11" ht="18.75" customHeight="1">
      <c r="A117" s="3085"/>
      <c r="B117" s="3181"/>
      <c r="C117" s="3181"/>
      <c r="D117" s="1790" t="s">
        <v>2311</v>
      </c>
      <c r="E117" s="1790" t="s">
        <v>2312</v>
      </c>
      <c r="F117" s="1790" t="s">
        <v>2311</v>
      </c>
      <c r="G117" s="1790" t="s">
        <v>2313</v>
      </c>
      <c r="H117" s="1790" t="s">
        <v>2311</v>
      </c>
      <c r="I117" s="1790" t="s">
        <v>2313</v>
      </c>
    </row>
    <row r="118" spans="1:11" ht="24.75" customHeight="1">
      <c r="A118" s="2511" t="str">
        <f>项目基本情况!S2</f>
        <v>北京市怀柔区雁栖湖柏崖厂村HR-0009-0113地块出让国有建设用地使用权及在建建筑物房地产</v>
      </c>
      <c r="B118" s="1790">
        <f>M18</f>
        <v>212264.80000000002</v>
      </c>
      <c r="C118" s="1790">
        <f>M19</f>
        <v>104283.06</v>
      </c>
      <c r="D118" s="1790">
        <f ca="1">ROUND(IF(D32="总价",C34,E118*B118/10000),0)</f>
        <v>316008</v>
      </c>
      <c r="E118" s="1790">
        <f ca="1">ROUND(IF(C33="自定义",IF(D32="楼面单价",C34,D118*10000/B118),I118-G118),0)</f>
        <v>14888</v>
      </c>
      <c r="F118" s="1790">
        <f ca="1">ROUND(IF(D32="总价",C35,G118*B118/10000),0)</f>
        <v>14890</v>
      </c>
      <c r="G118" s="1790">
        <f ca="1">ROUND(IF(D32="楼面单价",C35,F118*10000/B118),0)</f>
        <v>701</v>
      </c>
      <c r="H118" s="1790">
        <f ca="1">ROUND(IF(D32="总价",C32,I118*B118/10000),0)</f>
        <v>330898</v>
      </c>
      <c r="I118" s="1790">
        <f ca="1">ROUND(IF(D32="楼面单价",C32,H118*10000/B118),0)</f>
        <v>15589</v>
      </c>
    </row>
    <row r="119" spans="1:11" ht="18.75" customHeight="1">
      <c r="A119" s="3085" t="s">
        <v>2314</v>
      </c>
      <c r="B119" s="3085"/>
      <c r="C119" s="3085"/>
      <c r="D119" s="3185" t="str">
        <f ca="1">NUMBERSTRING(INT(D118*10000),2)&amp;"元整"</f>
        <v>叁拾壹亿陆仟零捌万元整</v>
      </c>
      <c r="E119" s="3187"/>
      <c r="F119" s="3185" t="str">
        <f ca="1">NUMBERSTRING(INT(F118*10000),2)&amp;"元整"</f>
        <v>壹亿肆仟捌佰玖拾万元整</v>
      </c>
      <c r="G119" s="3187"/>
      <c r="H119" s="3185" t="str">
        <f ca="1">NUMBERSTRING(INT(H118*10000),2)&amp;"元整"</f>
        <v>叁拾叁亿零捌佰玖拾捌万元整</v>
      </c>
      <c r="I119" s="3187"/>
    </row>
    <row r="120" spans="1:11" ht="18.75" customHeight="1">
      <c r="A120" s="3213" t="str">
        <f>IF(项目基本情况!B9="房地产市场价值","",MID(E103,3,LEN(E103)-2))</f>
        <v>估价师知悉的法定优先受偿款</v>
      </c>
      <c r="B120" s="3214"/>
      <c r="C120" s="3215"/>
      <c r="D120" s="3213">
        <f>H103</f>
        <v>0</v>
      </c>
      <c r="E120" s="3214"/>
      <c r="F120" s="3214"/>
      <c r="G120" s="3214"/>
      <c r="H120" s="3214"/>
      <c r="I120" s="3215"/>
      <c r="K120" s="2408" t="str">
        <f>IF(D120=0,"故，本次评估不存在"&amp;A120,"故，本次评估"&amp;A120&amp;"为人民币"&amp;D120&amp;"万元整。")</f>
        <v>故，本次评估不存在估价师知悉的法定优先受偿款</v>
      </c>
    </row>
    <row r="121" spans="1:11" ht="18.75" customHeight="1">
      <c r="A121" s="3189" t="s">
        <v>2314</v>
      </c>
      <c r="B121" s="3190"/>
      <c r="C121" s="3191"/>
      <c r="D121" s="3185" t="str">
        <f>IF(D120=0,"零元整",NUMBERSTRING(INT(D120*10000),2)&amp;"元整")</f>
        <v>零元整</v>
      </c>
      <c r="E121" s="3186"/>
      <c r="F121" s="3186"/>
      <c r="G121" s="3186"/>
      <c r="H121" s="3186"/>
      <c r="I121" s="3187"/>
    </row>
    <row r="122" spans="1:11" ht="18.75" customHeight="1">
      <c r="A122" s="3176" t="str">
        <f>IF(项目基本情况!B9="房地产市场价值","",MID(E107,3,LEN(E107)-2))</f>
        <v/>
      </c>
      <c r="B122" s="3176"/>
      <c r="C122" s="3176"/>
      <c r="D122" s="3213" t="str">
        <f>H107</f>
        <v>——</v>
      </c>
      <c r="E122" s="3214"/>
      <c r="F122" s="3214"/>
      <c r="G122" s="3214"/>
      <c r="H122" s="3214"/>
      <c r="I122" s="3215"/>
    </row>
    <row r="123" spans="1:11" ht="18.75" customHeight="1">
      <c r="A123" s="3085" t="s">
        <v>2314</v>
      </c>
      <c r="B123" s="3085"/>
      <c r="C123" s="3085"/>
      <c r="D123" s="3185" t="e">
        <f>NUMBERSTRING(INT(D122*10000),2)&amp;"元整"</f>
        <v>#VALUE!</v>
      </c>
      <c r="E123" s="3186"/>
      <c r="F123" s="3186"/>
      <c r="G123" s="3186"/>
      <c r="H123" s="3186"/>
      <c r="I123" s="3187"/>
    </row>
    <row r="124" spans="1:11" ht="18.75" customHeight="1">
      <c r="A124" s="3176" t="str">
        <f>IF(项目基本情况!B9="房地产市场价值","",MID(E109,3,LEN(E109)-2))</f>
        <v>抵押担保权已注销时的房地产抵押价值</v>
      </c>
      <c r="B124" s="3176"/>
      <c r="C124" s="3176"/>
      <c r="D124" s="3213">
        <f ca="1">H109</f>
        <v>330898</v>
      </c>
      <c r="E124" s="3214"/>
      <c r="F124" s="3214"/>
      <c r="G124" s="3214"/>
      <c r="H124" s="3214"/>
      <c r="I124" s="3215"/>
    </row>
    <row r="125" spans="1:11" ht="18.75" customHeight="1">
      <c r="A125" s="3085" t="s">
        <v>2314</v>
      </c>
      <c r="B125" s="3085"/>
      <c r="C125" s="3085"/>
      <c r="D125" s="3185" t="str">
        <f ca="1">NUMBERSTRING(INT(D124*10000),2)&amp;"元整"</f>
        <v>叁拾叁亿零捌佰玖拾捌万元整</v>
      </c>
      <c r="E125" s="3186"/>
      <c r="F125" s="3186"/>
      <c r="G125" s="3186"/>
      <c r="H125" s="3186"/>
      <c r="I125" s="3187"/>
    </row>
    <row r="126" spans="1:11" ht="18.75" customHeight="1">
      <c r="A126" s="3176" t="str">
        <f>IF(项目基本情况!B9="房地产市场价值","",MID(E111,3,LEN(E111)-2))</f>
        <v>抵押净值</v>
      </c>
      <c r="B126" s="3176"/>
      <c r="C126" s="3176"/>
      <c r="D126" s="3213">
        <f ca="1">H111</f>
        <v>260226</v>
      </c>
      <c r="E126" s="3214"/>
      <c r="F126" s="3214"/>
      <c r="G126" s="3214"/>
      <c r="H126" s="3214"/>
      <c r="I126" s="3215"/>
    </row>
    <row r="127" spans="1:11" ht="18.75" customHeight="1">
      <c r="A127" s="3085" t="s">
        <v>2314</v>
      </c>
      <c r="B127" s="3085"/>
      <c r="C127" s="3085"/>
      <c r="D127" s="3185" t="str">
        <f ca="1">NUMBERSTRING(INT(D126*10000),2)&amp;"元整"</f>
        <v>贰拾陆亿零贰佰贰拾陆万元整</v>
      </c>
      <c r="E127" s="3186"/>
      <c r="F127" s="3186"/>
      <c r="G127" s="3186"/>
      <c r="H127" s="3186"/>
      <c r="I127" s="3187"/>
    </row>
    <row r="128" spans="1:11" ht="21.75" customHeight="1">
      <c r="A128" s="3195" t="s">
        <v>2315</v>
      </c>
      <c r="B128" s="3195"/>
      <c r="C128" s="3195"/>
      <c r="D128" s="3195"/>
      <c r="E128" s="3195"/>
      <c r="F128" s="3195"/>
      <c r="G128" s="3195"/>
      <c r="H128" s="3195"/>
      <c r="I128" s="3195"/>
    </row>
    <row r="129" spans="1:35" ht="21.75" customHeight="1">
      <c r="A129" s="2512" t="s">
        <v>2316</v>
      </c>
      <c r="B129" s="2513"/>
      <c r="C129" s="2514" t="s">
        <v>2317</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0"/>
    </row>
    <row r="135" spans="1:35" ht="21.75" customHeight="1">
      <c r="A135" s="790"/>
      <c r="B135" s="790"/>
      <c r="C135" s="790"/>
      <c r="D135" s="790"/>
      <c r="E135" s="790"/>
      <c r="F135" s="2528" t="s">
        <v>2318</v>
      </c>
      <c r="G135" s="2529"/>
      <c r="H135" s="2529"/>
      <c r="I135" s="2530" t="s">
        <v>2319</v>
      </c>
    </row>
    <row r="136" spans="1:35" ht="21.75" customHeight="1">
      <c r="A136" s="790"/>
      <c r="B136" s="2531" t="s">
        <v>2320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9"/>
      <c r="C138" s="2529"/>
      <c r="D138" s="2529"/>
      <c r="E138" s="2529"/>
      <c r="F138" s="2529"/>
      <c r="G138" s="2529"/>
      <c r="H138" s="2529"/>
      <c r="I138" s="2530" t="s">
        <v>2321</v>
      </c>
    </row>
    <row r="139" spans="1:35" ht="21.75" customHeight="1">
      <c r="A139" s="790"/>
      <c r="B139" s="2531" t="s">
        <v>2322</v>
      </c>
      <c r="C139" s="790"/>
      <c r="D139" s="790"/>
      <c r="E139" s="790"/>
      <c r="F139" s="790"/>
      <c r="G139" s="790"/>
      <c r="H139" s="790"/>
      <c r="I139" s="790"/>
    </row>
    <row r="140" spans="1:35" ht="21.75" customHeight="1">
      <c r="A140" s="790"/>
      <c r="B140" s="2531"/>
      <c r="C140" s="790"/>
      <c r="D140" s="790"/>
      <c r="E140" s="790"/>
      <c r="F140" s="790"/>
      <c r="G140" s="790"/>
      <c r="H140" s="790"/>
      <c r="I140" s="790"/>
    </row>
    <row r="141" spans="1:35" ht="21.75" customHeight="1">
      <c r="A141" s="790"/>
      <c r="B141" s="2529"/>
      <c r="C141" s="2529"/>
      <c r="D141" s="2529"/>
      <c r="E141" s="2529"/>
      <c r="F141" s="2529"/>
      <c r="G141" s="2529"/>
      <c r="H141" s="2529"/>
      <c r="I141" s="2530" t="s">
        <v>2321</v>
      </c>
    </row>
    <row r="142" spans="1:35" ht="21.75" customHeight="1">
      <c r="A142" s="790"/>
      <c r="B142" s="2531"/>
      <c r="C142" s="2532"/>
      <c r="D142" s="2533"/>
      <c r="E142" s="2533"/>
      <c r="F142" s="2326"/>
      <c r="G142" s="790"/>
      <c r="H142" s="790"/>
      <c r="I142" s="790"/>
    </row>
    <row r="143" spans="1:35" s="134" customFormat="1" ht="21.75" customHeight="1">
      <c r="A143" s="790"/>
      <c r="B143" s="2531"/>
      <c r="C143" s="2532"/>
      <c r="D143" s="2533"/>
      <c r="E143" s="2533"/>
      <c r="F143" s="232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8"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8"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8"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8"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8"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8"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8"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8"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8"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8"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8"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8"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8"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8"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8"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8"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8"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8"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8"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8"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8"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8"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8"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8"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8"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8"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8"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8"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8"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8"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8"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8"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8"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8"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8"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8"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8"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8"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8"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8"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8"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8"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8"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8"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8"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8"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8"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8"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8"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8"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8"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8"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8"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8"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8"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8"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8"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8"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8"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8"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8"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8"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8"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8"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8"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8"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8"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8"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8"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8"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8"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8"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8"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8"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8"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8"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8"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8"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8"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8"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8"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8"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8"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8"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8"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8"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8"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8"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8"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8"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8"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8"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8"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8"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8"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8"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8"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8"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8"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8"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8"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8"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8"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8"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allowBlank="1" showInputMessage="1" showErrorMessage="1" sqref="H59" xr:uid="{00000000-0002-0000-1300-000010000000}">
      <formula1>"非个人房产,个人住宅,个人非住宅"</formula1>
    </dataValidation>
    <dataValidation type="list" showInputMessage="1" showErrorMessage="1" sqref="G1" xr:uid="{00000000-0002-0000-1300-000011000000}">
      <formula1>"现房,在建,土地,-"</formula1>
    </dataValidation>
    <dataValidation type="list" allowBlank="1" showInputMessage="1" showErrorMessage="1" sqref="I1" xr:uid="{00000000-0002-0000-1300-000012000000}">
      <formula1>"项目局部,项目全部,——"</formula1>
    </dataValidation>
    <dataValidation type="list" allowBlank="1" showInputMessage="1" showErrorMessage="1" sqref="C1" xr:uid="{00000000-0002-0000-1300-000013000000}">
      <formula1>项目类型</formula1>
    </dataValidation>
    <dataValidation type="list" allowBlank="1" showInputMessage="1" showErrorMessage="1" sqref="G77" xr:uid="{00000000-0002-0000-1300-000014000000}">
      <formula1>"个人住宅,2016年5月1日前购买,2016年5月1日后购买"</formula1>
    </dataValidation>
    <dataValidation type="list" allowBlank="1" showInputMessage="1" showErrorMessage="1" sqref="E103" xr:uid="{00000000-0002-0000-13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topLeftCell="A37" workbookViewId="0">
      <selection activeCell="F34" sqref="F34"/>
    </sheetView>
  </sheetViews>
  <sheetFormatPr defaultColWidth="8.36328125" defaultRowHeight="12.5"/>
  <cols>
    <col min="1" max="1" width="10.36328125" style="308" customWidth="1"/>
    <col min="2" max="2" width="29.08984375" style="290" customWidth="1"/>
    <col min="3" max="3" width="12.08984375" style="290" customWidth="1"/>
    <col min="4" max="5" width="11.08984375" style="311" customWidth="1"/>
    <col min="6" max="6" width="9.453125" style="290" customWidth="1"/>
    <col min="7" max="7" width="31.90625" style="290" customWidth="1"/>
    <col min="8" max="254" width="9" style="290" customWidth="1"/>
    <col min="255" max="16384" width="8.36328125" style="290"/>
  </cols>
  <sheetData>
    <row r="1" spans="1:9" s="239" customFormat="1" ht="21">
      <c r="A1" s="235" t="s">
        <v>2323</v>
      </c>
      <c r="B1" s="1931"/>
      <c r="C1" s="237"/>
      <c r="D1" s="237"/>
      <c r="E1" s="237"/>
      <c r="F1" s="237"/>
      <c r="G1" s="1374">
        <f>MATCH(B1,'数据-取费表'!A6:A16,0)+5</f>
        <v>12</v>
      </c>
    </row>
    <row r="2" spans="1:9" s="239" customFormat="1" ht="18" customHeight="1">
      <c r="A2" s="240" t="s">
        <v>2324</v>
      </c>
      <c r="B2" s="241">
        <f ca="1">IF(D2="——",C52,C52-E2)</f>
        <v>357177</v>
      </c>
      <c r="C2" s="238" t="s">
        <v>2325</v>
      </c>
      <c r="D2" s="2534" t="s">
        <v>70</v>
      </c>
      <c r="E2" s="1435" t="e">
        <f ca="1">SUMIF(INDIRECT("'"&amp;G2&amp;"'"&amp;"!A:A"),"承租人权益价值",INDIRECT("'"&amp;G2&amp;"'"&amp;"!c:c"))</f>
        <v>#REF!</v>
      </c>
      <c r="F2" s="2535" t="s">
        <v>2325</v>
      </c>
      <c r="G2" s="2536"/>
    </row>
    <row r="3" spans="1:9" s="239" customFormat="1" ht="18" customHeight="1" thickBot="1">
      <c r="A3" s="242" t="s">
        <v>2326</v>
      </c>
      <c r="B3" s="243">
        <f ca="1">ROUND(B2*10000/(IF(B1="",'数据-汇总表'!E3,INDIRECT("'数据-取费表'!k"&amp;$G$1))),0)</f>
        <v>16827</v>
      </c>
      <c r="C3" s="238" t="s">
        <v>2327</v>
      </c>
      <c r="D3" s="238"/>
      <c r="E3" s="238"/>
      <c r="F3" s="238"/>
      <c r="G3" s="238"/>
    </row>
    <row r="4" spans="1:9" s="247" customFormat="1" ht="16">
      <c r="A4" s="244" t="s">
        <v>2328</v>
      </c>
      <c r="B4" s="245"/>
      <c r="C4" s="245"/>
      <c r="D4" s="245"/>
      <c r="E4" s="245"/>
      <c r="F4" s="245"/>
      <c r="G4" s="246"/>
    </row>
    <row r="5" spans="1:9" s="253" customFormat="1" ht="13.5" customHeight="1">
      <c r="A5" s="294" t="s">
        <v>2329</v>
      </c>
      <c r="B5" s="249" t="s">
        <v>2330</v>
      </c>
      <c r="C5" s="250">
        <f ca="1">C6+C7+C8</f>
        <v>294987</v>
      </c>
      <c r="D5" s="250" t="s">
        <v>2331</v>
      </c>
      <c r="E5" s="251" t="s">
        <v>2332</v>
      </c>
      <c r="F5" s="251" t="s">
        <v>2333</v>
      </c>
      <c r="G5" s="252"/>
    </row>
    <row r="6" spans="1:9" s="253" customFormat="1" ht="13.5" customHeight="1">
      <c r="A6" s="944" t="s">
        <v>2334</v>
      </c>
      <c r="B6" s="254" t="s">
        <v>2335</v>
      </c>
      <c r="C6" s="255">
        <f>'土地比较法-住宅、综合'!B2</f>
        <v>282572</v>
      </c>
      <c r="D6" s="256"/>
      <c r="E6" s="257"/>
      <c r="F6" s="257"/>
      <c r="G6" s="258"/>
    </row>
    <row r="7" spans="1:9" s="253" customFormat="1" ht="13.5" customHeight="1">
      <c r="A7" s="944" t="s">
        <v>2336</v>
      </c>
      <c r="B7" s="254" t="s">
        <v>2337</v>
      </c>
      <c r="C7" s="259">
        <f>ROUND(C6*F7,0)</f>
        <v>8618</v>
      </c>
      <c r="D7" s="259"/>
      <c r="E7" s="257"/>
      <c r="F7" s="260">
        <f>IF(项目基本情况!B8="出让",0,'数据-取费表'!B48+'数据-取费表'!B49)</f>
        <v>3.0499999999999999E-2</v>
      </c>
      <c r="G7" s="258"/>
    </row>
    <row r="8" spans="1:9" s="262" customFormat="1" ht="13">
      <c r="A8" s="944" t="s">
        <v>2338</v>
      </c>
      <c r="B8" s="254" t="s">
        <v>2339</v>
      </c>
      <c r="C8" s="259">
        <f ca="1">IF(G8="已包含在土地购买价格中","0",IF(B1="",'数据-取费表'!B29,IF(G9="全部缴纳",C9+C10,H9)))</f>
        <v>3797</v>
      </c>
      <c r="D8" s="261"/>
      <c r="E8" s="259"/>
      <c r="F8" s="260"/>
      <c r="G8" s="2537" t="s">
        <v>3270</v>
      </c>
    </row>
    <row r="9" spans="1:9" s="253" customFormat="1" ht="13.5" customHeight="1">
      <c r="A9" s="945" t="s">
        <v>800</v>
      </c>
      <c r="B9" s="263" t="s">
        <v>2340</v>
      </c>
      <c r="C9" s="264">
        <f ca="1">ROUND(D9*E9/10000,0)</f>
        <v>1795</v>
      </c>
      <c r="D9" s="1027">
        <f ca="1">IF(B1="",'数据-汇总表'!E5,IF(INDIRECT("'数据-取费表'!c"&amp;$G$1)="住宅",INDIRECT("'数据-取费表'!k"&amp;$G$1),0))</f>
        <v>112163.84999999999</v>
      </c>
      <c r="E9" s="264">
        <f>'数据-取费表'!B27</f>
        <v>160</v>
      </c>
      <c r="F9" s="260"/>
      <c r="G9" s="2538" t="s">
        <v>3271</v>
      </c>
      <c r="H9" s="1385"/>
      <c r="I9" s="2539" t="s">
        <v>2341</v>
      </c>
    </row>
    <row r="10" spans="1:9" s="253" customFormat="1" ht="13.5" customHeight="1">
      <c r="A10" s="945" t="s">
        <v>801</v>
      </c>
      <c r="B10" s="263" t="s">
        <v>2342</v>
      </c>
      <c r="C10" s="264">
        <f ca="1">ROUND(D10*E10/10000,0)</f>
        <v>2002</v>
      </c>
      <c r="D10" s="1027">
        <f ca="1">IF(B1="",'数据-汇总表'!E6,IF(INDIRECT("'数据-取费表'!c"&amp;$G$1)="住宅",INDIRECT("'数据-取费表'!s"&amp;$G$1),INDIRECT("'数据-取费表'!k"&amp;$G$1)+INDIRECT("'数据-取费表'!s"&amp;$G$1)))</f>
        <v>100100.95000000003</v>
      </c>
      <c r="E10" s="264">
        <f>'数据-取费表'!B28</f>
        <v>200</v>
      </c>
      <c r="F10" s="260"/>
      <c r="G10" s="265"/>
    </row>
    <row r="11" spans="1:9" s="253" customFormat="1" ht="13.5" hidden="1" customHeight="1">
      <c r="A11" s="266" t="s">
        <v>7</v>
      </c>
      <c r="B11" s="254" t="s">
        <v>2343</v>
      </c>
      <c r="C11" s="250"/>
      <c r="D11" s="1029"/>
      <c r="E11" s="257"/>
      <c r="F11" s="257"/>
      <c r="G11" s="258"/>
    </row>
    <row r="12" spans="1:9" s="253" customFormat="1" ht="13.5" hidden="1" customHeight="1">
      <c r="A12" s="266" t="s">
        <v>8</v>
      </c>
      <c r="B12" s="254" t="s">
        <v>2344</v>
      </c>
      <c r="C12" s="250">
        <v>0</v>
      </c>
      <c r="D12" s="1029"/>
      <c r="E12" s="267"/>
      <c r="F12" s="260">
        <v>3.0499999999999999E-2</v>
      </c>
      <c r="G12" s="258"/>
    </row>
    <row r="13" spans="1:9" s="253" customFormat="1" ht="13.5" hidden="1" customHeight="1">
      <c r="A13" s="266" t="s">
        <v>9</v>
      </c>
      <c r="B13" s="254" t="s">
        <v>2345</v>
      </c>
      <c r="C13" s="250"/>
      <c r="D13" s="1029"/>
      <c r="E13" s="257"/>
      <c r="F13" s="257"/>
      <c r="G13" s="258"/>
    </row>
    <row r="14" spans="1:9" s="253" customFormat="1" ht="13.5" hidden="1" customHeight="1">
      <c r="A14" s="266" t="s">
        <v>10</v>
      </c>
      <c r="B14" s="254" t="s">
        <v>2346</v>
      </c>
      <c r="C14" s="250"/>
      <c r="D14" s="1029"/>
      <c r="E14" s="257"/>
      <c r="F14" s="257"/>
      <c r="G14" s="258" t="s">
        <v>2347</v>
      </c>
    </row>
    <row r="15" spans="1:9" s="253" customFormat="1" ht="13.5" hidden="1" customHeight="1">
      <c r="A15" s="266" t="s">
        <v>11</v>
      </c>
      <c r="B15" s="254" t="s">
        <v>2348</v>
      </c>
      <c r="C15" s="259"/>
      <c r="D15" s="1029"/>
      <c r="E15" s="257"/>
      <c r="F15" s="257"/>
      <c r="G15" s="258" t="s">
        <v>2349</v>
      </c>
    </row>
    <row r="16" spans="1:9" s="253" customFormat="1" ht="13.5" hidden="1" customHeight="1">
      <c r="A16" s="266" t="s">
        <v>12</v>
      </c>
      <c r="B16" s="254" t="s">
        <v>2346</v>
      </c>
      <c r="C16" s="259"/>
      <c r="D16" s="1029"/>
      <c r="E16" s="257"/>
      <c r="F16" s="257"/>
      <c r="G16" s="258"/>
    </row>
    <row r="17" spans="1:7" s="253" customFormat="1" ht="13.5" hidden="1" customHeight="1">
      <c r="A17" s="266" t="s">
        <v>13</v>
      </c>
      <c r="B17" s="254" t="s">
        <v>2350</v>
      </c>
      <c r="C17" s="268"/>
      <c r="D17" s="1030"/>
      <c r="E17" s="268"/>
      <c r="F17" s="268"/>
      <c r="G17" s="258" t="s">
        <v>2349</v>
      </c>
    </row>
    <row r="18" spans="1:7" s="253" customFormat="1" ht="13.5" hidden="1" customHeight="1">
      <c r="A18" s="266" t="s">
        <v>14</v>
      </c>
      <c r="B18" s="254" t="s">
        <v>2351</v>
      </c>
      <c r="C18" s="259">
        <v>0</v>
      </c>
      <c r="D18" s="1029"/>
      <c r="E18" s="257"/>
      <c r="F18" s="260">
        <v>3.0499999999999999E-2</v>
      </c>
      <c r="G18" s="258" t="s">
        <v>2352</v>
      </c>
    </row>
    <row r="19" spans="1:7" s="262" customFormat="1" ht="13.5" customHeight="1">
      <c r="A19" s="294" t="s">
        <v>2353</v>
      </c>
      <c r="B19" s="249" t="s">
        <v>2354</v>
      </c>
      <c r="C19" s="250" t="str">
        <f>IF(G19="已包含在土地取得成本中","0",ROUND(D19*E19/10000,0))</f>
        <v>0</v>
      </c>
      <c r="D19" s="1031">
        <f ca="1">D9+D10</f>
        <v>212264.80000000002</v>
      </c>
      <c r="E19" s="250">
        <f>'数据-取费表'!B31</f>
        <v>200</v>
      </c>
      <c r="F19" s="270"/>
      <c r="G19" s="2537" t="s">
        <v>3272</v>
      </c>
    </row>
    <row r="20" spans="1:7" s="253" customFormat="1" ht="13.5" customHeight="1">
      <c r="A20" s="294" t="s">
        <v>2355</v>
      </c>
      <c r="B20" s="249" t="s">
        <v>2356</v>
      </c>
      <c r="C20" s="271">
        <f ca="1">ROUND((C5+C19)*F20,0)</f>
        <v>5900</v>
      </c>
      <c r="D20" s="271"/>
      <c r="E20" s="271"/>
      <c r="F20" s="272">
        <f>'数据-取费表'!B37</f>
        <v>0.02</v>
      </c>
      <c r="G20" s="273" t="s">
        <v>2357</v>
      </c>
    </row>
    <row r="21" spans="1:7" s="253" customFormat="1" ht="13.5" customHeight="1">
      <c r="A21" s="294" t="s">
        <v>2358</v>
      </c>
      <c r="B21" s="249" t="s">
        <v>2359</v>
      </c>
      <c r="C21" s="274">
        <f>F21</f>
        <v>0.02</v>
      </c>
      <c r="D21" s="275" t="s">
        <v>2360</v>
      </c>
      <c r="E21" s="271"/>
      <c r="F21" s="272">
        <f>'数据-取费表'!B38</f>
        <v>0.02</v>
      </c>
      <c r="G21" s="273" t="s">
        <v>2361</v>
      </c>
    </row>
    <row r="22" spans="1:7" s="253" customFormat="1" ht="13.5" customHeight="1">
      <c r="A22" s="294" t="s">
        <v>2362</v>
      </c>
      <c r="B22" s="249" t="s">
        <v>2363</v>
      </c>
      <c r="C22" s="1349">
        <f ca="1">ROUND(SUM(C23:C25),0)</f>
        <v>7560</v>
      </c>
      <c r="D22" s="274">
        <f ca="1">C26</f>
        <v>2.9999999999999997E-4</v>
      </c>
      <c r="E22" s="275" t="s">
        <v>2360</v>
      </c>
      <c r="F22" s="276">
        <f ca="1">'数据-取费表'!B40</f>
        <v>4.7500000000000001E-2</v>
      </c>
      <c r="G22" s="273" t="str">
        <f>IF('数据-取费表'!B22&lt;=1,"单利计息","复利计息")</f>
        <v>复利计息</v>
      </c>
    </row>
    <row r="23" spans="1:7" s="253" customFormat="1" ht="13.5" customHeight="1">
      <c r="A23" s="946" t="s">
        <v>2364</v>
      </c>
      <c r="B23" s="254" t="s">
        <v>2365</v>
      </c>
      <c r="C23" s="1350">
        <f ca="1">ROUND(IF('数据-取费表'!B22&lt;=1,C5*F22*'数据-取费表'!B23,C5*(POWER((1+F22),'数据-取费表'!B23)-1)),0)</f>
        <v>7486</v>
      </c>
      <c r="D23" s="277"/>
      <c r="E23" s="277"/>
      <c r="F23" s="278"/>
      <c r="G23" s="279" t="s">
        <v>2366</v>
      </c>
    </row>
    <row r="24" spans="1:7" s="253" customFormat="1" ht="13.5" customHeight="1">
      <c r="A24" s="946" t="s">
        <v>2367</v>
      </c>
      <c r="B24" s="254" t="s">
        <v>2368</v>
      </c>
      <c r="C24" s="1350">
        <f ca="1">ROUND(IF('数据-取费表'!B22&lt;=1,C19*F22*('数据-取费表'!B19/2+'数据-取费表'!B21),C19*(POWER((1+F22),('数据-取费表'!B19/2+'数据-取费表'!B21))-1)),0)</f>
        <v>0</v>
      </c>
      <c r="D24" s="277"/>
      <c r="E24" s="277"/>
      <c r="F24" s="278"/>
      <c r="G24" s="279" t="s">
        <v>2369</v>
      </c>
    </row>
    <row r="25" spans="1:7" s="253" customFormat="1" ht="26">
      <c r="A25" s="946" t="s">
        <v>2370</v>
      </c>
      <c r="B25" s="254" t="s">
        <v>2371</v>
      </c>
      <c r="C25" s="1350">
        <f ca="1">ROUND(IF('数据-取费表'!B22&lt;=1,C20*F22*'数据-取费表'!B23/2,C20*(POWER((1+F22),'数据-取费表'!B23/2)-1)),0)</f>
        <v>74</v>
      </c>
      <c r="D25" s="277"/>
      <c r="E25" s="280"/>
      <c r="F25" s="278"/>
      <c r="G25" s="281" t="s">
        <v>2372</v>
      </c>
    </row>
    <row r="26" spans="1:7" s="253" customFormat="1" ht="13">
      <c r="A26" s="946" t="s">
        <v>795</v>
      </c>
      <c r="B26" s="254" t="s">
        <v>2373</v>
      </c>
      <c r="C26" s="277">
        <f ca="1">ROUND(IF('数据-取费表'!B22&lt;=1,F21*F22*'数据-取费表'!B23/2,F21*(POWER((1+F22),'数据-取费表'!B23/2)-1)),4)</f>
        <v>2.9999999999999997E-4</v>
      </c>
      <c r="D26" s="277"/>
      <c r="E26" s="280"/>
      <c r="F26" s="278"/>
      <c r="G26" s="282"/>
    </row>
    <row r="27" spans="1:7" s="253" customFormat="1" ht="27">
      <c r="A27" s="294" t="s">
        <v>2374</v>
      </c>
      <c r="B27" s="283" t="s">
        <v>2375</v>
      </c>
      <c r="C27" s="284">
        <f ca="1">C28</f>
        <v>7799</v>
      </c>
      <c r="D27" s="274">
        <f ca="1">C29</f>
        <v>5.0000000000000001E-4</v>
      </c>
      <c r="E27" s="275" t="s">
        <v>2376</v>
      </c>
      <c r="F27" s="285">
        <f ca="1">IF(B1="",'数据-取费表'!Q16,INDIRECT("'数据-取费表'!q"&amp;$G$1))</f>
        <v>0.12</v>
      </c>
      <c r="G27" s="286" t="s">
        <v>2377</v>
      </c>
    </row>
    <row r="28" spans="1:7" s="253" customFormat="1" ht="13.5" customHeight="1">
      <c r="A28" s="946" t="s">
        <v>791</v>
      </c>
      <c r="B28" s="287" t="s">
        <v>2378</v>
      </c>
      <c r="C28" s="288">
        <f ca="1">ROUND((C5+C19+C20)*F27*'数据-取费表'!B21/'数据-取费表'!B20,0)</f>
        <v>7799</v>
      </c>
      <c r="D28" s="274"/>
      <c r="E28" s="275"/>
      <c r="F28" s="285"/>
      <c r="G28" s="286"/>
    </row>
    <row r="29" spans="1:7" s="253" customFormat="1" ht="13.5" customHeight="1">
      <c r="A29" s="946" t="s">
        <v>792</v>
      </c>
      <c r="B29" s="287" t="s">
        <v>2379</v>
      </c>
      <c r="C29" s="277">
        <f ca="1">ROUND(C21*F27*'数据-取费表'!B21/'数据-取费表'!B20,4)</f>
        <v>5.0000000000000001E-4</v>
      </c>
      <c r="D29" s="274"/>
      <c r="E29" s="275"/>
      <c r="F29" s="285"/>
      <c r="G29" s="286"/>
    </row>
    <row r="30" spans="1:7" s="253" customFormat="1" ht="13.5" customHeight="1">
      <c r="A30" s="294" t="s">
        <v>2380</v>
      </c>
      <c r="B30" s="249" t="s">
        <v>2381</v>
      </c>
      <c r="C30" s="274">
        <f>ROUND(F30/(1+'数据-取费表'!C42),4)</f>
        <v>5.2400000000000002E-2</v>
      </c>
      <c r="D30" s="275" t="s">
        <v>2376</v>
      </c>
      <c r="E30" s="280"/>
      <c r="F30" s="276">
        <f>'数据-取费表'!B41</f>
        <v>5.5000000000000007E-2</v>
      </c>
      <c r="G30" s="273" t="s">
        <v>2382</v>
      </c>
    </row>
    <row r="31" spans="1:7" ht="16.5" customHeight="1">
      <c r="A31" s="248">
        <v>1</v>
      </c>
      <c r="B31" s="249" t="s">
        <v>2383</v>
      </c>
      <c r="C31" s="250">
        <f ca="1">ROUND((C5+C19+C20+C22+C27)/(1-C21-D22-D27-C30),0)</f>
        <v>341224</v>
      </c>
      <c r="D31" s="269"/>
      <c r="E31" s="250"/>
      <c r="F31" s="289"/>
      <c r="G31" s="273" t="s">
        <v>2384</v>
      </c>
    </row>
    <row r="32" spans="1:7" s="247" customFormat="1" ht="16">
      <c r="A32" s="291" t="s">
        <v>2385</v>
      </c>
      <c r="B32" s="292"/>
      <c r="C32" s="292"/>
      <c r="D32" s="292"/>
      <c r="E32" s="292"/>
      <c r="F32" s="292"/>
      <c r="G32" s="293"/>
    </row>
    <row r="33" spans="1:7" s="253" customFormat="1" ht="13.5" customHeight="1">
      <c r="A33" s="294" t="s">
        <v>782</v>
      </c>
      <c r="B33" s="249" t="s">
        <v>2386</v>
      </c>
      <c r="C33" s="295">
        <f ca="1">SUM(C34:C38)</f>
        <v>12773</v>
      </c>
      <c r="D33" s="271"/>
      <c r="E33" s="251"/>
      <c r="F33" s="280"/>
      <c r="G33" s="273"/>
    </row>
    <row r="34" spans="1:7" s="297" customFormat="1" ht="13.5" customHeight="1">
      <c r="A34" s="946" t="s">
        <v>791</v>
      </c>
      <c r="B34" s="254" t="s">
        <v>2387</v>
      </c>
      <c r="C34" s="259">
        <f ca="1">IF(B1="",IF(F34=100%,'数据-取费表'!M16,'数据-取费表'!O16),IF(F34=100%,INDIRECT("'数据-取费表'!m"&amp;$G$1)+INDIRECT("'数据-取费表'!t"&amp;$G$1),INDIRECT("'数据-取费表'!o"&amp;$G$1)+INDIRECT("'数据-取费表'!aq"&amp;$G$1)))</f>
        <v>11065</v>
      </c>
      <c r="D34" s="256"/>
      <c r="E34" s="259"/>
      <c r="F34" s="296">
        <f ca="1">IF('数据-取费表'!B24=0,1,IF(B1="",'数据-取费表'!N16,INDIRECT("'数据-取费表'!n"&amp;$G$1)))</f>
        <v>0.217</v>
      </c>
      <c r="G34" s="258" t="s">
        <v>2388</v>
      </c>
    </row>
    <row r="35" spans="1:7" ht="13.5" customHeight="1">
      <c r="A35" s="946" t="s">
        <v>796</v>
      </c>
      <c r="B35" s="254" t="s">
        <v>2389</v>
      </c>
      <c r="C35" s="259">
        <f ca="1">ROUND(C34*F35,0)</f>
        <v>332</v>
      </c>
      <c r="D35" s="259"/>
      <c r="E35" s="259"/>
      <c r="F35" s="298">
        <f>'数据-取费表'!B33</f>
        <v>0.03</v>
      </c>
      <c r="G35" s="258" t="s">
        <v>2390</v>
      </c>
    </row>
    <row r="36" spans="1:7" ht="26">
      <c r="A36" s="946" t="s">
        <v>797</v>
      </c>
      <c r="B36" s="254" t="s">
        <v>2391</v>
      </c>
      <c r="C36" s="259">
        <f ca="1">ROUND(IF(B1="",SUMIF('数据-取费表'!C:C,"住宅",IF(F34=100%,'数据-取费表'!M:M,'数据-取费表'!O:O))*F36,IF(INDIRECT("'数据-取费表'!c"&amp;$G$1)="住宅",IF(F34=100%,INDIRECT("'数据-取费表'!m"&amp;$G$1)*F36,INDIRECT("'数据-取费表'!o"&amp;$G$1)*F36),0)),0)</f>
        <v>289</v>
      </c>
      <c r="D36" s="259"/>
      <c r="E36" s="259"/>
      <c r="F36" s="298">
        <f>'数据-取费表'!B34</f>
        <v>0.03</v>
      </c>
      <c r="G36" s="299" t="s">
        <v>2392</v>
      </c>
    </row>
    <row r="37" spans="1:7" s="297" customFormat="1" ht="13.5" customHeight="1">
      <c r="A37" s="946" t="s">
        <v>798</v>
      </c>
      <c r="B37" s="254" t="s">
        <v>2393</v>
      </c>
      <c r="C37" s="288">
        <f ca="1">ROUND(E37*D37*F34/10000,0)</f>
        <v>921</v>
      </c>
      <c r="D37" s="256">
        <f ca="1">D19</f>
        <v>212264.80000000002</v>
      </c>
      <c r="E37" s="288">
        <f>'数据-取费表'!B35</f>
        <v>200</v>
      </c>
      <c r="F37" s="298"/>
      <c r="G37" s="300" t="s">
        <v>2394</v>
      </c>
    </row>
    <row r="38" spans="1:7" ht="13.5" customHeight="1">
      <c r="A38" s="946" t="s">
        <v>799</v>
      </c>
      <c r="B38" s="254" t="s">
        <v>2395</v>
      </c>
      <c r="C38" s="259">
        <f ca="1">ROUND(C34*F38,0)</f>
        <v>166</v>
      </c>
      <c r="D38" s="259"/>
      <c r="E38" s="259"/>
      <c r="F38" s="298">
        <f>'数据-取费表'!B36</f>
        <v>1.4999999999999999E-2</v>
      </c>
      <c r="G38" s="258" t="s">
        <v>2390</v>
      </c>
    </row>
    <row r="39" spans="1:7" s="253" customFormat="1" ht="13.5" customHeight="1">
      <c r="A39" s="294" t="s">
        <v>2396</v>
      </c>
      <c r="B39" s="249" t="s">
        <v>2397</v>
      </c>
      <c r="C39" s="271">
        <f ca="1">ROUND(C33*F20,0)</f>
        <v>255</v>
      </c>
      <c r="D39" s="271"/>
      <c r="E39" s="271"/>
      <c r="F39" s="272"/>
      <c r="G39" s="273" t="s">
        <v>2398</v>
      </c>
    </row>
    <row r="40" spans="1:7" s="253" customFormat="1" ht="13.5" customHeight="1">
      <c r="A40" s="294" t="s">
        <v>2399</v>
      </c>
      <c r="B40" s="249" t="s">
        <v>2400</v>
      </c>
      <c r="C40" s="1723">
        <f>F21</f>
        <v>0.02</v>
      </c>
      <c r="D40" s="275" t="s">
        <v>2401</v>
      </c>
      <c r="E40" s="271"/>
      <c r="F40" s="272"/>
      <c r="G40" s="273" t="s">
        <v>2402</v>
      </c>
    </row>
    <row r="41" spans="1:7" s="253" customFormat="1" ht="13.5" customHeight="1">
      <c r="A41" s="294" t="s">
        <v>2403</v>
      </c>
      <c r="B41" s="249" t="s">
        <v>2404</v>
      </c>
      <c r="C41" s="271">
        <f ca="1">ROUND(SUM(C42:C43),0)</f>
        <v>164</v>
      </c>
      <c r="D41" s="274">
        <f ca="1">C44</f>
        <v>2.9999999999999997E-4</v>
      </c>
      <c r="E41" s="275" t="s">
        <v>2401</v>
      </c>
      <c r="F41" s="276"/>
      <c r="G41" s="273" t="str">
        <f>IF('数据-取费表'!B22&lt;=1,"单利计息","复利计息")</f>
        <v>复利计息</v>
      </c>
    </row>
    <row r="42" spans="1:7" ht="13.5" customHeight="1">
      <c r="A42" s="946" t="s">
        <v>791</v>
      </c>
      <c r="B42" s="254" t="s">
        <v>2405</v>
      </c>
      <c r="C42" s="277">
        <f ca="1">ROUND(IF('数据-取费表'!B22&lt;=1,C33*F22*'数据-取费表'!B21/2,C33*(POWER((1+F22),'数据-取费表'!B21/2)-1)),0)</f>
        <v>161</v>
      </c>
      <c r="D42" s="277"/>
      <c r="E42" s="277"/>
      <c r="F42" s="278"/>
      <c r="G42" s="3227" t="s">
        <v>2406</v>
      </c>
    </row>
    <row r="43" spans="1:7" ht="13.5" customHeight="1">
      <c r="A43" s="946" t="s">
        <v>792</v>
      </c>
      <c r="B43" s="254" t="s">
        <v>2407</v>
      </c>
      <c r="C43" s="277">
        <f ca="1">ROUND(IF('数据-取费表'!B22&lt;=1,C39*F22*'数据-取费表'!B21/2,C39*(POWER((1+F22),'数据-取费表'!B21/2)-1)),0)</f>
        <v>3</v>
      </c>
      <c r="D43" s="277"/>
      <c r="E43" s="277"/>
      <c r="F43" s="278"/>
      <c r="G43" s="3228"/>
    </row>
    <row r="44" spans="1:7" ht="13.5" customHeight="1">
      <c r="A44" s="946" t="s">
        <v>793</v>
      </c>
      <c r="B44" s="254" t="s">
        <v>2408</v>
      </c>
      <c r="C44" s="277">
        <f ca="1">ROUND(IF('数据-取费表'!B22&lt;=1,C40*F22*'数据-取费表'!B21/2,C40*(POWER((1+F22),'数据-取费表'!B21/2)-1)),4)</f>
        <v>2.9999999999999997E-4</v>
      </c>
      <c r="D44" s="277"/>
      <c r="E44" s="277"/>
      <c r="F44" s="278"/>
      <c r="G44" s="3229"/>
    </row>
    <row r="45" spans="1:7" s="253" customFormat="1" ht="13.5" customHeight="1">
      <c r="A45" s="294" t="s">
        <v>2409</v>
      </c>
      <c r="B45" s="283" t="s">
        <v>2375</v>
      </c>
      <c r="C45" s="284">
        <f ca="1">C46</f>
        <v>1563</v>
      </c>
      <c r="D45" s="274">
        <f ca="1">C47</f>
        <v>2.3999999999999998E-3</v>
      </c>
      <c r="E45" s="275" t="s">
        <v>2401</v>
      </c>
      <c r="F45" s="285"/>
      <c r="G45" s="286" t="s">
        <v>2410</v>
      </c>
    </row>
    <row r="46" spans="1:7" s="253" customFormat="1" ht="13.5" customHeight="1">
      <c r="A46" s="946" t="s">
        <v>791</v>
      </c>
      <c r="B46" s="287" t="s">
        <v>2411</v>
      </c>
      <c r="C46" s="288">
        <f ca="1">ROUND((C33+C39)*F27,0)</f>
        <v>1563</v>
      </c>
      <c r="D46" s="302"/>
      <c r="E46" s="275"/>
      <c r="F46" s="285"/>
      <c r="G46" s="286"/>
    </row>
    <row r="47" spans="1:7" s="253" customFormat="1" ht="13.5" customHeight="1">
      <c r="A47" s="946" t="s">
        <v>792</v>
      </c>
      <c r="B47" s="287" t="s">
        <v>2412</v>
      </c>
      <c r="C47" s="277">
        <f ca="1">ROUND(C40*F27,4)</f>
        <v>2.3999999999999998E-3</v>
      </c>
      <c r="D47" s="302"/>
      <c r="E47" s="275"/>
      <c r="F47" s="285"/>
      <c r="G47" s="286"/>
    </row>
    <row r="48" spans="1:7" s="253" customFormat="1" ht="13.5" customHeight="1">
      <c r="A48" s="294" t="s">
        <v>2374</v>
      </c>
      <c r="B48" s="249" t="s">
        <v>2413</v>
      </c>
      <c r="C48" s="1723">
        <f>ROUND(F30/(1+'数据-取费表'!C42),4)</f>
        <v>5.2400000000000002E-2</v>
      </c>
      <c r="D48" s="275" t="s">
        <v>2401</v>
      </c>
      <c r="E48" s="271"/>
      <c r="F48" s="276"/>
      <c r="G48" s="273" t="s">
        <v>2414</v>
      </c>
    </row>
    <row r="49" spans="1:7" ht="16.5" customHeight="1">
      <c r="A49" s="294" t="s">
        <v>2380</v>
      </c>
      <c r="B49" s="249" t="s">
        <v>2415</v>
      </c>
      <c r="C49" s="271">
        <f ca="1">ROUND((C33+C39+C41+C45)/(1-C40-D41-D45-C48),0)</f>
        <v>15953</v>
      </c>
      <c r="D49" s="271"/>
      <c r="E49" s="271"/>
      <c r="F49" s="303"/>
      <c r="G49" s="273" t="s">
        <v>2416</v>
      </c>
    </row>
    <row r="50" spans="1:7" s="297" customFormat="1" ht="26">
      <c r="A50" s="294" t="s">
        <v>2417</v>
      </c>
      <c r="B50" s="249" t="s">
        <v>2418</v>
      </c>
      <c r="C50" s="271"/>
      <c r="D50" s="271"/>
      <c r="E50" s="271"/>
      <c r="F50" s="303">
        <f>IF('数据-取费表'!B24=0,'数据-取费表'!N16,1)</f>
        <v>1</v>
      </c>
      <c r="G50" s="286" t="s">
        <v>2419</v>
      </c>
    </row>
    <row r="51" spans="1:7" ht="16.5" customHeight="1">
      <c r="A51" s="294" t="s">
        <v>2420</v>
      </c>
      <c r="B51" s="249" t="s">
        <v>2421</v>
      </c>
      <c r="C51" s="271">
        <f ca="1">ROUND(C49*F50,0)</f>
        <v>15953</v>
      </c>
      <c r="D51" s="271"/>
      <c r="E51" s="271"/>
      <c r="F51" s="303"/>
      <c r="G51" s="273" t="s">
        <v>2422</v>
      </c>
    </row>
    <row r="52" spans="1:7" s="247" customFormat="1" ht="16.5" thickBot="1">
      <c r="A52" s="304" t="s">
        <v>2423</v>
      </c>
      <c r="B52" s="305"/>
      <c r="C52" s="306">
        <f ca="1">C31+C51</f>
        <v>357177</v>
      </c>
      <c r="D52" s="305"/>
      <c r="E52" s="305"/>
      <c r="F52" s="305"/>
      <c r="G52" s="307"/>
    </row>
    <row r="55" spans="1:7" ht="15.5">
      <c r="B55" s="309" t="s">
        <v>2424</v>
      </c>
      <c r="C55" s="310"/>
    </row>
    <row r="56" spans="1:7" ht="13">
      <c r="B56" s="312" t="s">
        <v>1507</v>
      </c>
      <c r="C56" s="314">
        <f ca="1">1-C57</f>
        <v>0.95499999999999996</v>
      </c>
    </row>
    <row r="57" spans="1:7" ht="13">
      <c r="B57" s="312" t="s">
        <v>1508</v>
      </c>
      <c r="C57" s="313">
        <f ca="1">ROUND(C51/C52,3)</f>
        <v>4.4999999999999998E-2</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6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08" customWidth="1"/>
    <col min="2" max="2" width="29.08984375" style="290" customWidth="1"/>
    <col min="3" max="3" width="12.08984375" style="290" customWidth="1"/>
    <col min="4" max="5" width="11.08984375" style="311" customWidth="1"/>
    <col min="6" max="6" width="9.453125" style="290" customWidth="1"/>
    <col min="7" max="7" width="31.90625" style="290" customWidth="1"/>
    <col min="8" max="8" width="10.90625" style="290" customWidth="1"/>
    <col min="9" max="254" width="9" style="290" customWidth="1"/>
    <col min="255" max="16384" width="8.36328125" style="290"/>
  </cols>
  <sheetData>
    <row r="1" spans="1:8" s="239" customFormat="1" ht="21">
      <c r="A1" s="235" t="s">
        <v>2323</v>
      </c>
      <c r="B1" s="1931"/>
      <c r="C1" s="2540" t="s">
        <v>2425</v>
      </c>
      <c r="D1" s="237"/>
      <c r="E1" s="237"/>
      <c r="F1" s="237"/>
      <c r="G1" s="1374">
        <f>MATCH(B1,'数据-取费表'!A6:A16,0)+5</f>
        <v>12</v>
      </c>
      <c r="H1" s="1277" t="str">
        <f>IF(ISERROR(FIND("住宅",B1)),"非住宅","住宅")</f>
        <v>非住宅</v>
      </c>
    </row>
    <row r="2" spans="1:8" s="239" customFormat="1" ht="18" customHeight="1">
      <c r="A2" s="240" t="s">
        <v>2324</v>
      </c>
      <c r="B2" s="241">
        <f ca="1">ROUND(IF(D2="——",C52/10000,C52/10000-E2),0)</f>
        <v>86921</v>
      </c>
      <c r="C2" s="238" t="s">
        <v>2325</v>
      </c>
      <c r="D2" s="2534" t="s">
        <v>70</v>
      </c>
      <c r="E2" s="1435" t="e">
        <f ca="1">SUMIF(INDIRECT("'"&amp;G2&amp;"'"&amp;"!A:A"),"承租人权益价值",INDIRECT("'"&amp;G2&amp;"'"&amp;"!c:c"))</f>
        <v>#REF!</v>
      </c>
      <c r="F2" s="2535" t="s">
        <v>2325</v>
      </c>
      <c r="G2" s="2536"/>
    </row>
    <row r="3" spans="1:8" s="239" customFormat="1" ht="18" customHeight="1" thickBot="1">
      <c r="A3" s="242" t="s">
        <v>2326</v>
      </c>
      <c r="B3" s="243">
        <f ca="1">ROUND(B2*10000/(IF(B1="",'数据-汇总表'!E3,INDIRECT("'数据-取费表'!k"&amp;$G$1))),0)</f>
        <v>4095</v>
      </c>
      <c r="C3" s="238" t="s">
        <v>2327</v>
      </c>
      <c r="D3" s="238"/>
      <c r="E3" s="238"/>
      <c r="F3" s="238"/>
      <c r="G3" s="238"/>
    </row>
    <row r="4" spans="1:8" s="247" customFormat="1" ht="16">
      <c r="A4" s="244" t="s">
        <v>2328</v>
      </c>
      <c r="B4" s="245"/>
      <c r="C4" s="245"/>
      <c r="D4" s="245"/>
      <c r="E4" s="245"/>
      <c r="F4" s="245"/>
      <c r="G4" s="246"/>
    </row>
    <row r="5" spans="1:8" s="253" customFormat="1" ht="13.5" customHeight="1">
      <c r="A5" s="294" t="s">
        <v>2329</v>
      </c>
      <c r="B5" s="249" t="s">
        <v>2330</v>
      </c>
      <c r="C5" s="250">
        <f ca="1">C6+C7+C8</f>
        <v>37966406</v>
      </c>
      <c r="D5" s="250" t="s">
        <v>2331</v>
      </c>
      <c r="E5" s="251" t="s">
        <v>2332</v>
      </c>
      <c r="F5" s="251" t="s">
        <v>2333</v>
      </c>
      <c r="G5" s="252"/>
    </row>
    <row r="6" spans="1:8" s="253" customFormat="1" ht="13.5" customHeight="1">
      <c r="A6" s="944" t="s">
        <v>2334</v>
      </c>
      <c r="B6" s="254" t="s">
        <v>2335</v>
      </c>
      <c r="C6" s="255"/>
      <c r="D6" s="256"/>
      <c r="E6" s="257"/>
      <c r="F6" s="257"/>
      <c r="G6" s="258"/>
    </row>
    <row r="7" spans="1:8" s="253" customFormat="1" ht="13.5" customHeight="1">
      <c r="A7" s="944" t="s">
        <v>2336</v>
      </c>
      <c r="B7" s="254" t="s">
        <v>2337</v>
      </c>
      <c r="C7" s="259">
        <f>ROUND(C6*F7,0)</f>
        <v>0</v>
      </c>
      <c r="D7" s="259"/>
      <c r="E7" s="257"/>
      <c r="F7" s="260">
        <f>IF(项目基本情况!B8="出让",0,'数据-取费表'!B48+'数据-取费表'!B49)</f>
        <v>3.0499999999999999E-2</v>
      </c>
      <c r="G7" s="258"/>
    </row>
    <row r="8" spans="1:8" s="262" customFormat="1" ht="13">
      <c r="A8" s="944" t="s">
        <v>2338</v>
      </c>
      <c r="B8" s="254" t="s">
        <v>2339</v>
      </c>
      <c r="C8" s="259">
        <f ca="1">IF(G8="已包含在土地购买价格中",0,C9+C10)</f>
        <v>37966406</v>
      </c>
      <c r="D8" s="261"/>
      <c r="E8" s="259"/>
      <c r="F8" s="260"/>
      <c r="G8" s="2537"/>
    </row>
    <row r="9" spans="1:8" s="253" customFormat="1" ht="13.5" customHeight="1">
      <c r="A9" s="945" t="s">
        <v>800</v>
      </c>
      <c r="B9" s="263" t="s">
        <v>2340</v>
      </c>
      <c r="C9" s="264">
        <f ca="1">ROUND(D9*E9,0)</f>
        <v>17946216</v>
      </c>
      <c r="D9" s="1027">
        <f ca="1">IF(B1="",'数据-汇总表'!E5,IF(INDIRECT("'数据-取费表'!c"&amp;$G$1)="住宅",INDIRECT("'数据-取费表'!k"&amp;$G$1),0))</f>
        <v>112163.84999999999</v>
      </c>
      <c r="E9" s="264">
        <f>'数据-取费表'!B27</f>
        <v>160</v>
      </c>
      <c r="F9" s="260"/>
      <c r="G9" s="265"/>
    </row>
    <row r="10" spans="1:8" s="253" customFormat="1" ht="13.5" customHeight="1">
      <c r="A10" s="945" t="s">
        <v>801</v>
      </c>
      <c r="B10" s="263" t="s">
        <v>2342</v>
      </c>
      <c r="C10" s="264">
        <f ca="1">ROUND(D10*E10,0)</f>
        <v>20020190</v>
      </c>
      <c r="D10" s="1027">
        <f ca="1">IF(B1="",'数据-汇总表'!E6,IF(INDIRECT("'数据-取费表'!c"&amp;$G$1)="住宅",INDIRECT("'数据-取费表'!s"&amp;$G$1),INDIRECT("'数据-取费表'!k"&amp;$G$1)+INDIRECT("'数据-取费表'!s"&amp;$G$1)))</f>
        <v>100100.95000000003</v>
      </c>
      <c r="E10" s="264">
        <f>'数据-取费表'!B28</f>
        <v>200</v>
      </c>
      <c r="F10" s="260"/>
      <c r="G10" s="265"/>
    </row>
    <row r="11" spans="1:8" s="253" customFormat="1" ht="13.5" hidden="1" customHeight="1">
      <c r="A11" s="266" t="s">
        <v>7</v>
      </c>
      <c r="B11" s="254" t="s">
        <v>2343</v>
      </c>
      <c r="C11" s="250"/>
      <c r="D11" s="1029"/>
      <c r="E11" s="257"/>
      <c r="F11" s="257"/>
      <c r="G11" s="258"/>
    </row>
    <row r="12" spans="1:8" s="253" customFormat="1" ht="13.5" hidden="1" customHeight="1">
      <c r="A12" s="266" t="s">
        <v>8</v>
      </c>
      <c r="B12" s="254" t="s">
        <v>2426</v>
      </c>
      <c r="C12" s="250">
        <v>0</v>
      </c>
      <c r="D12" s="1029"/>
      <c r="E12" s="267"/>
      <c r="F12" s="260">
        <v>3.0499999999999999E-2</v>
      </c>
      <c r="G12" s="258"/>
    </row>
    <row r="13" spans="1:8" s="253" customFormat="1" ht="13.5" hidden="1" customHeight="1">
      <c r="A13" s="266" t="s">
        <v>9</v>
      </c>
      <c r="B13" s="254" t="s">
        <v>2427</v>
      </c>
      <c r="C13" s="250"/>
      <c r="D13" s="1029"/>
      <c r="E13" s="257"/>
      <c r="F13" s="257"/>
      <c r="G13" s="258"/>
    </row>
    <row r="14" spans="1:8" s="253" customFormat="1" ht="13.5" hidden="1" customHeight="1">
      <c r="A14" s="266" t="s">
        <v>10</v>
      </c>
      <c r="B14" s="254" t="s">
        <v>2339</v>
      </c>
      <c r="C14" s="250"/>
      <c r="D14" s="1029"/>
      <c r="E14" s="257"/>
      <c r="F14" s="257"/>
      <c r="G14" s="258" t="s">
        <v>2428</v>
      </c>
    </row>
    <row r="15" spans="1:8" s="253" customFormat="1" ht="13.5" hidden="1" customHeight="1">
      <c r="A15" s="266" t="s">
        <v>11</v>
      </c>
      <c r="B15" s="254" t="s">
        <v>2429</v>
      </c>
      <c r="C15" s="259"/>
      <c r="D15" s="1029"/>
      <c r="E15" s="257"/>
      <c r="F15" s="257"/>
      <c r="G15" s="258" t="s">
        <v>2430</v>
      </c>
    </row>
    <row r="16" spans="1:8" s="253" customFormat="1" ht="13.5" hidden="1" customHeight="1">
      <c r="A16" s="266" t="s">
        <v>12</v>
      </c>
      <c r="B16" s="254" t="s">
        <v>2339</v>
      </c>
      <c r="C16" s="259"/>
      <c r="D16" s="1029"/>
      <c r="E16" s="257"/>
      <c r="F16" s="257"/>
      <c r="G16" s="258"/>
    </row>
    <row r="17" spans="1:7" s="253" customFormat="1" ht="13.5" hidden="1" customHeight="1">
      <c r="A17" s="266" t="s">
        <v>13</v>
      </c>
      <c r="B17" s="254" t="s">
        <v>2431</v>
      </c>
      <c r="C17" s="268"/>
      <c r="D17" s="1030"/>
      <c r="E17" s="268"/>
      <c r="F17" s="268"/>
      <c r="G17" s="258" t="s">
        <v>2430</v>
      </c>
    </row>
    <row r="18" spans="1:7" s="253" customFormat="1" ht="13.5" hidden="1" customHeight="1">
      <c r="A18" s="266" t="s">
        <v>14</v>
      </c>
      <c r="B18" s="254" t="s">
        <v>2432</v>
      </c>
      <c r="C18" s="259">
        <v>0</v>
      </c>
      <c r="D18" s="1029"/>
      <c r="E18" s="257"/>
      <c r="F18" s="260">
        <v>3.0499999999999999E-2</v>
      </c>
      <c r="G18" s="258" t="s">
        <v>2433</v>
      </c>
    </row>
    <row r="19" spans="1:7" s="262" customFormat="1" ht="13.5" customHeight="1">
      <c r="A19" s="294" t="s">
        <v>2434</v>
      </c>
      <c r="B19" s="249" t="s">
        <v>2435</v>
      </c>
      <c r="C19" s="250">
        <f ca="1">IF(G19="已包含在土地取得成本中","0",ROUND(D19*E19,0))</f>
        <v>42452960</v>
      </c>
      <c r="D19" s="1031">
        <f ca="1">D9+D10</f>
        <v>212264.80000000002</v>
      </c>
      <c r="E19" s="250">
        <f>'数据-取费表'!B31</f>
        <v>200</v>
      </c>
      <c r="F19" s="270"/>
      <c r="G19" s="2537"/>
    </row>
    <row r="20" spans="1:7" s="253" customFormat="1" ht="13.5" customHeight="1">
      <c r="A20" s="294" t="s">
        <v>2436</v>
      </c>
      <c r="B20" s="249" t="s">
        <v>2437</v>
      </c>
      <c r="C20" s="271">
        <f ca="1">ROUND((C5+C19)*F20,0)</f>
        <v>1608387</v>
      </c>
      <c r="D20" s="271"/>
      <c r="E20" s="271"/>
      <c r="F20" s="272">
        <f>'数据-取费表'!B37</f>
        <v>0.02</v>
      </c>
      <c r="G20" s="273" t="s">
        <v>2438</v>
      </c>
    </row>
    <row r="21" spans="1:7" s="253" customFormat="1" ht="13.5" customHeight="1">
      <c r="A21" s="294" t="s">
        <v>2439</v>
      </c>
      <c r="B21" s="249" t="s">
        <v>2440</v>
      </c>
      <c r="C21" s="274">
        <f>F21</f>
        <v>0.02</v>
      </c>
      <c r="D21" s="275" t="s">
        <v>2441</v>
      </c>
      <c r="E21" s="271"/>
      <c r="F21" s="272">
        <f>'数据-取费表'!B38</f>
        <v>0.02</v>
      </c>
      <c r="G21" s="273" t="s">
        <v>2442</v>
      </c>
    </row>
    <row r="22" spans="1:7" s="253" customFormat="1" ht="13.5" customHeight="1">
      <c r="A22" s="294" t="s">
        <v>2443</v>
      </c>
      <c r="B22" s="249" t="s">
        <v>2444</v>
      </c>
      <c r="C22" s="1375">
        <f ca="1">ROUND(SUM(C23:C25),0)</f>
        <v>9988747</v>
      </c>
      <c r="D22" s="274">
        <f ca="1">C26</f>
        <v>1.1999999999999999E-3</v>
      </c>
      <c r="E22" s="275" t="s">
        <v>2441</v>
      </c>
      <c r="F22" s="276">
        <f ca="1">'数据-取费表'!B40</f>
        <v>4.7500000000000001E-2</v>
      </c>
      <c r="G22" s="273" t="str">
        <f>IF('数据-取费表'!B22&lt;=1,"单利计息","复利计息")</f>
        <v>复利计息</v>
      </c>
    </row>
    <row r="23" spans="1:7" s="253" customFormat="1" ht="13.5" customHeight="1">
      <c r="A23" s="946" t="s">
        <v>2334</v>
      </c>
      <c r="B23" s="254" t="s">
        <v>2445</v>
      </c>
      <c r="C23" s="1376">
        <f ca="1">ROUND(IF('数据-取费表'!B22&lt;=1,C5*F22*'数据-取费表'!B22,C5*(POWER((1+F22),'数据-取费表'!B22)-1)),0)</f>
        <v>4670391</v>
      </c>
      <c r="D23" s="277"/>
      <c r="E23" s="277"/>
      <c r="F23" s="278"/>
      <c r="G23" s="279" t="s">
        <v>2446</v>
      </c>
    </row>
    <row r="24" spans="1:7" s="253" customFormat="1" ht="13.5" customHeight="1">
      <c r="A24" s="946" t="s">
        <v>2336</v>
      </c>
      <c r="B24" s="254" t="s">
        <v>2447</v>
      </c>
      <c r="C24" s="1376">
        <f ca="1">ROUND(IF('数据-取费表'!B22&lt;=1,C19*F22*('数据-取费表'!B19/2+'数据-取费表'!B20),C19*(POWER((1+F22),('数据-取费表'!B19/2+'数据-取费表'!B20))-1)),0)</f>
        <v>5222298</v>
      </c>
      <c r="D24" s="277"/>
      <c r="E24" s="277"/>
      <c r="F24" s="278"/>
      <c r="G24" s="279" t="s">
        <v>2448</v>
      </c>
    </row>
    <row r="25" spans="1:7" s="253" customFormat="1" ht="26">
      <c r="A25" s="946" t="s">
        <v>2338</v>
      </c>
      <c r="B25" s="254" t="s">
        <v>2449</v>
      </c>
      <c r="C25" s="1376">
        <f ca="1">ROUND(IF('数据-取费表'!B22&lt;=1,C20*F22*'数据-取费表'!B22/2,C20*(POWER((1+F22),'数据-取费表'!B22/2)-1)),0)</f>
        <v>96058</v>
      </c>
      <c r="D25" s="277"/>
      <c r="E25" s="280"/>
      <c r="F25" s="278"/>
      <c r="G25" s="281" t="s">
        <v>2450</v>
      </c>
    </row>
    <row r="26" spans="1:7" s="253" customFormat="1" ht="13">
      <c r="A26" s="946" t="s">
        <v>795</v>
      </c>
      <c r="B26" s="254" t="s">
        <v>2373</v>
      </c>
      <c r="C26" s="277">
        <f ca="1">ROUND(IF('数据-取费表'!B22&lt;=1,F21*F22*'数据-取费表'!B22/2,F21*(POWER((1+F22),'数据-取费表'!B22/2)-1)),4)</f>
        <v>1.1999999999999999E-3</v>
      </c>
      <c r="D26" s="277"/>
      <c r="E26" s="280"/>
      <c r="F26" s="278"/>
      <c r="G26" s="282"/>
    </row>
    <row r="27" spans="1:7" s="253" customFormat="1" ht="27">
      <c r="A27" s="294" t="s">
        <v>2374</v>
      </c>
      <c r="B27" s="283" t="s">
        <v>2375</v>
      </c>
      <c r="C27" s="284">
        <f ca="1">C28</f>
        <v>9843330</v>
      </c>
      <c r="D27" s="274">
        <f ca="1">C29</f>
        <v>2.3999999999999998E-3</v>
      </c>
      <c r="E27" s="275" t="s">
        <v>2376</v>
      </c>
      <c r="F27" s="285">
        <f ca="1">IF(B1="",'数据-取费表'!Q16,INDIRECT("'数据-取费表'!q"&amp;$G$1))</f>
        <v>0.12</v>
      </c>
      <c r="G27" s="286" t="s">
        <v>2377</v>
      </c>
    </row>
    <row r="28" spans="1:7" s="253" customFormat="1" ht="13.5" customHeight="1">
      <c r="A28" s="946" t="s">
        <v>791</v>
      </c>
      <c r="B28" s="287" t="s">
        <v>2378</v>
      </c>
      <c r="C28" s="288">
        <f ca="1">ROUND((C5+C19+C20)*F27,0)</f>
        <v>9843330</v>
      </c>
      <c r="D28" s="274"/>
      <c r="E28" s="275"/>
      <c r="F28" s="285"/>
      <c r="G28" s="286"/>
    </row>
    <row r="29" spans="1:7" s="253" customFormat="1" ht="13.5" customHeight="1">
      <c r="A29" s="946" t="s">
        <v>792</v>
      </c>
      <c r="B29" s="287" t="s">
        <v>2379</v>
      </c>
      <c r="C29" s="277">
        <f ca="1">ROUND(C21*F27,4)</f>
        <v>2.3999999999999998E-3</v>
      </c>
      <c r="D29" s="274"/>
      <c r="E29" s="275"/>
      <c r="F29" s="285"/>
      <c r="G29" s="286"/>
    </row>
    <row r="30" spans="1:7" s="253" customFormat="1" ht="13.5" customHeight="1">
      <c r="A30" s="294" t="s">
        <v>2380</v>
      </c>
      <c r="B30" s="249" t="s">
        <v>2381</v>
      </c>
      <c r="C30" s="274">
        <f>ROUND(F30/(1+'数据-取费表'!C42),4)</f>
        <v>5.2400000000000002E-2</v>
      </c>
      <c r="D30" s="275" t="s">
        <v>2376</v>
      </c>
      <c r="E30" s="280"/>
      <c r="F30" s="276">
        <f>'数据-取费表'!B41</f>
        <v>5.5000000000000007E-2</v>
      </c>
      <c r="G30" s="273" t="s">
        <v>2382</v>
      </c>
    </row>
    <row r="31" spans="1:7" ht="16.5" customHeight="1">
      <c r="A31" s="248">
        <v>1</v>
      </c>
      <c r="B31" s="249" t="s">
        <v>2383</v>
      </c>
      <c r="C31" s="250">
        <f ca="1">ROUND((C5+C19+C20+C22+C27)/(1-C21-D22-D27-C30),0)</f>
        <v>110237911</v>
      </c>
      <c r="D31" s="269"/>
      <c r="E31" s="250"/>
      <c r="F31" s="289"/>
      <c r="G31" s="273" t="s">
        <v>2384</v>
      </c>
    </row>
    <row r="32" spans="1:7" s="247" customFormat="1" ht="16">
      <c r="A32" s="291" t="s">
        <v>2451</v>
      </c>
      <c r="B32" s="292"/>
      <c r="C32" s="292"/>
      <c r="D32" s="292"/>
      <c r="E32" s="292"/>
      <c r="F32" s="292"/>
      <c r="G32" s="293"/>
    </row>
    <row r="33" spans="1:7" s="253" customFormat="1" ht="13.5" customHeight="1">
      <c r="A33" s="294" t="s">
        <v>782</v>
      </c>
      <c r="B33" s="249" t="s">
        <v>2452</v>
      </c>
      <c r="C33" s="295">
        <f ca="1">SUM(C34:C38)</f>
        <v>582800268</v>
      </c>
      <c r="D33" s="271"/>
      <c r="E33" s="251"/>
      <c r="F33" s="280"/>
      <c r="G33" s="273"/>
    </row>
    <row r="34" spans="1:7" s="297" customFormat="1" ht="13.5" customHeight="1">
      <c r="A34" s="946" t="s">
        <v>791</v>
      </c>
      <c r="B34" s="254" t="s">
        <v>2387</v>
      </c>
      <c r="C34" s="259">
        <f ca="1">ROUND(IF(B1="",SUMPRODUCT('数据-取费表'!K6:K14,'数据-取费表'!L6:L14),INDIRECT("'数据-取费表'!l"&amp;$G$1)*INDIRECT("'数据-取费表'!k"&amp;$G$1)+'数据-取费表'!L14*INDIRECT("'数据-取费表'!S"&amp;$G$1)),0)</f>
        <v>509350728</v>
      </c>
      <c r="D34" s="256"/>
      <c r="E34" s="259"/>
      <c r="F34" s="296"/>
      <c r="G34" s="258"/>
    </row>
    <row r="35" spans="1:7" ht="13.5" customHeight="1">
      <c r="A35" s="946" t="s">
        <v>796</v>
      </c>
      <c r="B35" s="254" t="s">
        <v>2389</v>
      </c>
      <c r="C35" s="259">
        <f ca="1">ROUND(C34*F35,0)</f>
        <v>15280522</v>
      </c>
      <c r="D35" s="259"/>
      <c r="E35" s="259"/>
      <c r="F35" s="298">
        <f>'数据-取费表'!B33</f>
        <v>0.03</v>
      </c>
      <c r="G35" s="258" t="s">
        <v>2390</v>
      </c>
    </row>
    <row r="36" spans="1:7" ht="26">
      <c r="A36" s="946" t="s">
        <v>797</v>
      </c>
      <c r="B36" s="254" t="s">
        <v>2391</v>
      </c>
      <c r="C36" s="259">
        <f ca="1">ROUND(IF(B1="",SUM('数据-取费表'!AP6:AP13)*F36,IF(INDIRECT("'数据-取费表'!c"&amp;$G$1)="住宅",INDIRECT("'数据-取费表'!k"&amp;$G$1)*INDIRECT("'数据-取费表'!l"&amp;$G$1)*F36,0)),0)</f>
        <v>8075797</v>
      </c>
      <c r="D36" s="259"/>
      <c r="E36" s="259"/>
      <c r="F36" s="298">
        <f>'数据-取费表'!B34</f>
        <v>0.03</v>
      </c>
      <c r="G36" s="299" t="s">
        <v>2392</v>
      </c>
    </row>
    <row r="37" spans="1:7" s="297" customFormat="1" ht="13.5" customHeight="1">
      <c r="A37" s="946" t="s">
        <v>798</v>
      </c>
      <c r="B37" s="254" t="s">
        <v>2393</v>
      </c>
      <c r="C37" s="288">
        <f ca="1">ROUND(E37*D37,0)</f>
        <v>42452960</v>
      </c>
      <c r="D37" s="256">
        <f ca="1">D19</f>
        <v>212264.80000000002</v>
      </c>
      <c r="E37" s="288">
        <f>'数据-取费表'!B35</f>
        <v>200</v>
      </c>
      <c r="F37" s="298"/>
      <c r="G37" s="300"/>
    </row>
    <row r="38" spans="1:7" ht="13.5" customHeight="1">
      <c r="A38" s="946" t="s">
        <v>799</v>
      </c>
      <c r="B38" s="254" t="s">
        <v>2395</v>
      </c>
      <c r="C38" s="259">
        <f ca="1">ROUND(C34*F38,0)</f>
        <v>7640261</v>
      </c>
      <c r="D38" s="259"/>
      <c r="E38" s="259"/>
      <c r="F38" s="298">
        <f>'数据-取费表'!B36</f>
        <v>1.4999999999999999E-2</v>
      </c>
      <c r="G38" s="258" t="s">
        <v>2390</v>
      </c>
    </row>
    <row r="39" spans="1:7" s="253" customFormat="1" ht="13.5" customHeight="1">
      <c r="A39" s="294" t="s">
        <v>2396</v>
      </c>
      <c r="B39" s="249" t="s">
        <v>2397</v>
      </c>
      <c r="C39" s="271">
        <f ca="1">ROUND(C33*F20,0)</f>
        <v>11656005</v>
      </c>
      <c r="D39" s="271"/>
      <c r="E39" s="271"/>
      <c r="F39" s="272"/>
      <c r="G39" s="273" t="s">
        <v>2398</v>
      </c>
    </row>
    <row r="40" spans="1:7" s="253" customFormat="1" ht="13.5" customHeight="1">
      <c r="A40" s="294" t="s">
        <v>2399</v>
      </c>
      <c r="B40" s="249" t="s">
        <v>2400</v>
      </c>
      <c r="C40" s="1723">
        <f>F21</f>
        <v>0.02</v>
      </c>
      <c r="D40" s="275" t="s">
        <v>2401</v>
      </c>
      <c r="E40" s="271"/>
      <c r="F40" s="272"/>
      <c r="G40" s="273" t="s">
        <v>2402</v>
      </c>
    </row>
    <row r="41" spans="1:7" s="253" customFormat="1" ht="13.5" customHeight="1">
      <c r="A41" s="294" t="s">
        <v>2403</v>
      </c>
      <c r="B41" s="249" t="s">
        <v>2404</v>
      </c>
      <c r="C41" s="271">
        <f ca="1">ROUND(SUM(C42:C43),0)</f>
        <v>35502972</v>
      </c>
      <c r="D41" s="274">
        <f ca="1">C44</f>
        <v>1.1999999999999999E-3</v>
      </c>
      <c r="E41" s="275" t="s">
        <v>2401</v>
      </c>
      <c r="F41" s="276"/>
      <c r="G41" s="273" t="str">
        <f>IF('数据-取费表'!B22&lt;=1,"单利计息","复利计息")</f>
        <v>复利计息</v>
      </c>
    </row>
    <row r="42" spans="1:7" ht="13.5" customHeight="1">
      <c r="A42" s="946" t="s">
        <v>791</v>
      </c>
      <c r="B42" s="254" t="s">
        <v>2405</v>
      </c>
      <c r="C42" s="277">
        <f ca="1">ROUND(IF('数据-取费表'!B22&lt;=1,C33*F22*'数据-取费表'!B20/2,C33*(POWER((1+F22),'数据-取费表'!B20/2)-1)),0)</f>
        <v>34806835</v>
      </c>
      <c r="D42" s="277"/>
      <c r="E42" s="277"/>
      <c r="F42" s="278"/>
      <c r="G42" s="3227" t="s">
        <v>2453</v>
      </c>
    </row>
    <row r="43" spans="1:7" ht="13.5" customHeight="1">
      <c r="A43" s="946" t="s">
        <v>792</v>
      </c>
      <c r="B43" s="254" t="s">
        <v>2407</v>
      </c>
      <c r="C43" s="277">
        <f ca="1">ROUND(IF('数据-取费表'!B22&lt;=1,C39*F22*'数据-取费表'!B20/2,C39*(POWER((1+F22),'数据-取费表'!B20/2)-1)),0)</f>
        <v>696137</v>
      </c>
      <c r="D43" s="277"/>
      <c r="E43" s="277"/>
      <c r="F43" s="278"/>
      <c r="G43" s="3228"/>
    </row>
    <row r="44" spans="1:7" ht="13.5" customHeight="1">
      <c r="A44" s="946" t="s">
        <v>793</v>
      </c>
      <c r="B44" s="254" t="s">
        <v>2408</v>
      </c>
      <c r="C44" s="277">
        <f ca="1">ROUND(IF('数据-取费表'!B22&lt;=1,C40*F22*'数据-取费表'!B20/2,C40*(POWER((1+F22),'数据-取费表'!B20/2)-1)),4)</f>
        <v>1.1999999999999999E-3</v>
      </c>
      <c r="D44" s="277"/>
      <c r="E44" s="277"/>
      <c r="F44" s="278"/>
      <c r="G44" s="3229"/>
    </row>
    <row r="45" spans="1:7" s="253" customFormat="1" ht="13.5" customHeight="1">
      <c r="A45" s="294" t="s">
        <v>2409</v>
      </c>
      <c r="B45" s="283" t="s">
        <v>2375</v>
      </c>
      <c r="C45" s="284">
        <f ca="1">C46</f>
        <v>71334753</v>
      </c>
      <c r="D45" s="274">
        <f ca="1">C47</f>
        <v>2.3999999999999998E-3</v>
      </c>
      <c r="E45" s="275" t="s">
        <v>2401</v>
      </c>
      <c r="F45" s="285"/>
      <c r="G45" s="286" t="s">
        <v>2410</v>
      </c>
    </row>
    <row r="46" spans="1:7" s="253" customFormat="1" ht="13.5" customHeight="1">
      <c r="A46" s="946" t="s">
        <v>791</v>
      </c>
      <c r="B46" s="287" t="s">
        <v>2411</v>
      </c>
      <c r="C46" s="288">
        <f ca="1">ROUND((C33+C39)*F27,0)</f>
        <v>71334753</v>
      </c>
      <c r="D46" s="302"/>
      <c r="E46" s="275"/>
      <c r="F46" s="285"/>
      <c r="G46" s="286"/>
    </row>
    <row r="47" spans="1:7" s="253" customFormat="1" ht="13.5" customHeight="1">
      <c r="A47" s="946" t="s">
        <v>792</v>
      </c>
      <c r="B47" s="287" t="s">
        <v>2412</v>
      </c>
      <c r="C47" s="277">
        <f ca="1">ROUND(C40*F27,4)</f>
        <v>2.3999999999999998E-3</v>
      </c>
      <c r="D47" s="302"/>
      <c r="E47" s="275"/>
      <c r="F47" s="285"/>
      <c r="G47" s="286"/>
    </row>
    <row r="48" spans="1:7" s="253" customFormat="1" ht="13.5" customHeight="1">
      <c r="A48" s="294" t="s">
        <v>2374</v>
      </c>
      <c r="B48" s="249" t="s">
        <v>2413</v>
      </c>
      <c r="C48" s="301">
        <f>ROUND(F30/(1+'数据-取费表'!C42),4)</f>
        <v>5.2400000000000002E-2</v>
      </c>
      <c r="D48" s="275" t="s">
        <v>2401</v>
      </c>
      <c r="E48" s="271"/>
      <c r="F48" s="276"/>
      <c r="G48" s="273" t="s">
        <v>2414</v>
      </c>
    </row>
    <row r="49" spans="1:7" ht="16.5" customHeight="1">
      <c r="A49" s="294" t="s">
        <v>2380</v>
      </c>
      <c r="B49" s="249" t="s">
        <v>2454</v>
      </c>
      <c r="C49" s="271">
        <f ca="1">ROUND((C33+C39+C41+C45)/(1-C40-D41-D45-C48),0)</f>
        <v>758976188</v>
      </c>
      <c r="D49" s="271"/>
      <c r="E49" s="271"/>
      <c r="F49" s="303"/>
      <c r="G49" s="273" t="s">
        <v>2416</v>
      </c>
    </row>
    <row r="50" spans="1:7" s="297" customFormat="1" ht="13.5">
      <c r="A50" s="294" t="s">
        <v>2417</v>
      </c>
      <c r="B50" s="249" t="s">
        <v>2418</v>
      </c>
      <c r="C50" s="271"/>
      <c r="D50" s="271"/>
      <c r="E50" s="271"/>
      <c r="F50" s="303">
        <f>IF('数据-取费表'!B24=0,'数据-取费表'!N16,1)</f>
        <v>1</v>
      </c>
      <c r="G50" s="286"/>
    </row>
    <row r="51" spans="1:7" ht="16.5" customHeight="1">
      <c r="A51" s="294" t="s">
        <v>2420</v>
      </c>
      <c r="B51" s="249" t="s">
        <v>2455</v>
      </c>
      <c r="C51" s="271">
        <f ca="1">ROUND(C49*F50,0)</f>
        <v>758976188</v>
      </c>
      <c r="D51" s="271"/>
      <c r="E51" s="271"/>
      <c r="F51" s="303"/>
      <c r="G51" s="273" t="s">
        <v>2422</v>
      </c>
    </row>
    <row r="52" spans="1:7" s="247" customFormat="1" ht="16.5" thickBot="1">
      <c r="A52" s="304" t="s">
        <v>2423</v>
      </c>
      <c r="B52" s="305"/>
      <c r="C52" s="306">
        <f ca="1">C31+C51</f>
        <v>869214099</v>
      </c>
      <c r="D52" s="305"/>
      <c r="E52" s="305"/>
      <c r="F52" s="305"/>
      <c r="G52" s="307"/>
    </row>
    <row r="55" spans="1:7" ht="15.5">
      <c r="B55" s="309" t="s">
        <v>2424</v>
      </c>
      <c r="C55" s="310"/>
    </row>
    <row r="56" spans="1:7" ht="13">
      <c r="B56" s="312" t="s">
        <v>1507</v>
      </c>
      <c r="C56" s="314">
        <f ca="1">1-C57</f>
        <v>0.127</v>
      </c>
    </row>
    <row r="57" spans="1:7" ht="13">
      <c r="B57" s="312" t="s">
        <v>1508</v>
      </c>
      <c r="C57" s="313">
        <f ca="1">ROUND(C51/C52,3)</f>
        <v>0.873</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zoomScale="80" zoomScaleNormal="80" workbookViewId="0">
      <selection activeCell="B3" sqref="B3"/>
    </sheetView>
  </sheetViews>
  <sheetFormatPr defaultColWidth="9" defaultRowHeight="14"/>
  <cols>
    <col min="1" max="1" width="14.36328125" style="398" customWidth="1"/>
    <col min="2" max="2" width="15.90625" style="398" customWidth="1"/>
    <col min="3" max="3" width="16.453125" style="398" customWidth="1"/>
    <col min="4" max="4" width="14.08984375" style="398" customWidth="1"/>
    <col min="5" max="5" width="15.7265625" style="398" customWidth="1"/>
    <col min="6" max="6" width="12.08984375" style="398" customWidth="1"/>
    <col min="7" max="7" width="15.7265625" style="398" customWidth="1"/>
    <col min="8" max="8" width="12.08984375" style="398" customWidth="1"/>
    <col min="9" max="9" width="16.08984375" style="398" customWidth="1"/>
    <col min="10" max="10" width="12.08984375" style="398" customWidth="1"/>
    <col min="11" max="11" width="12.08984375" style="490" customWidth="1"/>
    <col min="12" max="12" width="12.08984375" style="491" customWidth="1"/>
    <col min="13" max="15" width="12.08984375" style="398" customWidth="1"/>
    <col min="16" max="16" width="4.90625" style="39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30" s="393" customFormat="1" ht="28.5" customHeight="1">
      <c r="A1" s="389" t="s">
        <v>2738</v>
      </c>
      <c r="B1" s="390"/>
      <c r="C1" s="391" t="s">
        <v>2739</v>
      </c>
      <c r="D1" s="750"/>
      <c r="E1" s="750"/>
      <c r="F1" s="749" t="s">
        <v>2637</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2324</v>
      </c>
      <c r="B2" s="666">
        <f>F66</f>
        <v>282572</v>
      </c>
      <c r="C2" s="1119"/>
      <c r="D2" s="1119"/>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c r="AD2" s="392"/>
    </row>
    <row r="3" spans="1:30" s="393" customFormat="1" ht="28.5" customHeight="1" thickBot="1">
      <c r="A3" s="242" t="s">
        <v>2326</v>
      </c>
      <c r="B3" s="604">
        <f>ROUND(IF(D3="",B2*10000/'数据-汇总表'!E3,B2*10000/D3),0)</f>
        <v>13312</v>
      </c>
      <c r="C3" s="242" t="s">
        <v>2740</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30">
      <c r="A4" s="396" t="s">
        <v>2639</v>
      </c>
      <c r="B4" s="397"/>
      <c r="C4" s="3234" t="s">
        <v>2640</v>
      </c>
      <c r="D4" s="3247"/>
      <c r="E4" s="3248" t="s">
        <v>2641</v>
      </c>
      <c r="F4" s="3249"/>
      <c r="G4" s="3234" t="s">
        <v>2642</v>
      </c>
      <c r="H4" s="3247"/>
      <c r="I4" s="3234" t="s">
        <v>2643</v>
      </c>
      <c r="J4" s="3247"/>
      <c r="K4" s="605" t="s">
        <v>2644</v>
      </c>
      <c r="L4" s="1125"/>
      <c r="M4" s="1126"/>
      <c r="N4" s="1126"/>
      <c r="O4" s="1126"/>
      <c r="P4" s="3250" t="s">
        <v>2645</v>
      </c>
      <c r="Q4" s="3251"/>
      <c r="R4" s="3256" t="s">
        <v>2641</v>
      </c>
      <c r="S4" s="3257"/>
      <c r="T4" s="3256" t="s">
        <v>2642</v>
      </c>
      <c r="U4" s="3257"/>
      <c r="V4" s="3243" t="s">
        <v>2643</v>
      </c>
      <c r="W4" s="3243"/>
      <c r="X4" s="1808"/>
      <c r="Y4" s="3256" t="s">
        <v>2645</v>
      </c>
      <c r="Z4" s="3257"/>
      <c r="AA4" s="3244" t="s">
        <v>2641</v>
      </c>
      <c r="AB4" s="3245" t="s">
        <v>2642</v>
      </c>
      <c r="AC4" s="3244" t="s">
        <v>2643</v>
      </c>
    </row>
    <row r="5" spans="1:30">
      <c r="A5" s="399"/>
      <c r="B5" s="400"/>
      <c r="C5" s="3264" t="s">
        <v>2536</v>
      </c>
      <c r="D5" s="3265"/>
      <c r="E5" s="3271" t="str">
        <f>土地案例!$A$2</f>
        <v>北京市怀柔区雁栖镇陈各庄村HR00-0010-6047地块R2二类居住用地、HR00-0010-6045和HR00-0010-6054地块S4社会停车场用地</v>
      </c>
      <c r="F5" s="3272"/>
      <c r="G5" s="3264" t="str">
        <f>土地案例!$A$4</f>
        <v>北京市怀柔区怀柔新城03街区HR00-0003-6004等地块A33基础教育用地、R2二类居住用地、F1住宅混合公建用地、F3其他类多功能用地</v>
      </c>
      <c r="H5" s="3265"/>
      <c r="I5" s="3264" t="str">
        <f>土地案例!$A$12</f>
        <v>北京市顺义区顺义新城牛栏山组团一级开发项目17-11-07地块(南侧)R2二类居住用地</v>
      </c>
      <c r="J5" s="3265"/>
      <c r="K5" s="605"/>
      <c r="L5" s="1125"/>
      <c r="M5" s="1126"/>
      <c r="N5" s="1126"/>
      <c r="O5" s="1126"/>
      <c r="P5" s="3252"/>
      <c r="Q5" s="3253"/>
      <c r="R5" s="3258"/>
      <c r="S5" s="3259"/>
      <c r="T5" s="3258"/>
      <c r="U5" s="3259"/>
      <c r="V5" s="3243"/>
      <c r="W5" s="3243"/>
      <c r="X5" s="1808"/>
      <c r="Y5" s="3258"/>
      <c r="Z5" s="3259"/>
      <c r="AA5" s="3245"/>
      <c r="AB5" s="3245"/>
      <c r="AC5" s="3245"/>
    </row>
    <row r="6" spans="1:30" ht="15" thickBot="1">
      <c r="A6" s="401"/>
      <c r="B6" s="402"/>
      <c r="C6" s="3262" t="s">
        <v>2540</v>
      </c>
      <c r="D6" s="3263"/>
      <c r="E6" s="3269" t="s">
        <v>2540</v>
      </c>
      <c r="F6" s="3270"/>
      <c r="G6" s="3262" t="s">
        <v>2540</v>
      </c>
      <c r="H6" s="3263"/>
      <c r="I6" s="3262" t="s">
        <v>2540</v>
      </c>
      <c r="J6" s="3263"/>
      <c r="K6" s="605" t="s">
        <v>2541</v>
      </c>
      <c r="L6" s="1125"/>
      <c r="M6" s="1126"/>
      <c r="N6" s="1126"/>
      <c r="O6" s="1126"/>
      <c r="P6" s="3254"/>
      <c r="Q6" s="3255"/>
      <c r="R6" s="3258"/>
      <c r="S6" s="3259"/>
      <c r="T6" s="3260"/>
      <c r="U6" s="3261"/>
      <c r="V6" s="3243"/>
      <c r="W6" s="3243"/>
      <c r="X6" s="1808"/>
      <c r="Y6" s="3260"/>
      <c r="Z6" s="3261"/>
      <c r="AA6" s="3246"/>
      <c r="AB6" s="3246"/>
      <c r="AC6" s="3246"/>
    </row>
    <row r="7" spans="1:30" s="114" customFormat="1" ht="14.5" thickBot="1">
      <c r="A7" s="403" t="s">
        <v>2542</v>
      </c>
      <c r="B7" s="404"/>
      <c r="C7" s="405">
        <f>'数据-取费表'!B2</f>
        <v>43903</v>
      </c>
      <c r="D7" s="406">
        <v>100</v>
      </c>
      <c r="E7" s="407" t="str">
        <f>土地案例!$H$2</f>
        <v>2019-12-19</v>
      </c>
      <c r="F7" s="408">
        <f>SUMIF(70:70,YEAR(E7)&amp;"-"&amp;INT((MONTH(E7)+2)/3),71:71)</f>
        <v>99.5</v>
      </c>
      <c r="G7" s="2682" t="str">
        <f>土地案例!$H$4</f>
        <v>2019-06-21</v>
      </c>
      <c r="H7" s="406">
        <f>SUMIF(70:70,YEAR(G7)&amp;"-"&amp;INT((MONTH(G7)+2)/3),71:71)</f>
        <v>98.5</v>
      </c>
      <c r="I7" s="2682" t="str">
        <f>土地案例!$H$12</f>
        <v>2018-12-11</v>
      </c>
      <c r="J7" s="406">
        <f>SUMIF(70:70,YEAR(I7)&amp;"-"&amp;INT((MONTH(I7)+2)/3),71:71)</f>
        <v>97.5</v>
      </c>
      <c r="K7" s="606"/>
      <c r="L7" s="1127"/>
      <c r="M7" s="1128"/>
      <c r="N7" s="1128"/>
      <c r="O7" s="1128"/>
      <c r="P7" s="3266" t="s">
        <v>2543</v>
      </c>
      <c r="Q7" s="3268"/>
      <c r="R7" s="765" t="s">
        <v>17</v>
      </c>
      <c r="S7" s="766">
        <f t="shared" ref="S7:S15" si="0">F7</f>
        <v>99.5</v>
      </c>
      <c r="T7" s="765" t="s">
        <v>17</v>
      </c>
      <c r="U7" s="766">
        <f t="shared" ref="U7:U15" si="1">H7</f>
        <v>98.5</v>
      </c>
      <c r="V7" s="765" t="s">
        <v>17</v>
      </c>
      <c r="W7" s="766">
        <f t="shared" ref="W7:W15" si="2">J7</f>
        <v>97.5</v>
      </c>
      <c r="X7" s="767"/>
      <c r="Y7" s="3266" t="s">
        <v>2543</v>
      </c>
      <c r="Z7" s="3267"/>
      <c r="AA7" s="768">
        <f>D7/F7</f>
        <v>1.0050251256281406</v>
      </c>
      <c r="AB7" s="768">
        <f>D7/H7</f>
        <v>1.015228426395939</v>
      </c>
      <c r="AC7" s="768">
        <f>D7/J7</f>
        <v>1.0256410256410255</v>
      </c>
    </row>
    <row r="8" spans="1:30" s="114" customFormat="1" ht="14.5" thickBot="1">
      <c r="A8" s="403" t="s">
        <v>2544</v>
      </c>
      <c r="B8" s="404"/>
      <c r="C8" s="409" t="s">
        <v>2545</v>
      </c>
      <c r="D8" s="406">
        <v>100</v>
      </c>
      <c r="E8" s="409" t="s">
        <v>3110</v>
      </c>
      <c r="F8" s="408">
        <f>SUMIF(73:73,E8,74:74)-SUMIF(73:73,C8,74:74)+100</f>
        <v>100</v>
      </c>
      <c r="G8" s="409" t="s">
        <v>3110</v>
      </c>
      <c r="H8" s="406">
        <f>SUMIF(73:73,G8,74:74)-SUMIF(73:73,C8,74:74)+100</f>
        <v>100</v>
      </c>
      <c r="I8" s="409" t="s">
        <v>3110</v>
      </c>
      <c r="J8" s="406">
        <f>SUMIF(73:73,I8,74:74)-SUMIF(73:73,C8,74:74)+100</f>
        <v>100</v>
      </c>
      <c r="K8" s="606"/>
      <c r="L8" s="1127"/>
      <c r="M8" s="1128"/>
      <c r="N8" s="1128"/>
      <c r="O8" s="1128"/>
      <c r="P8" s="3266" t="s">
        <v>2546</v>
      </c>
      <c r="Q8" s="3267"/>
      <c r="R8" s="765" t="s">
        <v>17</v>
      </c>
      <c r="S8" s="766">
        <f t="shared" si="0"/>
        <v>100</v>
      </c>
      <c r="T8" s="765" t="s">
        <v>17</v>
      </c>
      <c r="U8" s="766">
        <f t="shared" si="1"/>
        <v>100</v>
      </c>
      <c r="V8" s="765" t="s">
        <v>17</v>
      </c>
      <c r="W8" s="766">
        <f t="shared" si="2"/>
        <v>100</v>
      </c>
      <c r="X8" s="767"/>
      <c r="Y8" s="3266" t="s">
        <v>2546</v>
      </c>
      <c r="Z8" s="3267"/>
      <c r="AA8" s="768">
        <f t="shared" ref="AA8:AA45" si="3">D8/F8</f>
        <v>1</v>
      </c>
      <c r="AB8" s="768">
        <f t="shared" ref="AB8:AB45" si="4">D8/H8</f>
        <v>1</v>
      </c>
      <c r="AC8" s="768">
        <f t="shared" ref="AC8:AC45" si="5">D8/J8</f>
        <v>1</v>
      </c>
    </row>
    <row r="9" spans="1:30" s="114" customFormat="1">
      <c r="A9" s="410" t="s">
        <v>2547</v>
      </c>
      <c r="B9" s="68" t="s">
        <v>2548</v>
      </c>
      <c r="C9" s="2685" t="s">
        <v>3071</v>
      </c>
      <c r="D9" s="130">
        <v>100</v>
      </c>
      <c r="E9" s="2685" t="s">
        <v>3071</v>
      </c>
      <c r="F9" s="130">
        <f>SUMIF(75:75,E9,76:76)-SUMIF(75:75,C9,76:76)+100</f>
        <v>100</v>
      </c>
      <c r="G9" s="2685" t="s">
        <v>3071</v>
      </c>
      <c r="H9" s="130">
        <f>SUMIF(75:75,G9,76:76)-SUMIF(75:75,C9,76:76)+100</f>
        <v>100</v>
      </c>
      <c r="I9" s="2685" t="s">
        <v>3071</v>
      </c>
      <c r="J9" s="130">
        <f>SUMIF(75:75,I9,76:76)-SUMIF(75:75,C9,76:76)+100</f>
        <v>100</v>
      </c>
      <c r="K9" s="606"/>
      <c r="L9" s="1127"/>
      <c r="M9" s="1128"/>
      <c r="N9" s="1128"/>
      <c r="O9" s="1129"/>
      <c r="P9" s="3237" t="s">
        <v>2549</v>
      </c>
      <c r="Q9" s="1790" t="str">
        <f t="shared" ref="Q9:Q15" si="6">B9</f>
        <v>用途</v>
      </c>
      <c r="R9" s="765" t="s">
        <v>17</v>
      </c>
      <c r="S9" s="766">
        <f t="shared" si="0"/>
        <v>100</v>
      </c>
      <c r="T9" s="765" t="s">
        <v>17</v>
      </c>
      <c r="U9" s="766">
        <f t="shared" si="1"/>
        <v>100</v>
      </c>
      <c r="V9" s="765" t="s">
        <v>17</v>
      </c>
      <c r="W9" s="766">
        <f t="shared" si="2"/>
        <v>100</v>
      </c>
      <c r="X9" s="767"/>
      <c r="Y9" s="3085" t="s">
        <v>2550</v>
      </c>
      <c r="Z9" s="52" t="str">
        <f t="shared" ref="Z9:Z15" si="7">Q9</f>
        <v>用途</v>
      </c>
      <c r="AA9" s="768">
        <f t="shared" si="3"/>
        <v>1</v>
      </c>
      <c r="AB9" s="768">
        <f t="shared" si="4"/>
        <v>1</v>
      </c>
      <c r="AC9" s="768">
        <f t="shared" si="5"/>
        <v>1</v>
      </c>
    </row>
    <row r="10" spans="1:30" s="422" customFormat="1" ht="28">
      <c r="A10" s="416"/>
      <c r="B10" s="417" t="s">
        <v>2551</v>
      </c>
      <c r="C10" s="427">
        <f>项目基本情况!D15</f>
        <v>63.52</v>
      </c>
      <c r="D10" s="131">
        <v>100</v>
      </c>
      <c r="E10" s="460" t="s">
        <v>3254</v>
      </c>
      <c r="F10" s="131">
        <f>ROUND(100/'数据-取费表'!G16,0)</f>
        <v>103</v>
      </c>
      <c r="G10" s="458" t="s">
        <v>3254</v>
      </c>
      <c r="H10" s="131">
        <f>ROUND(100/'数据-取费表'!G16,0)</f>
        <v>103</v>
      </c>
      <c r="I10" s="458" t="s">
        <v>3254</v>
      </c>
      <c r="J10" s="131">
        <f>ROUND(100/'数据-取费表'!G16,0)</f>
        <v>103</v>
      </c>
      <c r="K10" s="667"/>
      <c r="L10" s="1130"/>
      <c r="M10" s="1131"/>
      <c r="N10" s="1131"/>
      <c r="O10" s="1132"/>
      <c r="P10" s="3237"/>
      <c r="Q10" s="1790" t="str">
        <f t="shared" si="6"/>
        <v>土地使用年限（年）</v>
      </c>
      <c r="R10" s="765" t="s">
        <v>17</v>
      </c>
      <c r="S10" s="766">
        <f t="shared" si="0"/>
        <v>103</v>
      </c>
      <c r="T10" s="765" t="s">
        <v>17</v>
      </c>
      <c r="U10" s="766">
        <f t="shared" si="1"/>
        <v>103</v>
      </c>
      <c r="V10" s="765" t="s">
        <v>17</v>
      </c>
      <c r="W10" s="766">
        <f t="shared" si="2"/>
        <v>103</v>
      </c>
      <c r="X10" s="767"/>
      <c r="Y10" s="3085"/>
      <c r="Z10" s="52" t="str">
        <f t="shared" si="7"/>
        <v>土地使用年限（年）</v>
      </c>
      <c r="AA10" s="768">
        <f t="shared" si="3"/>
        <v>0.970873786407767</v>
      </c>
      <c r="AB10" s="768">
        <f t="shared" si="4"/>
        <v>0.970873786407767</v>
      </c>
      <c r="AC10" s="768">
        <f t="shared" si="5"/>
        <v>0.970873786407767</v>
      </c>
    </row>
    <row r="11" spans="1:30" ht="15.5">
      <c r="A11" s="423"/>
      <c r="B11" s="417" t="s">
        <v>2552</v>
      </c>
      <c r="C11" s="424">
        <f>'数据-汇总表'!I4</f>
        <v>1.18</v>
      </c>
      <c r="D11" s="131">
        <v>100</v>
      </c>
      <c r="E11" s="424">
        <v>1.55</v>
      </c>
      <c r="F11" s="131">
        <f>LOOKUP(E11,80:80,81:81)-LOOKUP(C11,80:80,81:81)+100</f>
        <v>100</v>
      </c>
      <c r="G11" s="425">
        <v>2.0499999999999998</v>
      </c>
      <c r="H11" s="131">
        <f>LOOKUP(G11,80:80,81:81)-LOOKUP(C11,80:80,81:81)+100</f>
        <v>98</v>
      </c>
      <c r="I11" s="424">
        <v>1.8</v>
      </c>
      <c r="J11" s="131">
        <f>LOOKUP(I11,80:80,81:81)-LOOKUP(C11,80:80,81:81)+100</f>
        <v>100</v>
      </c>
      <c r="K11" s="668">
        <v>2</v>
      </c>
      <c r="L11" s="1133"/>
      <c r="M11" s="1126"/>
      <c r="N11" s="1126"/>
      <c r="O11" s="1134"/>
      <c r="P11" s="3237"/>
      <c r="Q11" s="1790" t="str">
        <f t="shared" si="6"/>
        <v>容积率</v>
      </c>
      <c r="R11" s="765" t="s">
        <v>17</v>
      </c>
      <c r="S11" s="766">
        <f t="shared" si="0"/>
        <v>100</v>
      </c>
      <c r="T11" s="765" t="s">
        <v>17</v>
      </c>
      <c r="U11" s="766">
        <f t="shared" si="1"/>
        <v>98</v>
      </c>
      <c r="V11" s="765" t="s">
        <v>17</v>
      </c>
      <c r="W11" s="766">
        <f t="shared" si="2"/>
        <v>100</v>
      </c>
      <c r="X11" s="767"/>
      <c r="Y11" s="3085"/>
      <c r="Z11" s="52" t="str">
        <f t="shared" si="7"/>
        <v>容积率</v>
      </c>
      <c r="AA11" s="768">
        <f t="shared" si="3"/>
        <v>1</v>
      </c>
      <c r="AB11" s="768">
        <f t="shared" si="4"/>
        <v>1.0204081632653061</v>
      </c>
      <c r="AC11" s="768">
        <f t="shared" si="5"/>
        <v>1</v>
      </c>
    </row>
    <row r="12" spans="1:30" s="114" customFormat="1" ht="16" thickBot="1">
      <c r="A12" s="426"/>
      <c r="B12" s="2976" t="s">
        <v>3335</v>
      </c>
      <c r="C12" s="2977" t="s">
        <v>3336</v>
      </c>
      <c r="D12" s="428">
        <v>100</v>
      </c>
      <c r="E12" s="2977" t="s">
        <v>3336</v>
      </c>
      <c r="F12" s="131">
        <f>SUMIF(82:82,E12,83:83)-SUMIF(82:82,C12,83:83)+100</f>
        <v>100</v>
      </c>
      <c r="G12" s="2977" t="s">
        <v>3336</v>
      </c>
      <c r="H12" s="131">
        <f>SUMIF(82:82,G12,83:83)-SUMIF(82:82,C12,83:83)+100</f>
        <v>100</v>
      </c>
      <c r="I12" s="2978" t="s">
        <v>3337</v>
      </c>
      <c r="J12" s="131">
        <f>SUMIF(82:82,I12,83:83)-SUMIF(82:82,C12,83:83)+100</f>
        <v>99</v>
      </c>
      <c r="K12" s="667"/>
      <c r="L12" s="1127"/>
      <c r="M12" s="1128"/>
      <c r="N12" s="1128"/>
      <c r="O12" s="1129"/>
      <c r="P12" s="3237"/>
      <c r="Q12" s="1790" t="str">
        <f t="shared" si="6"/>
        <v>限价</v>
      </c>
      <c r="R12" s="765" t="s">
        <v>17</v>
      </c>
      <c r="S12" s="766">
        <f t="shared" si="0"/>
        <v>100</v>
      </c>
      <c r="T12" s="765" t="s">
        <v>17</v>
      </c>
      <c r="U12" s="766">
        <f t="shared" si="1"/>
        <v>100</v>
      </c>
      <c r="V12" s="765" t="s">
        <v>17</v>
      </c>
      <c r="W12" s="766">
        <f t="shared" si="2"/>
        <v>99</v>
      </c>
      <c r="X12" s="767"/>
      <c r="Y12" s="3085"/>
      <c r="Z12" s="52" t="str">
        <f t="shared" si="7"/>
        <v>限价</v>
      </c>
      <c r="AA12" s="768">
        <f>D12/F12</f>
        <v>1</v>
      </c>
      <c r="AB12" s="768">
        <f>D12/H12</f>
        <v>1</v>
      </c>
      <c r="AC12" s="768">
        <f>D12/J12</f>
        <v>1.0101010101010102</v>
      </c>
    </row>
    <row r="13" spans="1:30" ht="15.5" hidden="1">
      <c r="A13" s="423"/>
      <c r="B13" s="2587">
        <v>111</v>
      </c>
      <c r="C13" s="429"/>
      <c r="D13" s="430">
        <v>100</v>
      </c>
      <c r="E13" s="544"/>
      <c r="F13" s="131">
        <f>SUMIF(84:84,E13,85:85)-SUMIF(84:84,C13,85:85)+100</f>
        <v>100</v>
      </c>
      <c r="G13" s="669"/>
      <c r="H13" s="430">
        <f>SUMIF(84:84,G13,85:85)-SUMIF(84:84,C13,85:85)+100</f>
        <v>100</v>
      </c>
      <c r="I13" s="669"/>
      <c r="J13" s="430">
        <f>SUMIF(84:84,I13,85:85)-SUMIF(84:84,C13,85:85)+100</f>
        <v>100</v>
      </c>
      <c r="K13" s="667"/>
      <c r="L13" s="1135"/>
      <c r="M13" s="1126"/>
      <c r="N13" s="1126"/>
      <c r="O13" s="1134"/>
      <c r="P13" s="3237"/>
      <c r="Q13" s="1790">
        <f t="shared" si="6"/>
        <v>111</v>
      </c>
      <c r="R13" s="765" t="s">
        <v>17</v>
      </c>
      <c r="S13" s="766">
        <f t="shared" si="0"/>
        <v>100</v>
      </c>
      <c r="T13" s="765" t="s">
        <v>17</v>
      </c>
      <c r="U13" s="766">
        <f t="shared" si="1"/>
        <v>100</v>
      </c>
      <c r="V13" s="765" t="s">
        <v>17</v>
      </c>
      <c r="W13" s="766">
        <f t="shared" si="2"/>
        <v>100</v>
      </c>
      <c r="X13" s="767"/>
      <c r="Y13" s="3085"/>
      <c r="Z13" s="52">
        <f t="shared" si="7"/>
        <v>111</v>
      </c>
      <c r="AA13" s="768">
        <f>D13/F13</f>
        <v>1</v>
      </c>
      <c r="AB13" s="768">
        <f>D13/H13</f>
        <v>1</v>
      </c>
      <c r="AC13" s="768">
        <f>D13/J13</f>
        <v>1</v>
      </c>
    </row>
    <row r="14" spans="1:30" ht="16" hidden="1" thickBot="1">
      <c r="A14" s="431"/>
      <c r="B14" s="2589">
        <v>111</v>
      </c>
      <c r="C14" s="432"/>
      <c r="D14" s="433">
        <v>100</v>
      </c>
      <c r="E14" s="544"/>
      <c r="F14" s="433">
        <f>SUMIF(86:86,E14,87:87)-SUMIF(86:86,C14,87:87)+100</f>
        <v>100</v>
      </c>
      <c r="G14" s="669"/>
      <c r="H14" s="433">
        <f>SUMIF(86:86,G14,87:87)-SUMIF(86:86,C14,87:87)+100</f>
        <v>100</v>
      </c>
      <c r="I14" s="669"/>
      <c r="J14" s="433">
        <f>SUMIF(86:86,I14,87:87)-SUMIF(86:86,C14,87:87)+100</f>
        <v>100</v>
      </c>
      <c r="K14" s="667"/>
      <c r="L14" s="1135"/>
      <c r="M14" s="1126"/>
      <c r="N14" s="1126"/>
      <c r="O14" s="1134"/>
      <c r="P14" s="3237"/>
      <c r="Q14" s="1790">
        <f t="shared" si="6"/>
        <v>111</v>
      </c>
      <c r="R14" s="765" t="s">
        <v>17</v>
      </c>
      <c r="S14" s="766">
        <f t="shared" si="0"/>
        <v>100</v>
      </c>
      <c r="T14" s="765" t="s">
        <v>17</v>
      </c>
      <c r="U14" s="766">
        <f t="shared" si="1"/>
        <v>100</v>
      </c>
      <c r="V14" s="765" t="s">
        <v>17</v>
      </c>
      <c r="W14" s="766">
        <f t="shared" si="2"/>
        <v>100</v>
      </c>
      <c r="X14" s="767"/>
      <c r="Y14" s="3085"/>
      <c r="Z14" s="52">
        <f t="shared" si="7"/>
        <v>111</v>
      </c>
      <c r="AA14" s="768">
        <f>D14/F14</f>
        <v>1</v>
      </c>
      <c r="AB14" s="768">
        <f>D14/H14</f>
        <v>1</v>
      </c>
      <c r="AC14" s="768">
        <f>D14/J14</f>
        <v>1</v>
      </c>
    </row>
    <row r="15" spans="1:30" ht="98">
      <c r="A15" s="435" t="s">
        <v>2553</v>
      </c>
      <c r="B15" s="66" t="s">
        <v>2083</v>
      </c>
      <c r="C15" s="2590"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102</v>
      </c>
      <c r="I15" s="439"/>
      <c r="J15" s="436">
        <f>SUMIF(88:88,I16,89:89)-SUMIF(88:88,C16,89:89)+100</f>
        <v>102</v>
      </c>
      <c r="K15" s="668">
        <v>2</v>
      </c>
      <c r="L15" s="1135"/>
      <c r="M15" s="1126"/>
      <c r="N15" s="1126"/>
      <c r="O15" s="1134"/>
      <c r="P15" s="3239" t="s">
        <v>2554</v>
      </c>
      <c r="Q15" s="1805" t="str">
        <f t="shared" si="6"/>
        <v>居住社区成熟度</v>
      </c>
      <c r="R15" s="769" t="s">
        <v>17</v>
      </c>
      <c r="S15" s="770">
        <f t="shared" si="0"/>
        <v>100</v>
      </c>
      <c r="T15" s="769" t="s">
        <v>17</v>
      </c>
      <c r="U15" s="770">
        <f t="shared" si="1"/>
        <v>102</v>
      </c>
      <c r="V15" s="769" t="s">
        <v>17</v>
      </c>
      <c r="W15" s="770">
        <f t="shared" si="2"/>
        <v>102</v>
      </c>
      <c r="X15" s="1808"/>
      <c r="Y15" s="3239" t="s">
        <v>2554</v>
      </c>
      <c r="Z15" s="1809" t="str">
        <f t="shared" si="7"/>
        <v>居住社区成熟度</v>
      </c>
      <c r="AA15" s="1806">
        <f t="shared" si="3"/>
        <v>1</v>
      </c>
      <c r="AB15" s="1806">
        <f t="shared" si="4"/>
        <v>0.98039215686274506</v>
      </c>
      <c r="AC15" s="1806">
        <f t="shared" si="5"/>
        <v>0.98039215686274506</v>
      </c>
    </row>
    <row r="16" spans="1:30" ht="15.5">
      <c r="A16" s="423"/>
      <c r="B16" s="441"/>
      <c r="C16" s="442" t="s">
        <v>3255</v>
      </c>
      <c r="D16" s="443"/>
      <c r="E16" s="2592" t="s">
        <v>3255</v>
      </c>
      <c r="F16" s="443"/>
      <c r="G16" s="2592" t="s">
        <v>3256</v>
      </c>
      <c r="H16" s="445"/>
      <c r="I16" s="2591" t="s">
        <v>3256</v>
      </c>
      <c r="J16" s="443"/>
      <c r="K16" s="667"/>
      <c r="L16" s="1135"/>
      <c r="M16" s="1126"/>
      <c r="N16" s="1126"/>
      <c r="O16" s="1134"/>
      <c r="P16" s="3240"/>
      <c r="Q16" s="1805"/>
      <c r="R16" s="769"/>
      <c r="S16" s="770"/>
      <c r="T16" s="769"/>
      <c r="U16" s="770"/>
      <c r="V16" s="769"/>
      <c r="W16" s="770"/>
      <c r="X16" s="1808"/>
      <c r="Y16" s="3240"/>
      <c r="Z16" s="1809"/>
      <c r="AA16" s="1806">
        <v>1</v>
      </c>
      <c r="AB16" s="1806">
        <v>1</v>
      </c>
      <c r="AC16" s="1806">
        <v>1</v>
      </c>
    </row>
    <row r="17" spans="1:29" ht="70">
      <c r="A17" s="423"/>
      <c r="B17" s="446" t="s">
        <v>2647</v>
      </c>
      <c r="C17" s="2650" t="str">
        <f>估价对象房地状况!C16</f>
        <v>估价对象位于XX商圈，周边商业氛围成熟，人流量大，商业繁华度好</v>
      </c>
      <c r="D17" s="445">
        <v>100</v>
      </c>
      <c r="E17" s="447"/>
      <c r="F17" s="445">
        <f>SUMIF(90:90,E18,91:91)-SUMIF(90:90,C18,91:91)+100</f>
        <v>100</v>
      </c>
      <c r="G17" s="447"/>
      <c r="H17" s="450">
        <f>SUMIF(90:90,G18,91:91)-SUMIF(90:90,C18,91:91)+100</f>
        <v>102</v>
      </c>
      <c r="I17" s="449"/>
      <c r="J17" s="450">
        <f>SUMIF(90:90,I18,91:91)-SUMIF(90:90,C18,91:91)+100</f>
        <v>100</v>
      </c>
      <c r="K17" s="668">
        <v>2</v>
      </c>
      <c r="L17" s="1135"/>
      <c r="M17" s="1126"/>
      <c r="N17" s="1126"/>
      <c r="O17" s="1134"/>
      <c r="P17" s="3240"/>
      <c r="Q17" s="1805" t="str">
        <f>B17</f>
        <v>商业繁华度</v>
      </c>
      <c r="R17" s="769" t="s">
        <v>17</v>
      </c>
      <c r="S17" s="770">
        <f>F17</f>
        <v>100</v>
      </c>
      <c r="T17" s="769" t="s">
        <v>17</v>
      </c>
      <c r="U17" s="770">
        <f>H17</f>
        <v>102</v>
      </c>
      <c r="V17" s="769" t="s">
        <v>17</v>
      </c>
      <c r="W17" s="770">
        <f>J17</f>
        <v>100</v>
      </c>
      <c r="X17" s="1808"/>
      <c r="Y17" s="3240"/>
      <c r="Z17" s="1809" t="str">
        <f>Q17</f>
        <v>商业繁华度</v>
      </c>
      <c r="AA17" s="1806">
        <f t="shared" si="3"/>
        <v>1</v>
      </c>
      <c r="AB17" s="1806">
        <f t="shared" si="4"/>
        <v>0.98039215686274506</v>
      </c>
      <c r="AC17" s="1806">
        <f t="shared" si="5"/>
        <v>1</v>
      </c>
    </row>
    <row r="18" spans="1:29" ht="15.5">
      <c r="A18" s="423"/>
      <c r="B18" s="451"/>
      <c r="C18" s="2595" t="s">
        <v>3255</v>
      </c>
      <c r="D18" s="445"/>
      <c r="E18" s="2597" t="s">
        <v>3255</v>
      </c>
      <c r="F18" s="445"/>
      <c r="G18" s="2597" t="s">
        <v>3256</v>
      </c>
      <c r="H18" s="443"/>
      <c r="I18" s="2596" t="s">
        <v>3255</v>
      </c>
      <c r="J18" s="443"/>
      <c r="K18" s="667"/>
      <c r="L18" s="1135"/>
      <c r="M18" s="1126"/>
      <c r="N18" s="1126"/>
      <c r="O18" s="1134"/>
      <c r="P18" s="3240"/>
      <c r="Q18" s="1805"/>
      <c r="R18" s="769"/>
      <c r="S18" s="770"/>
      <c r="T18" s="769"/>
      <c r="U18" s="770"/>
      <c r="V18" s="769"/>
      <c r="W18" s="770"/>
      <c r="X18" s="1808"/>
      <c r="Y18" s="3240"/>
      <c r="Z18" s="1809"/>
      <c r="AA18" s="1806">
        <v>1</v>
      </c>
      <c r="AB18" s="1806">
        <v>1</v>
      </c>
      <c r="AC18" s="1806">
        <v>1</v>
      </c>
    </row>
    <row r="19" spans="1:29" ht="70" hidden="1">
      <c r="A19" s="423"/>
      <c r="B19" s="446" t="s">
        <v>2681</v>
      </c>
      <c r="C19" s="2650"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5"/>
      <c r="M19" s="1126"/>
      <c r="N19" s="1126"/>
      <c r="O19" s="1134"/>
      <c r="P19" s="3240"/>
      <c r="Q19" s="1805" t="str">
        <f>B19</f>
        <v>办公集聚程度</v>
      </c>
      <c r="R19" s="769" t="s">
        <v>17</v>
      </c>
      <c r="S19" s="770">
        <f>F19</f>
        <v>100</v>
      </c>
      <c r="T19" s="769" t="s">
        <v>17</v>
      </c>
      <c r="U19" s="770">
        <f>H19</f>
        <v>100</v>
      </c>
      <c r="V19" s="769" t="s">
        <v>17</v>
      </c>
      <c r="W19" s="770">
        <f>J19</f>
        <v>100</v>
      </c>
      <c r="X19" s="1808"/>
      <c r="Y19" s="3240"/>
      <c r="Z19" s="1809" t="str">
        <f>Q19</f>
        <v>办公集聚程度</v>
      </c>
      <c r="AA19" s="1806">
        <f t="shared" si="3"/>
        <v>1</v>
      </c>
      <c r="AB19" s="1806">
        <f t="shared" si="4"/>
        <v>1</v>
      </c>
      <c r="AC19" s="1806">
        <f t="shared" si="5"/>
        <v>1</v>
      </c>
    </row>
    <row r="20" spans="1:29" ht="15.5" hidden="1">
      <c r="A20" s="423"/>
      <c r="B20" s="451"/>
      <c r="C20" s="442"/>
      <c r="D20" s="443"/>
      <c r="E20" s="2592"/>
      <c r="F20" s="443"/>
      <c r="G20" s="2592"/>
      <c r="H20" s="443"/>
      <c r="I20" s="2591"/>
      <c r="J20" s="443"/>
      <c r="K20" s="667"/>
      <c r="L20" s="1135"/>
      <c r="M20" s="1126"/>
      <c r="N20" s="1126"/>
      <c r="O20" s="1134"/>
      <c r="P20" s="3240"/>
      <c r="Q20" s="1805"/>
      <c r="R20" s="769"/>
      <c r="S20" s="770"/>
      <c r="T20" s="769"/>
      <c r="U20" s="770"/>
      <c r="V20" s="769"/>
      <c r="W20" s="770"/>
      <c r="X20" s="1808"/>
      <c r="Y20" s="3240"/>
      <c r="Z20" s="1809"/>
      <c r="AA20" s="1806">
        <v>1</v>
      </c>
      <c r="AB20" s="1806">
        <v>1</v>
      </c>
      <c r="AC20" s="1806">
        <v>1</v>
      </c>
    </row>
    <row r="21" spans="1:29" ht="84">
      <c r="A21" s="423"/>
      <c r="B21" s="446" t="s">
        <v>2703</v>
      </c>
      <c r="C21" s="2594"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102</v>
      </c>
      <c r="I21" s="449"/>
      <c r="J21" s="445">
        <f>SUMIF(94:94,I22,95:95)-SUMIF(94:94,C22,95:95)+100</f>
        <v>102</v>
      </c>
      <c r="K21" s="668">
        <v>2</v>
      </c>
      <c r="L21" s="1135"/>
      <c r="M21" s="1126"/>
      <c r="N21" s="1126"/>
      <c r="O21" s="1134"/>
      <c r="P21" s="3240"/>
      <c r="Q21" s="1805" t="str">
        <f>B21</f>
        <v>交通便捷度</v>
      </c>
      <c r="R21" s="769" t="s">
        <v>17</v>
      </c>
      <c r="S21" s="770">
        <f>F21</f>
        <v>100</v>
      </c>
      <c r="T21" s="769" t="s">
        <v>17</v>
      </c>
      <c r="U21" s="770">
        <f>H21</f>
        <v>102</v>
      </c>
      <c r="V21" s="769" t="s">
        <v>17</v>
      </c>
      <c r="W21" s="770">
        <f>J21</f>
        <v>102</v>
      </c>
      <c r="X21" s="1808"/>
      <c r="Y21" s="3240"/>
      <c r="Z21" s="1809" t="str">
        <f>Q21</f>
        <v>交通便捷度</v>
      </c>
      <c r="AA21" s="1806">
        <f t="shared" si="3"/>
        <v>1</v>
      </c>
      <c r="AB21" s="1806">
        <f t="shared" si="4"/>
        <v>0.98039215686274506</v>
      </c>
      <c r="AC21" s="1806">
        <f t="shared" si="5"/>
        <v>0.98039215686274506</v>
      </c>
    </row>
    <row r="22" spans="1:29" ht="15.5">
      <c r="A22" s="423"/>
      <c r="B22" s="1379"/>
      <c r="C22" s="442" t="s">
        <v>3255</v>
      </c>
      <c r="D22" s="445"/>
      <c r="E22" s="2592" t="s">
        <v>3255</v>
      </c>
      <c r="F22" s="443"/>
      <c r="G22" s="2592" t="s">
        <v>3256</v>
      </c>
      <c r="H22" s="443"/>
      <c r="I22" s="2591" t="s">
        <v>3256</v>
      </c>
      <c r="J22" s="443"/>
      <c r="K22" s="667"/>
      <c r="L22" s="1135"/>
      <c r="M22" s="1126"/>
      <c r="N22" s="1126"/>
      <c r="O22" s="1134"/>
      <c r="P22" s="3240"/>
      <c r="Q22" s="1805"/>
      <c r="R22" s="769"/>
      <c r="S22" s="770"/>
      <c r="T22" s="769"/>
      <c r="U22" s="770"/>
      <c r="V22" s="769"/>
      <c r="W22" s="770"/>
      <c r="X22" s="1808"/>
      <c r="Y22" s="3240"/>
      <c r="Z22" s="1809"/>
      <c r="AA22" s="1806">
        <v>1</v>
      </c>
      <c r="AB22" s="1806">
        <v>1</v>
      </c>
      <c r="AC22" s="1806">
        <v>1</v>
      </c>
    </row>
    <row r="23" spans="1:29" ht="28">
      <c r="A23" s="399"/>
      <c r="B23" s="446" t="s">
        <v>2741</v>
      </c>
      <c r="C23" s="1384">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2</v>
      </c>
      <c r="L23" s="1135"/>
      <c r="M23" s="1126"/>
      <c r="N23" s="1126"/>
      <c r="O23" s="1134"/>
      <c r="P23" s="3240"/>
      <c r="Q23" s="1805" t="str">
        <f t="shared" ref="Q23:Q37" si="8">B23</f>
        <v>区域土地利用方向</v>
      </c>
      <c r="R23" s="769" t="s">
        <v>17</v>
      </c>
      <c r="S23" s="770">
        <f>F23</f>
        <v>100</v>
      </c>
      <c r="T23" s="769" t="s">
        <v>17</v>
      </c>
      <c r="U23" s="770">
        <f>H23</f>
        <v>100</v>
      </c>
      <c r="V23" s="769" t="s">
        <v>17</v>
      </c>
      <c r="W23" s="770">
        <f>J23</f>
        <v>100</v>
      </c>
      <c r="X23" s="1808"/>
      <c r="Y23" s="3240"/>
      <c r="Z23" s="1809" t="str">
        <f>Q23</f>
        <v>区域土地利用方向</v>
      </c>
      <c r="AA23" s="1806">
        <f t="shared" si="3"/>
        <v>1</v>
      </c>
      <c r="AB23" s="1806">
        <f t="shared" si="4"/>
        <v>1</v>
      </c>
      <c r="AC23" s="1806">
        <f t="shared" si="5"/>
        <v>1</v>
      </c>
    </row>
    <row r="24" spans="1:29" ht="15.5">
      <c r="A24" s="399"/>
      <c r="B24" s="451"/>
      <c r="C24" s="611" t="s">
        <v>3256</v>
      </c>
      <c r="D24" s="443"/>
      <c r="E24" s="2592" t="s">
        <v>3256</v>
      </c>
      <c r="F24" s="443"/>
      <c r="G24" s="2591" t="s">
        <v>3256</v>
      </c>
      <c r="H24" s="443"/>
      <c r="I24" s="2591" t="s">
        <v>3256</v>
      </c>
      <c r="J24" s="443"/>
      <c r="K24" s="807"/>
      <c r="L24" s="1135"/>
      <c r="M24" s="1126"/>
      <c r="N24" s="1126"/>
      <c r="O24" s="1134"/>
      <c r="P24" s="3240"/>
      <c r="Q24" s="1805"/>
      <c r="R24" s="769"/>
      <c r="S24" s="770"/>
      <c r="T24" s="769"/>
      <c r="U24" s="770"/>
      <c r="V24" s="769"/>
      <c r="W24" s="770"/>
      <c r="X24" s="1808"/>
      <c r="Y24" s="3240"/>
      <c r="Z24" s="1809"/>
      <c r="AA24" s="1806"/>
      <c r="AB24" s="1806"/>
      <c r="AC24" s="1806"/>
    </row>
    <row r="25" spans="1:29" ht="56">
      <c r="A25" s="399"/>
      <c r="B25" s="1379" t="s">
        <v>2742</v>
      </c>
      <c r="C25" s="2650"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98</v>
      </c>
      <c r="K25" s="668">
        <v>2</v>
      </c>
      <c r="L25" s="1135"/>
      <c r="M25" s="1126"/>
      <c r="N25" s="1126"/>
      <c r="O25" s="1134"/>
      <c r="P25" s="3240"/>
      <c r="Q25" s="1805" t="str">
        <f t="shared" si="8"/>
        <v>自然及人文环境状况</v>
      </c>
      <c r="R25" s="769" t="s">
        <v>17</v>
      </c>
      <c r="S25" s="770">
        <f>F25</f>
        <v>100</v>
      </c>
      <c r="T25" s="769" t="s">
        <v>17</v>
      </c>
      <c r="U25" s="770">
        <f>H25</f>
        <v>100</v>
      </c>
      <c r="V25" s="769" t="s">
        <v>17</v>
      </c>
      <c r="W25" s="770">
        <f>J25</f>
        <v>98</v>
      </c>
      <c r="X25" s="1808"/>
      <c r="Y25" s="3240"/>
      <c r="Z25" s="1809" t="str">
        <f>Q25</f>
        <v>自然及人文环境状况</v>
      </c>
      <c r="AA25" s="1806">
        <f t="shared" si="3"/>
        <v>1</v>
      </c>
      <c r="AB25" s="1806">
        <f t="shared" si="4"/>
        <v>1</v>
      </c>
      <c r="AC25" s="1806">
        <f t="shared" si="5"/>
        <v>1.0204081632653061</v>
      </c>
    </row>
    <row r="26" spans="1:29" ht="15.5">
      <c r="A26" s="399"/>
      <c r="B26" s="451"/>
      <c r="C26" s="442" t="s">
        <v>3256</v>
      </c>
      <c r="D26" s="443"/>
      <c r="E26" s="2598" t="s">
        <v>3256</v>
      </c>
      <c r="F26" s="443"/>
      <c r="G26" s="2598" t="s">
        <v>3256</v>
      </c>
      <c r="H26" s="443"/>
      <c r="I26" s="442" t="s">
        <v>3255</v>
      </c>
      <c r="J26" s="443"/>
      <c r="K26" s="667"/>
      <c r="L26" s="1135"/>
      <c r="M26" s="1126"/>
      <c r="N26" s="1126"/>
      <c r="O26" s="1134"/>
      <c r="P26" s="3240"/>
      <c r="Q26" s="1805"/>
      <c r="R26" s="769"/>
      <c r="S26" s="770"/>
      <c r="T26" s="769"/>
      <c r="U26" s="770"/>
      <c r="V26" s="769"/>
      <c r="W26" s="770"/>
      <c r="X26" s="1808"/>
      <c r="Y26" s="3240"/>
      <c r="Z26" s="1809"/>
      <c r="AA26" s="1806">
        <v>1</v>
      </c>
      <c r="AB26" s="1806">
        <v>1</v>
      </c>
      <c r="AC26" s="1806">
        <v>1</v>
      </c>
    </row>
    <row r="27" spans="1:29" s="114" customFormat="1" ht="42">
      <c r="A27" s="644"/>
      <c r="B27" s="1379" t="s">
        <v>2648</v>
      </c>
      <c r="C27" s="2594" t="str">
        <f>估价对象房地状况!C21</f>
        <v>估价对象所在区域公共配套设施齐备情况</v>
      </c>
      <c r="D27" s="445">
        <v>100</v>
      </c>
      <c r="E27" s="447"/>
      <c r="F27" s="445">
        <f>SUMIF(100:100,E28,101:101)-SUMIF(100:100,C28,101:101)+100</f>
        <v>100</v>
      </c>
      <c r="G27" s="447"/>
      <c r="H27" s="445">
        <f>SUMIF(100:100,G28,101:101)-SUMIF(100:100,C28,101:101)+100</f>
        <v>102</v>
      </c>
      <c r="I27" s="449"/>
      <c r="J27" s="445">
        <f>SUMIF(100:100,I28,101:101)-SUMIF(100:100,C28,101:101)+100</f>
        <v>102</v>
      </c>
      <c r="K27" s="668">
        <v>2</v>
      </c>
      <c r="L27" s="1127"/>
      <c r="M27" s="1128"/>
      <c r="N27" s="1128"/>
      <c r="O27" s="1129"/>
      <c r="P27" s="3240"/>
      <c r="Q27" s="1790" t="str">
        <f t="shared" si="8"/>
        <v>公共配套设施</v>
      </c>
      <c r="R27" s="765" t="s">
        <v>17</v>
      </c>
      <c r="S27" s="766">
        <f>F27</f>
        <v>100</v>
      </c>
      <c r="T27" s="765" t="s">
        <v>17</v>
      </c>
      <c r="U27" s="766">
        <f>H27</f>
        <v>102</v>
      </c>
      <c r="V27" s="765" t="s">
        <v>17</v>
      </c>
      <c r="W27" s="766">
        <f>J27</f>
        <v>102</v>
      </c>
      <c r="X27" s="767"/>
      <c r="Y27" s="3240"/>
      <c r="Z27" s="52" t="str">
        <f>Q27</f>
        <v>公共配套设施</v>
      </c>
      <c r="AA27" s="1806">
        <f>D27/F27</f>
        <v>1</v>
      </c>
      <c r="AB27" s="1806">
        <f>D27/H27</f>
        <v>0.98039215686274506</v>
      </c>
      <c r="AC27" s="1806">
        <f>D27/J27</f>
        <v>0.98039215686274506</v>
      </c>
    </row>
    <row r="28" spans="1:29" s="114" customFormat="1" ht="15.5">
      <c r="A28" s="644"/>
      <c r="B28" s="451"/>
      <c r="C28" s="2686" t="s">
        <v>3255</v>
      </c>
      <c r="D28" s="443"/>
      <c r="E28" s="2598" t="s">
        <v>3255</v>
      </c>
      <c r="F28" s="443"/>
      <c r="G28" s="2598" t="s">
        <v>3256</v>
      </c>
      <c r="H28" s="443"/>
      <c r="I28" s="442" t="s">
        <v>3256</v>
      </c>
      <c r="J28" s="443"/>
      <c r="K28" s="667"/>
      <c r="L28" s="1127"/>
      <c r="M28" s="1128"/>
      <c r="N28" s="1128"/>
      <c r="O28" s="1129"/>
      <c r="P28" s="3240"/>
      <c r="Q28" s="1790"/>
      <c r="R28" s="765"/>
      <c r="S28" s="766"/>
      <c r="T28" s="765"/>
      <c r="U28" s="766"/>
      <c r="V28" s="765"/>
      <c r="W28" s="766"/>
      <c r="X28" s="767"/>
      <c r="Y28" s="3240"/>
      <c r="Z28" s="52"/>
      <c r="AA28" s="1806">
        <v>1</v>
      </c>
      <c r="AB28" s="1806">
        <v>1</v>
      </c>
      <c r="AC28" s="1806">
        <v>1</v>
      </c>
    </row>
    <row r="29" spans="1:29" s="114" customFormat="1" ht="28">
      <c r="A29" s="644"/>
      <c r="B29" s="1379" t="s">
        <v>2649</v>
      </c>
      <c r="C29" s="2594"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7"/>
      <c r="M29" s="1128"/>
      <c r="N29" s="1128"/>
      <c r="O29" s="1129"/>
      <c r="P29" s="3240"/>
      <c r="Q29" s="1790" t="str">
        <f t="shared" ref="Q29" si="9">B29</f>
        <v>基础设施水平</v>
      </c>
      <c r="R29" s="765" t="s">
        <v>17</v>
      </c>
      <c r="S29" s="766">
        <f>F29</f>
        <v>100</v>
      </c>
      <c r="T29" s="765" t="s">
        <v>17</v>
      </c>
      <c r="U29" s="766">
        <f>H29</f>
        <v>100</v>
      </c>
      <c r="V29" s="765" t="s">
        <v>17</v>
      </c>
      <c r="W29" s="766">
        <f>J29</f>
        <v>100</v>
      </c>
      <c r="X29" s="767"/>
      <c r="Y29" s="3240"/>
      <c r="Z29" s="52" t="str">
        <f>Q29</f>
        <v>基础设施水平</v>
      </c>
      <c r="AA29" s="1806">
        <f>D29/F29</f>
        <v>1</v>
      </c>
      <c r="AB29" s="1806">
        <f>D29/H29</f>
        <v>1</v>
      </c>
      <c r="AC29" s="1806">
        <f>D29/J29</f>
        <v>1</v>
      </c>
    </row>
    <row r="30" spans="1:29" s="114" customFormat="1" ht="15.5">
      <c r="A30" s="644"/>
      <c r="B30" s="451"/>
      <c r="C30" s="2686" t="s">
        <v>3257</v>
      </c>
      <c r="D30" s="443"/>
      <c r="E30" s="2687" t="s">
        <v>3257</v>
      </c>
      <c r="F30" s="443"/>
      <c r="G30" s="2687" t="s">
        <v>3257</v>
      </c>
      <c r="H30" s="443"/>
      <c r="I30" s="2687" t="s">
        <v>3257</v>
      </c>
      <c r="J30" s="443"/>
      <c r="K30" s="667"/>
      <c r="L30" s="1127"/>
      <c r="M30" s="1128"/>
      <c r="N30" s="1128"/>
      <c r="O30" s="1129"/>
      <c r="P30" s="3240"/>
      <c r="Q30" s="1790"/>
      <c r="R30" s="765"/>
      <c r="S30" s="766"/>
      <c r="T30" s="765"/>
      <c r="U30" s="766"/>
      <c r="V30" s="765"/>
      <c r="W30" s="766"/>
      <c r="X30" s="767"/>
      <c r="Y30" s="3240"/>
      <c r="Z30" s="52"/>
      <c r="AA30" s="1806">
        <v>1</v>
      </c>
      <c r="AB30" s="1806">
        <v>1</v>
      </c>
      <c r="AC30" s="1806">
        <v>1</v>
      </c>
    </row>
    <row r="31" spans="1:29" ht="16" thickBot="1">
      <c r="A31" s="423"/>
      <c r="B31" s="451" t="s">
        <v>2650</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5"/>
      <c r="M31" s="1126"/>
      <c r="N31" s="1126"/>
      <c r="O31" s="1134"/>
      <c r="P31" s="3240"/>
      <c r="Q31" s="1805" t="str">
        <f t="shared" si="8"/>
        <v>临街状况</v>
      </c>
      <c r="R31" s="769" t="s">
        <v>17</v>
      </c>
      <c r="S31" s="770">
        <f t="shared" ref="S31:S45" si="10">F31</f>
        <v>100</v>
      </c>
      <c r="T31" s="769" t="s">
        <v>17</v>
      </c>
      <c r="U31" s="770">
        <f t="shared" ref="U31:U45" si="11">H31</f>
        <v>100</v>
      </c>
      <c r="V31" s="769" t="s">
        <v>17</v>
      </c>
      <c r="W31" s="770">
        <f t="shared" ref="W31:W45" si="12">J31</f>
        <v>100</v>
      </c>
      <c r="X31" s="1808"/>
      <c r="Y31" s="3240"/>
      <c r="Z31" s="1809" t="str">
        <f t="shared" ref="Z31:Z45" si="13">Q31</f>
        <v>临街状况</v>
      </c>
      <c r="AA31" s="1806">
        <f t="shared" si="3"/>
        <v>1</v>
      </c>
      <c r="AB31" s="1806">
        <f t="shared" si="4"/>
        <v>1</v>
      </c>
      <c r="AC31" s="1806">
        <f t="shared" si="5"/>
        <v>1</v>
      </c>
    </row>
    <row r="32" spans="1:29" ht="28" hidden="1">
      <c r="A32" s="423"/>
      <c r="B32" s="1379" t="s">
        <v>2685</v>
      </c>
      <c r="C32" s="2980"/>
      <c r="D32" s="445">
        <v>100</v>
      </c>
      <c r="E32" s="447"/>
      <c r="F32" s="445">
        <f>SUMIF(106:106,E33,107:107)-SUMIF(106:106,C33,107:107)+100</f>
        <v>100</v>
      </c>
      <c r="G32" s="447"/>
      <c r="H32" s="445">
        <f>SUMIF(106:106,G33,107:107)-SUMIF(106:106,C33,107:107)+100</f>
        <v>100</v>
      </c>
      <c r="I32" s="449"/>
      <c r="J32" s="445">
        <f>SUMIF(106:106,I33,107:107)-SUMIF(106:106,C33,107:107)+100</f>
        <v>100</v>
      </c>
      <c r="K32" s="668"/>
      <c r="L32" s="1135"/>
      <c r="M32" s="1126"/>
      <c r="N32" s="1126"/>
      <c r="O32" s="1134"/>
      <c r="P32" s="3240"/>
      <c r="Q32" s="1805" t="str">
        <f t="shared" si="8"/>
        <v>毗邻道路的类型与等级</v>
      </c>
      <c r="R32" s="769" t="s">
        <v>17</v>
      </c>
      <c r="S32" s="770">
        <f t="shared" si="10"/>
        <v>100</v>
      </c>
      <c r="T32" s="769" t="s">
        <v>17</v>
      </c>
      <c r="U32" s="770">
        <f t="shared" si="11"/>
        <v>100</v>
      </c>
      <c r="V32" s="769" t="s">
        <v>17</v>
      </c>
      <c r="W32" s="770">
        <f t="shared" si="12"/>
        <v>100</v>
      </c>
      <c r="X32" s="1808"/>
      <c r="Y32" s="3240"/>
      <c r="Z32" s="1809" t="str">
        <f t="shared" si="13"/>
        <v>毗邻道路的类型与等级</v>
      </c>
      <c r="AA32" s="1806">
        <f t="shared" si="3"/>
        <v>1</v>
      </c>
      <c r="AB32" s="1806">
        <f t="shared" si="4"/>
        <v>1</v>
      </c>
      <c r="AC32" s="1806">
        <f t="shared" si="5"/>
        <v>1</v>
      </c>
    </row>
    <row r="33" spans="1:29" ht="16" hidden="1" thickBot="1">
      <c r="A33" s="423"/>
      <c r="B33" s="451"/>
      <c r="C33" s="442" t="s">
        <v>3348</v>
      </c>
      <c r="D33" s="443"/>
      <c r="E33" s="2598" t="s">
        <v>3344</v>
      </c>
      <c r="F33" s="443"/>
      <c r="G33" s="2598" t="s">
        <v>3346</v>
      </c>
      <c r="H33" s="443"/>
      <c r="I33" s="442" t="s">
        <v>3348</v>
      </c>
      <c r="J33" s="443"/>
      <c r="K33" s="608"/>
      <c r="L33" s="1135"/>
      <c r="M33" s="1126"/>
      <c r="N33" s="1126"/>
      <c r="O33" s="1134"/>
      <c r="P33" s="3240"/>
      <c r="Q33" s="1805"/>
      <c r="R33" s="769"/>
      <c r="S33" s="770"/>
      <c r="T33" s="769"/>
      <c r="U33" s="770"/>
      <c r="V33" s="769"/>
      <c r="W33" s="770"/>
      <c r="X33" s="1808"/>
      <c r="Y33" s="3240"/>
      <c r="Z33" s="1809"/>
      <c r="AA33" s="1806">
        <v>1</v>
      </c>
      <c r="AB33" s="1806">
        <v>1</v>
      </c>
      <c r="AC33" s="1806">
        <v>1</v>
      </c>
    </row>
    <row r="34" spans="1:29" ht="15.5" hidden="1">
      <c r="A34" s="423"/>
      <c r="B34" s="417" t="s">
        <v>2743</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5"/>
      <c r="M34" s="1126"/>
      <c r="N34" s="1126"/>
      <c r="O34" s="1134"/>
      <c r="P34" s="3240"/>
      <c r="Q34" s="1805" t="str">
        <f t="shared" si="8"/>
        <v>土地级别</v>
      </c>
      <c r="R34" s="769" t="s">
        <v>17</v>
      </c>
      <c r="S34" s="770">
        <f t="shared" si="10"/>
        <v>100</v>
      </c>
      <c r="T34" s="769" t="s">
        <v>17</v>
      </c>
      <c r="U34" s="770">
        <f t="shared" si="11"/>
        <v>100</v>
      </c>
      <c r="V34" s="769" t="s">
        <v>17</v>
      </c>
      <c r="W34" s="770">
        <f t="shared" si="12"/>
        <v>100</v>
      </c>
      <c r="X34" s="1808"/>
      <c r="Y34" s="3240"/>
      <c r="Z34" s="1809" t="str">
        <f t="shared" si="13"/>
        <v>土地级别</v>
      </c>
      <c r="AA34" s="1806">
        <f t="shared" si="3"/>
        <v>1</v>
      </c>
      <c r="AB34" s="1806">
        <f t="shared" si="4"/>
        <v>1</v>
      </c>
      <c r="AC34" s="1806">
        <f t="shared" si="5"/>
        <v>1</v>
      </c>
    </row>
    <row r="35" spans="1:29" ht="15.5" hidden="1">
      <c r="A35" s="399"/>
      <c r="B35" s="1381">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5"/>
      <c r="M35" s="1126"/>
      <c r="N35" s="1126"/>
      <c r="O35" s="1134"/>
      <c r="P35" s="3240"/>
      <c r="Q35" s="1805">
        <f t="shared" si="8"/>
        <v>111</v>
      </c>
      <c r="R35" s="769" t="s">
        <v>17</v>
      </c>
      <c r="S35" s="770">
        <f t="shared" si="10"/>
        <v>100</v>
      </c>
      <c r="T35" s="769" t="s">
        <v>17</v>
      </c>
      <c r="U35" s="770">
        <f t="shared" si="11"/>
        <v>100</v>
      </c>
      <c r="V35" s="769" t="s">
        <v>17</v>
      </c>
      <c r="W35" s="770">
        <f t="shared" si="12"/>
        <v>100</v>
      </c>
      <c r="X35" s="1808"/>
      <c r="Y35" s="3240"/>
      <c r="Z35" s="1809">
        <f t="shared" si="13"/>
        <v>111</v>
      </c>
      <c r="AA35" s="1806">
        <f t="shared" si="3"/>
        <v>1</v>
      </c>
      <c r="AB35" s="1806">
        <f t="shared" si="4"/>
        <v>1</v>
      </c>
      <c r="AC35" s="1806">
        <f t="shared" si="5"/>
        <v>1</v>
      </c>
    </row>
    <row r="36" spans="1:29" ht="15.5" hidden="1">
      <c r="A36" s="670"/>
      <c r="B36" s="1382">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5"/>
      <c r="M36" s="1126"/>
      <c r="N36" s="1126"/>
      <c r="O36" s="1134"/>
      <c r="P36" s="3241" t="s">
        <v>2559</v>
      </c>
      <c r="Q36" s="1805">
        <f t="shared" si="8"/>
        <v>111</v>
      </c>
      <c r="R36" s="769" t="s">
        <v>17</v>
      </c>
      <c r="S36" s="770">
        <f t="shared" si="10"/>
        <v>100</v>
      </c>
      <c r="T36" s="769" t="s">
        <v>17</v>
      </c>
      <c r="U36" s="770">
        <f t="shared" si="11"/>
        <v>100</v>
      </c>
      <c r="V36" s="769" t="s">
        <v>17</v>
      </c>
      <c r="W36" s="770">
        <f t="shared" si="12"/>
        <v>100</v>
      </c>
      <c r="X36" s="1808"/>
      <c r="Y36" s="3242" t="s">
        <v>2559</v>
      </c>
      <c r="Z36" s="1809">
        <f t="shared" si="13"/>
        <v>111</v>
      </c>
      <c r="AA36" s="1806">
        <f t="shared" si="3"/>
        <v>1</v>
      </c>
      <c r="AB36" s="1806">
        <f t="shared" si="4"/>
        <v>1</v>
      </c>
      <c r="AC36" s="1806">
        <f t="shared" si="5"/>
        <v>1</v>
      </c>
    </row>
    <row r="37" spans="1:29" s="466" customFormat="1" ht="16" hidden="1" thickBot="1">
      <c r="A37" s="671"/>
      <c r="B37" s="1383">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3"/>
      <c r="M37" s="1136"/>
      <c r="N37" s="1136"/>
      <c r="O37" s="1137"/>
      <c r="P37" s="3242"/>
      <c r="Q37" s="1805">
        <f t="shared" si="8"/>
        <v>111</v>
      </c>
      <c r="R37" s="772" t="s">
        <v>17</v>
      </c>
      <c r="S37" s="773">
        <f t="shared" si="10"/>
        <v>100</v>
      </c>
      <c r="T37" s="772" t="s">
        <v>17</v>
      </c>
      <c r="U37" s="773">
        <f t="shared" si="11"/>
        <v>100</v>
      </c>
      <c r="V37" s="772" t="s">
        <v>17</v>
      </c>
      <c r="W37" s="773">
        <f t="shared" si="12"/>
        <v>100</v>
      </c>
      <c r="X37" s="774"/>
      <c r="Y37" s="3242"/>
      <c r="Z37" s="775">
        <f t="shared" si="13"/>
        <v>111</v>
      </c>
      <c r="AA37" s="1806">
        <f t="shared" si="3"/>
        <v>1</v>
      </c>
      <c r="AB37" s="1806">
        <f t="shared" si="4"/>
        <v>1</v>
      </c>
      <c r="AC37" s="1806">
        <f t="shared" si="5"/>
        <v>1</v>
      </c>
    </row>
    <row r="38" spans="1:29" ht="15.5">
      <c r="A38" s="467" t="s">
        <v>2557</v>
      </c>
      <c r="B38" s="451" t="s">
        <v>2744</v>
      </c>
      <c r="C38" s="674">
        <f>'数据-基础表'!A3</f>
        <v>121490.07</v>
      </c>
      <c r="D38" s="462">
        <v>100</v>
      </c>
      <c r="E38" s="674">
        <f>土地案例!$D$2</f>
        <v>54523.08</v>
      </c>
      <c r="F38" s="462">
        <f>LOOKUP(E38,117:117,118:118)-LOOKUP(C38,117:117,118:118)+100</f>
        <v>99</v>
      </c>
      <c r="G38" s="674">
        <f>土地案例!$D$4</f>
        <v>81565.039999999994</v>
      </c>
      <c r="H38" s="462">
        <f>LOOKUP(G38,117:117,118:118)-LOOKUP(C38,117:117,118:118)+100</f>
        <v>99</v>
      </c>
      <c r="I38" s="525">
        <f>土地案例!$D$12</f>
        <v>21403.13</v>
      </c>
      <c r="J38" s="462">
        <f>LOOKUP(I38,117:117,118:118)-LOOKUP(C38,117:117,118:118)+100</f>
        <v>98</v>
      </c>
      <c r="K38" s="608"/>
      <c r="L38" s="1135"/>
      <c r="M38" s="1126"/>
      <c r="N38" s="1126"/>
      <c r="O38" s="1134"/>
      <c r="P38" s="3242"/>
      <c r="Q38" s="1805" t="str">
        <f>B38</f>
        <v>宗地面积</v>
      </c>
      <c r="R38" s="769" t="s">
        <v>17</v>
      </c>
      <c r="S38" s="770">
        <f t="shared" si="10"/>
        <v>99</v>
      </c>
      <c r="T38" s="769" t="s">
        <v>17</v>
      </c>
      <c r="U38" s="770">
        <f t="shared" si="11"/>
        <v>99</v>
      </c>
      <c r="V38" s="769" t="s">
        <v>17</v>
      </c>
      <c r="W38" s="770">
        <f t="shared" si="12"/>
        <v>98</v>
      </c>
      <c r="X38" s="1808"/>
      <c r="Y38" s="3242"/>
      <c r="Z38" s="1809" t="str">
        <f t="shared" si="13"/>
        <v>宗地面积</v>
      </c>
      <c r="AA38" s="1806">
        <f t="shared" si="3"/>
        <v>1.0101010101010102</v>
      </c>
      <c r="AB38" s="1806">
        <f t="shared" si="4"/>
        <v>1.0101010101010102</v>
      </c>
      <c r="AC38" s="1806">
        <f t="shared" si="5"/>
        <v>1.0204081632653061</v>
      </c>
    </row>
    <row r="39" spans="1:29" ht="15.5">
      <c r="A39" s="467"/>
      <c r="B39" s="417" t="s">
        <v>2745</v>
      </c>
      <c r="C39" s="2600" t="s">
        <v>3264</v>
      </c>
      <c r="D39" s="430">
        <v>100</v>
      </c>
      <c r="E39" s="2600" t="s">
        <v>3261</v>
      </c>
      <c r="F39" s="430">
        <f>SUMIF(119:119,E39,120:120)-SUMIF(119:119,C39,120:120)+100</f>
        <v>101</v>
      </c>
      <c r="G39" s="2600" t="s">
        <v>3261</v>
      </c>
      <c r="H39" s="430">
        <f>SUMIF(119:119,G39,120:120)-SUMIF(119:119,C39,120:120)+100</f>
        <v>101</v>
      </c>
      <c r="I39" s="2600" t="s">
        <v>3259</v>
      </c>
      <c r="J39" s="430">
        <f>SUMIF(119:119,I39,120:120)-SUMIF(119:119,C39,120:120)+100</f>
        <v>102</v>
      </c>
      <c r="K39" s="607">
        <v>1</v>
      </c>
      <c r="L39" s="1135"/>
      <c r="M39" s="1126"/>
      <c r="N39" s="1126"/>
      <c r="O39" s="1134"/>
      <c r="P39" s="3242"/>
      <c r="Q39" s="1805" t="str">
        <f t="shared" ref="Q39:Q45" si="14">B39</f>
        <v>宗地形状</v>
      </c>
      <c r="R39" s="769" t="s">
        <v>17</v>
      </c>
      <c r="S39" s="770">
        <f t="shared" si="10"/>
        <v>101</v>
      </c>
      <c r="T39" s="769" t="s">
        <v>17</v>
      </c>
      <c r="U39" s="770">
        <f t="shared" si="11"/>
        <v>101</v>
      </c>
      <c r="V39" s="769" t="s">
        <v>17</v>
      </c>
      <c r="W39" s="770">
        <f t="shared" si="12"/>
        <v>102</v>
      </c>
      <c r="X39" s="1808"/>
      <c r="Y39" s="3242"/>
      <c r="Z39" s="1809" t="str">
        <f t="shared" si="13"/>
        <v>宗地形状</v>
      </c>
      <c r="AA39" s="1806">
        <f t="shared" si="3"/>
        <v>0.99009900990099009</v>
      </c>
      <c r="AB39" s="1806">
        <f t="shared" si="4"/>
        <v>0.99009900990099009</v>
      </c>
      <c r="AC39" s="1806">
        <f t="shared" si="5"/>
        <v>0.98039215686274506</v>
      </c>
    </row>
    <row r="40" spans="1:29" ht="15.5">
      <c r="A40" s="467"/>
      <c r="B40" s="417" t="s">
        <v>2746</v>
      </c>
      <c r="C40" s="2600" t="s">
        <v>3266</v>
      </c>
      <c r="D40" s="430">
        <v>100</v>
      </c>
      <c r="E40" s="2600" t="s">
        <v>3266</v>
      </c>
      <c r="F40" s="430">
        <f>SUMIF(121:121,E40,122:122)-SUMIF(121:121,C40,122:122)+100</f>
        <v>100</v>
      </c>
      <c r="G40" s="2600" t="s">
        <v>3266</v>
      </c>
      <c r="H40" s="430">
        <f>SUMIF(121:121,G40,122:122)-SUMIF(121:121,C40,122:122)+100</f>
        <v>100</v>
      </c>
      <c r="I40" s="2600" t="s">
        <v>3266</v>
      </c>
      <c r="J40" s="430">
        <f>SUMIF(121:121,I40,122:122)-SUMIF(121:121,C40,122:122)+100</f>
        <v>100</v>
      </c>
      <c r="K40" s="607">
        <v>1</v>
      </c>
      <c r="L40" s="1135"/>
      <c r="M40" s="1126"/>
      <c r="N40" s="1126"/>
      <c r="O40" s="1134"/>
      <c r="P40" s="3242"/>
      <c r="Q40" s="1805" t="str">
        <f t="shared" si="14"/>
        <v>临街宽度及深度</v>
      </c>
      <c r="R40" s="769" t="s">
        <v>17</v>
      </c>
      <c r="S40" s="770">
        <f t="shared" si="10"/>
        <v>100</v>
      </c>
      <c r="T40" s="769" t="s">
        <v>17</v>
      </c>
      <c r="U40" s="770">
        <f t="shared" si="11"/>
        <v>100</v>
      </c>
      <c r="V40" s="769" t="s">
        <v>17</v>
      </c>
      <c r="W40" s="770">
        <f t="shared" si="12"/>
        <v>100</v>
      </c>
      <c r="X40" s="1808"/>
      <c r="Y40" s="3242"/>
      <c r="Z40" s="1809" t="str">
        <f t="shared" si="13"/>
        <v>临街宽度及深度</v>
      </c>
      <c r="AA40" s="1806">
        <f t="shared" si="3"/>
        <v>1</v>
      </c>
      <c r="AB40" s="1806">
        <f t="shared" si="4"/>
        <v>1</v>
      </c>
      <c r="AC40" s="1806">
        <f t="shared" si="5"/>
        <v>1</v>
      </c>
    </row>
    <row r="41" spans="1:29" s="114" customFormat="1" ht="15.5">
      <c r="A41" s="468"/>
      <c r="B41" s="417" t="s">
        <v>2747</v>
      </c>
      <c r="C41" s="2688" t="s">
        <v>3257</v>
      </c>
      <c r="D41" s="131">
        <v>100</v>
      </c>
      <c r="E41" s="2688" t="s">
        <v>3257</v>
      </c>
      <c r="F41" s="430">
        <f>SUMIF(123:123,E41,124:124)-SUMIF(123:123,C41,124:124)+100</f>
        <v>100</v>
      </c>
      <c r="G41" s="2688" t="s">
        <v>3258</v>
      </c>
      <c r="H41" s="430">
        <f>SUMIF(123:123,G41,124:124)-SUMIF(123:123,C41,124:124)+100</f>
        <v>99</v>
      </c>
      <c r="I41" s="2688" t="s">
        <v>3341</v>
      </c>
      <c r="J41" s="430">
        <f>SUMIF(123:123,I41,124:124)-SUMIF(123:123,C41,124:124)+100</f>
        <v>96</v>
      </c>
      <c r="K41" s="607">
        <v>1</v>
      </c>
      <c r="L41" s="1127"/>
      <c r="M41" s="1128"/>
      <c r="N41" s="1128"/>
      <c r="O41" s="1129"/>
      <c r="P41" s="3242"/>
      <c r="Q41" s="1805" t="str">
        <f t="shared" si="14"/>
        <v>宗地开发程度</v>
      </c>
      <c r="R41" s="765" t="s">
        <v>17</v>
      </c>
      <c r="S41" s="766">
        <f t="shared" si="10"/>
        <v>100</v>
      </c>
      <c r="T41" s="765" t="s">
        <v>17</v>
      </c>
      <c r="U41" s="766">
        <f t="shared" si="11"/>
        <v>99</v>
      </c>
      <c r="V41" s="765" t="s">
        <v>17</v>
      </c>
      <c r="W41" s="766">
        <f t="shared" si="12"/>
        <v>96</v>
      </c>
      <c r="X41" s="767"/>
      <c r="Y41" s="3242"/>
      <c r="Z41" s="52" t="str">
        <f t="shared" si="13"/>
        <v>宗地开发程度</v>
      </c>
      <c r="AA41" s="768">
        <f t="shared" si="3"/>
        <v>1</v>
      </c>
      <c r="AB41" s="768">
        <f t="shared" si="4"/>
        <v>1.0101010101010102</v>
      </c>
      <c r="AC41" s="768">
        <f t="shared" si="5"/>
        <v>1.0416666666666667</v>
      </c>
    </row>
    <row r="42" spans="1:29" ht="16" thickBot="1">
      <c r="A42" s="467"/>
      <c r="B42" s="417" t="s">
        <v>2748</v>
      </c>
      <c r="C42" s="2600" t="s">
        <v>3256</v>
      </c>
      <c r="D42" s="430">
        <v>100</v>
      </c>
      <c r="E42" s="2600" t="s">
        <v>3256</v>
      </c>
      <c r="F42" s="430">
        <f>SUMIF(125:125,E42,126:126)-SUMIF(125:125,C42,126:126)+100</f>
        <v>100</v>
      </c>
      <c r="G42" s="2600" t="s">
        <v>3256</v>
      </c>
      <c r="H42" s="430">
        <f>SUMIF(125:125,G42,126:126)-SUMIF(125:125,C42,126:126)+100</f>
        <v>100</v>
      </c>
      <c r="I42" s="2600" t="s">
        <v>3256</v>
      </c>
      <c r="J42" s="430">
        <f>SUMIF(125:125,I42,126:126)-SUMIF(125:125,C42,126:126)+100</f>
        <v>100</v>
      </c>
      <c r="K42" s="607">
        <v>1</v>
      </c>
      <c r="L42" s="1135"/>
      <c r="M42" s="1126"/>
      <c r="N42" s="1126"/>
      <c r="O42" s="1134"/>
      <c r="P42" s="3242" t="s">
        <v>2559</v>
      </c>
      <c r="Q42" s="1805" t="str">
        <f t="shared" si="14"/>
        <v>工程地质条件</v>
      </c>
      <c r="R42" s="769" t="s">
        <v>17</v>
      </c>
      <c r="S42" s="770">
        <f t="shared" si="10"/>
        <v>100</v>
      </c>
      <c r="T42" s="769" t="s">
        <v>17</v>
      </c>
      <c r="U42" s="770">
        <f t="shared" si="11"/>
        <v>100</v>
      </c>
      <c r="V42" s="769" t="s">
        <v>17</v>
      </c>
      <c r="W42" s="770">
        <f t="shared" si="12"/>
        <v>100</v>
      </c>
      <c r="X42" s="1808"/>
      <c r="Y42" s="3242" t="s">
        <v>2559</v>
      </c>
      <c r="Z42" s="1809" t="str">
        <f t="shared" si="13"/>
        <v>工程地质条件</v>
      </c>
      <c r="AA42" s="1806">
        <f t="shared" si="3"/>
        <v>1</v>
      </c>
      <c r="AB42" s="1806">
        <f t="shared" si="4"/>
        <v>1</v>
      </c>
      <c r="AC42" s="1806">
        <f t="shared" si="5"/>
        <v>1</v>
      </c>
    </row>
    <row r="43" spans="1:29" ht="15.5" hidden="1">
      <c r="A43" s="467"/>
      <c r="B43" s="1382">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5"/>
      <c r="M43" s="1126"/>
      <c r="N43" s="1126"/>
      <c r="O43" s="1134"/>
      <c r="P43" s="3242"/>
      <c r="Q43" s="1805">
        <f t="shared" si="14"/>
        <v>111</v>
      </c>
      <c r="R43" s="769" t="s">
        <v>17</v>
      </c>
      <c r="S43" s="770">
        <f t="shared" si="10"/>
        <v>100</v>
      </c>
      <c r="T43" s="769" t="s">
        <v>17</v>
      </c>
      <c r="U43" s="770">
        <f t="shared" si="11"/>
        <v>100</v>
      </c>
      <c r="V43" s="769" t="s">
        <v>17</v>
      </c>
      <c r="W43" s="770">
        <f t="shared" si="12"/>
        <v>100</v>
      </c>
      <c r="X43" s="1808"/>
      <c r="Y43" s="3242"/>
      <c r="Z43" s="1809">
        <f t="shared" si="13"/>
        <v>111</v>
      </c>
      <c r="AA43" s="1806">
        <f t="shared" si="3"/>
        <v>1</v>
      </c>
      <c r="AB43" s="1806">
        <f t="shared" si="4"/>
        <v>1</v>
      </c>
      <c r="AC43" s="1806">
        <f t="shared" si="5"/>
        <v>1</v>
      </c>
    </row>
    <row r="44" spans="1:29" ht="15.5" hidden="1">
      <c r="A44" s="467"/>
      <c r="B44" s="1382">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5"/>
      <c r="M44" s="1126"/>
      <c r="N44" s="1126"/>
      <c r="O44" s="1134"/>
      <c r="P44" s="3242"/>
      <c r="Q44" s="1805">
        <f t="shared" si="14"/>
        <v>111</v>
      </c>
      <c r="R44" s="769" t="s">
        <v>17</v>
      </c>
      <c r="S44" s="770">
        <f t="shared" si="10"/>
        <v>100</v>
      </c>
      <c r="T44" s="769" t="s">
        <v>17</v>
      </c>
      <c r="U44" s="770">
        <f t="shared" si="11"/>
        <v>100</v>
      </c>
      <c r="V44" s="769" t="s">
        <v>17</v>
      </c>
      <c r="W44" s="770">
        <f t="shared" si="12"/>
        <v>100</v>
      </c>
      <c r="X44" s="1808"/>
      <c r="Y44" s="3242"/>
      <c r="Z44" s="1809">
        <f t="shared" si="13"/>
        <v>111</v>
      </c>
      <c r="AA44" s="1806">
        <f t="shared" si="3"/>
        <v>1</v>
      </c>
      <c r="AB44" s="1806">
        <f t="shared" si="4"/>
        <v>1</v>
      </c>
      <c r="AC44" s="1806">
        <f t="shared" si="5"/>
        <v>1</v>
      </c>
    </row>
    <row r="45" spans="1:29" s="466" customFormat="1" ht="16" hidden="1" thickBot="1">
      <c r="A45" s="463"/>
      <c r="B45" s="1382">
        <v>111</v>
      </c>
      <c r="C45" s="2689"/>
      <c r="D45" s="675">
        <v>100</v>
      </c>
      <c r="E45" s="669"/>
      <c r="F45" s="433">
        <f>SUMIF(131:131,E45,132:132)-SUMIF(131:131,C45,132:132)+100</f>
        <v>100</v>
      </c>
      <c r="G45" s="669"/>
      <c r="H45" s="433">
        <f>SUMIF(131:131,G45,132:132)-SUMIF(131:131,C45,132:132)+100</f>
        <v>100</v>
      </c>
      <c r="I45" s="669"/>
      <c r="J45" s="433">
        <f>SUMIF(131:131,I45,132:132)-SUMIF(131:131,C45,132:132)+100</f>
        <v>100</v>
      </c>
      <c r="K45" s="676"/>
      <c r="L45" s="1133"/>
      <c r="M45" s="1136"/>
      <c r="N45" s="1136"/>
      <c r="O45" s="1137"/>
      <c r="P45" s="3242"/>
      <c r="Q45" s="1805">
        <f t="shared" si="14"/>
        <v>111</v>
      </c>
      <c r="R45" s="772" t="s">
        <v>17</v>
      </c>
      <c r="S45" s="773">
        <f t="shared" si="10"/>
        <v>100</v>
      </c>
      <c r="T45" s="772" t="s">
        <v>17</v>
      </c>
      <c r="U45" s="773">
        <f t="shared" si="11"/>
        <v>100</v>
      </c>
      <c r="V45" s="772" t="s">
        <v>17</v>
      </c>
      <c r="W45" s="773">
        <f t="shared" si="12"/>
        <v>100</v>
      </c>
      <c r="X45" s="774"/>
      <c r="Y45" s="3242"/>
      <c r="Z45" s="775">
        <f t="shared" si="13"/>
        <v>111</v>
      </c>
      <c r="AA45" s="1806">
        <f t="shared" si="3"/>
        <v>1</v>
      </c>
      <c r="AB45" s="1806">
        <f t="shared" si="4"/>
        <v>1</v>
      </c>
      <c r="AC45" s="1806">
        <f t="shared" si="5"/>
        <v>1</v>
      </c>
    </row>
    <row r="46" spans="1:29">
      <c r="A46" s="474" t="s">
        <v>2714</v>
      </c>
      <c r="B46" s="2690" t="s">
        <v>2749</v>
      </c>
      <c r="C46" s="677" t="s">
        <v>1</v>
      </c>
      <c r="D46" s="476"/>
      <c r="E46" s="477">
        <f>ROUND(土地案例!$K$2,0)</f>
        <v>23389</v>
      </c>
      <c r="F46" s="478"/>
      <c r="G46" s="479">
        <f>ROUND(土地案例!$K$4,0)</f>
        <v>21842</v>
      </c>
      <c r="H46" s="480"/>
      <c r="I46" s="477">
        <f>ROUND(土地案例!$K$12,0)</f>
        <v>23880</v>
      </c>
      <c r="J46" s="480"/>
      <c r="K46" s="778"/>
      <c r="L46" s="1138"/>
      <c r="M46" s="1139"/>
      <c r="N46" s="1126"/>
      <c r="O46" s="1139"/>
      <c r="P46" s="3237" t="str">
        <f>A46</f>
        <v>成交单价</v>
      </c>
      <c r="Q46" s="3237"/>
      <c r="R46" s="3243">
        <f>E46</f>
        <v>23389</v>
      </c>
      <c r="S46" s="3243"/>
      <c r="T46" s="3243">
        <f>G46</f>
        <v>21842</v>
      </c>
      <c r="U46" s="3243"/>
      <c r="V46" s="3243">
        <f>I46</f>
        <v>23880</v>
      </c>
      <c r="W46" s="3243"/>
      <c r="X46" s="754"/>
      <c r="Y46" s="776"/>
      <c r="Z46" s="754"/>
      <c r="AA46" s="754"/>
      <c r="AB46" s="754"/>
      <c r="AC46" s="754"/>
    </row>
    <row r="47" spans="1:29" ht="14.5" thickBot="1">
      <c r="A47" s="481" t="s">
        <v>2663</v>
      </c>
      <c r="B47" s="678"/>
      <c r="C47" s="485">
        <f>R48</f>
        <v>22465</v>
      </c>
      <c r="D47" s="484"/>
      <c r="E47" s="485">
        <f>R47</f>
        <v>22824</v>
      </c>
      <c r="F47" s="486"/>
      <c r="G47" s="483">
        <f>T47</f>
        <v>20502</v>
      </c>
      <c r="H47" s="484"/>
      <c r="I47" s="485">
        <f>V47</f>
        <v>24068</v>
      </c>
      <c r="J47" s="484"/>
      <c r="K47" s="779"/>
      <c r="L47" s="1138"/>
      <c r="M47" s="1139"/>
      <c r="N47" s="1139"/>
      <c r="O47" s="1139"/>
      <c r="P47" s="3237" t="str">
        <f>A47</f>
        <v>比较价值（元/平方米）</v>
      </c>
      <c r="Q47" s="3237"/>
      <c r="R47" s="3230">
        <f>ROUND(PRODUCT(R46,AA7:AA45),0)</f>
        <v>22824</v>
      </c>
      <c r="S47" s="3230"/>
      <c r="T47" s="3230">
        <f>ROUND(PRODUCT(T46,AB7:AB45),0)</f>
        <v>20502</v>
      </c>
      <c r="U47" s="3230"/>
      <c r="V47" s="3230">
        <f>ROUND(PRODUCT(V46,AC7:AC45),0)</f>
        <v>24068</v>
      </c>
      <c r="W47" s="3230"/>
      <c r="X47" s="754"/>
      <c r="Y47" s="754"/>
      <c r="Z47" s="754"/>
      <c r="AA47" s="754"/>
      <c r="AB47" s="754"/>
      <c r="AC47" s="754"/>
    </row>
    <row r="48" spans="1:29" ht="14.5" thickBot="1">
      <c r="A48" s="487" t="s">
        <v>2750</v>
      </c>
      <c r="B48" s="488"/>
      <c r="C48" s="489">
        <f>R48</f>
        <v>22465</v>
      </c>
      <c r="D48" s="489"/>
      <c r="E48" s="489"/>
      <c r="F48" s="489"/>
      <c r="G48" s="489"/>
      <c r="H48" s="489"/>
      <c r="I48" s="489"/>
      <c r="J48" s="489"/>
      <c r="K48" s="780"/>
      <c r="L48" s="1138"/>
      <c r="M48" s="1139"/>
      <c r="N48" s="1139"/>
      <c r="O48" s="1139"/>
      <c r="P48" s="3231" t="str">
        <f>A48</f>
        <v>估价对象XX用房的比较价值（楼面单价，元/平方米）</v>
      </c>
      <c r="Q48" s="3232"/>
      <c r="R48" s="3233">
        <f>ROUND(AVERAGE(R47:V47),0)</f>
        <v>22465</v>
      </c>
      <c r="S48" s="3233"/>
      <c r="T48" s="3233"/>
      <c r="U48" s="3233"/>
      <c r="V48" s="3233"/>
      <c r="W48" s="3233"/>
      <c r="X48" s="754"/>
      <c r="Y48" s="754"/>
      <c r="Z48" s="754"/>
      <c r="AA48" s="754"/>
      <c r="AB48" s="754"/>
      <c r="AC48" s="754"/>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2" t="s">
        <v>2665</v>
      </c>
      <c r="D51" s="493"/>
      <c r="E51" s="494">
        <f>IF(E46&lt;E47,E47/E46-1,E46/E47-1)</f>
        <v>2.4754644234139533E-2</v>
      </c>
      <c r="F51" s="495" t="str">
        <f>IF(OR(E51&gt;=0.3,E51&lt;=-0.3),"超过30%","")</f>
        <v/>
      </c>
      <c r="G51" s="494">
        <f>IF(G46&lt;G47,G47/G46-1,G46/G47-1)</f>
        <v>6.5359477124182996E-2</v>
      </c>
      <c r="H51" s="495" t="str">
        <f>IF(OR(G51&gt;=0.3,G51&lt;=-0.3),"超过30%","")</f>
        <v/>
      </c>
      <c r="I51" s="494">
        <f>IF(I46&lt;I47,I47/I46-1,I46/I47-1)</f>
        <v>7.8726968174205325E-3</v>
      </c>
      <c r="J51" s="495" t="str">
        <f>IF(OR(I51&gt;=0.3,I51&lt;=-0.3),"超过30%","")</f>
        <v/>
      </c>
      <c r="K51" s="1100"/>
      <c r="L51" s="1101"/>
      <c r="M51" s="1139"/>
      <c r="N51" s="1139"/>
      <c r="O51" s="1139"/>
    </row>
    <row r="52" spans="1:15" ht="13.5" customHeight="1">
      <c r="A52" s="1139"/>
      <c r="B52" s="1139"/>
      <c r="C52" s="492" t="s">
        <v>2666</v>
      </c>
      <c r="D52" s="496"/>
      <c r="E52" s="494">
        <f>IF(E47&lt;G47,G47/E47-1,E47/G47-1)</f>
        <v>0.11325724319578567</v>
      </c>
      <c r="F52" s="495" t="str">
        <f>IF(OR(E52&gt;=0.2,E52&lt;=-0.2),"超过20%","")</f>
        <v/>
      </c>
      <c r="G52" s="494">
        <f>IF(G47&lt;I47,I47/G47-1,G47/I47-1)</f>
        <v>0.17393425031704224</v>
      </c>
      <c r="H52" s="495" t="str">
        <f>IF(OR(G52&gt;=0.2,G52&lt;=-0.2),"超过20%","")</f>
        <v/>
      </c>
      <c r="I52" s="494">
        <f>IF(I47&lt;E47,E47/I47-1,I47/E47-1)</f>
        <v>5.4504030844724882E-2</v>
      </c>
      <c r="J52" s="495" t="str">
        <f>IF(OR(I52&gt;=0.2,I52&lt;=-0.2),"超过20%","")</f>
        <v/>
      </c>
      <c r="K52" s="1100"/>
      <c r="L52" s="1101"/>
      <c r="M52" s="1139"/>
      <c r="N52" s="1139"/>
      <c r="O52" s="1139"/>
    </row>
    <row r="53" spans="1:15" s="497" customFormat="1" ht="13.5" customHeight="1">
      <c r="A53" s="1140"/>
      <c r="B53" s="1140"/>
      <c r="C53" s="492" t="s">
        <v>2667</v>
      </c>
      <c r="D53" s="496"/>
      <c r="E53" s="494">
        <f>IF(E46&lt;G46,G46/E46-1,E46/G46-1)</f>
        <v>7.0826847358300471E-2</v>
      </c>
      <c r="F53" s="495" t="str">
        <f>IF(OR(E53&gt;=0.3,E53&lt;=-0.3),"超过30%","")</f>
        <v/>
      </c>
      <c r="G53" s="494">
        <f>IF(G46&lt;I46,I46/G46-1,G46/I46-1)</f>
        <v>9.3306473766138653E-2</v>
      </c>
      <c r="H53" s="495" t="str">
        <f>IF(OR(G53&gt;=0.3,G53&lt;=-0.3),"超过30%","")</f>
        <v/>
      </c>
      <c r="I53" s="494">
        <f>IF(I46&lt;E46,E46/I46-1,I46/E46-1)</f>
        <v>2.099277438111935E-2</v>
      </c>
      <c r="J53" s="495" t="str">
        <f>IF(OR(I53&gt;=0.3,I53&lt;=-0.3),"超过30%","")</f>
        <v/>
      </c>
      <c r="K53" s="1143"/>
      <c r="L53" s="1144"/>
      <c r="M53" s="1140"/>
      <c r="N53" s="1140"/>
      <c r="O53" s="1140"/>
    </row>
    <row r="54" spans="1:15" s="497" customFormat="1" ht="14.5" thickBot="1">
      <c r="A54" s="1140"/>
      <c r="B54" s="1141"/>
      <c r="C54" s="757"/>
      <c r="D54" s="755"/>
      <c r="E54" s="755"/>
      <c r="F54" s="755"/>
      <c r="G54" s="755"/>
      <c r="H54" s="755"/>
      <c r="I54" s="755"/>
      <c r="J54" s="755"/>
      <c r="K54" s="1143"/>
      <c r="L54" s="1144"/>
      <c r="M54" s="1140"/>
      <c r="N54" s="1140"/>
      <c r="O54" s="1140"/>
    </row>
    <row r="55" spans="1:15" ht="27" customHeight="1">
      <c r="A55" s="679" t="s">
        <v>2751</v>
      </c>
      <c r="B55" s="680" t="s">
        <v>2752</v>
      </c>
      <c r="C55" s="2691" t="s">
        <v>2753</v>
      </c>
      <c r="D55" s="2692" t="s">
        <v>2754</v>
      </c>
      <c r="E55" s="681" t="s">
        <v>2755</v>
      </c>
      <c r="F55" s="1102" t="s">
        <v>2756</v>
      </c>
      <c r="G55" s="3234" t="s">
        <v>2757</v>
      </c>
      <c r="H55" s="3235"/>
      <c r="I55" s="139" t="s">
        <v>2758</v>
      </c>
      <c r="J55" s="2693">
        <f>项目基本情况!F35</f>
        <v>0</v>
      </c>
      <c r="K55" s="2694" t="s">
        <v>2759</v>
      </c>
      <c r="L55" s="1101"/>
      <c r="M55" s="1139"/>
      <c r="N55" s="1139"/>
      <c r="O55" s="1139"/>
    </row>
    <row r="56" spans="1:15" s="687" customFormat="1">
      <c r="A56" s="683" t="s">
        <v>2760</v>
      </c>
      <c r="B56" s="684">
        <f>C48</f>
        <v>22465</v>
      </c>
      <c r="C56" s="685">
        <v>1</v>
      </c>
      <c r="D56" s="1158">
        <v>1</v>
      </c>
      <c r="E56" s="685">
        <f>'数据-汇总表'!E8+'数据-汇总表'!E9</f>
        <v>123291.4</v>
      </c>
      <c r="F56" s="1098">
        <f t="shared" ref="F56:F65" si="15">ROUND(B56*E56/10000,0)</f>
        <v>276974</v>
      </c>
      <c r="G56" s="3236"/>
      <c r="H56" s="3237"/>
      <c r="I56" s="1103">
        <v>1</v>
      </c>
      <c r="J56" s="1106">
        <v>1</v>
      </c>
      <c r="K56" s="1140"/>
      <c r="L56" s="936"/>
      <c r="M56" s="936"/>
      <c r="N56" s="936"/>
      <c r="O56" s="936"/>
    </row>
    <row r="57" spans="1:15" s="687" customFormat="1">
      <c r="A57" s="688" t="s">
        <v>2761</v>
      </c>
      <c r="B57" s="257">
        <f>ROUND($C$48*C57*D57,0)</f>
        <v>0</v>
      </c>
      <c r="C57" s="195">
        <f t="shared" ref="C57:C65" si="16">IF($C$55="北京市系数",I57,J57)</f>
        <v>0</v>
      </c>
      <c r="D57" s="1159">
        <v>0.25</v>
      </c>
      <c r="E57" s="689"/>
      <c r="F57" s="1098">
        <f t="shared" si="15"/>
        <v>0</v>
      </c>
      <c r="G57" s="3238" t="s">
        <v>2762</v>
      </c>
      <c r="H57" s="1099">
        <f>项目基本情况!B37</f>
        <v>0</v>
      </c>
      <c r="I57" s="1103">
        <f>SUMIF(修正!A45:A56,H57,修正!B45:B56)</f>
        <v>0</v>
      </c>
      <c r="J57" s="1107"/>
      <c r="K57" s="1139"/>
      <c r="L57" s="936"/>
      <c r="M57" s="936"/>
      <c r="N57" s="936"/>
      <c r="O57" s="936"/>
    </row>
    <row r="58" spans="1:15" s="687" customFormat="1">
      <c r="A58" s="688" t="s">
        <v>2763</v>
      </c>
      <c r="B58" s="257">
        <f t="shared" ref="B58:B65" si="17">ROUND($C$48*C58*D58,0)</f>
        <v>0</v>
      </c>
      <c r="C58" s="195">
        <f t="shared" si="16"/>
        <v>0</v>
      </c>
      <c r="D58" s="1159">
        <v>0.25</v>
      </c>
      <c r="E58" s="689"/>
      <c r="F58" s="1098">
        <f t="shared" si="15"/>
        <v>0</v>
      </c>
      <c r="G58" s="3238"/>
      <c r="H58" s="1099">
        <f>项目基本情况!B37</f>
        <v>0</v>
      </c>
      <c r="I58" s="1103">
        <f>SUMIF(修正!A45:A56,H58,修正!C45:C56)</f>
        <v>0</v>
      </c>
      <c r="J58" s="1107"/>
      <c r="K58" s="1140"/>
      <c r="L58" s="936"/>
      <c r="M58" s="936"/>
      <c r="N58" s="936"/>
      <c r="O58" s="936"/>
    </row>
    <row r="59" spans="1:15" s="687" customFormat="1">
      <c r="A59" s="688" t="s">
        <v>2764</v>
      </c>
      <c r="B59" s="257">
        <f t="shared" si="17"/>
        <v>0</v>
      </c>
      <c r="C59" s="195">
        <f t="shared" si="16"/>
        <v>0</v>
      </c>
      <c r="D59" s="1159">
        <v>0.25</v>
      </c>
      <c r="E59" s="689"/>
      <c r="F59" s="1098">
        <f t="shared" si="15"/>
        <v>0</v>
      </c>
      <c r="G59" s="3238"/>
      <c r="H59" s="1099">
        <f>项目基本情况!B37</f>
        <v>0</v>
      </c>
      <c r="I59" s="1103">
        <f>SUMIF(修正!A45:A56,H59,修正!D45:D56)</f>
        <v>0</v>
      </c>
      <c r="J59" s="1107"/>
      <c r="K59" s="1139"/>
      <c r="L59" s="936"/>
      <c r="M59" s="936"/>
      <c r="N59" s="936"/>
      <c r="O59" s="936"/>
    </row>
    <row r="60" spans="1:15" s="687" customFormat="1">
      <c r="A60" s="688" t="s">
        <v>2765</v>
      </c>
      <c r="B60" s="257">
        <f t="shared" si="17"/>
        <v>0</v>
      </c>
      <c r="C60" s="195">
        <f t="shared" si="16"/>
        <v>0</v>
      </c>
      <c r="D60" s="1159">
        <v>0.25</v>
      </c>
      <c r="E60" s="689"/>
      <c r="F60" s="1098">
        <f t="shared" si="15"/>
        <v>0</v>
      </c>
      <c r="G60" s="3238"/>
      <c r="H60" s="1099">
        <f>项目基本情况!B37</f>
        <v>0</v>
      </c>
      <c r="I60" s="1103">
        <f>SUMIF(修正!A45:A56,H60,修正!E45:E56)</f>
        <v>0</v>
      </c>
      <c r="J60" s="1107"/>
      <c r="K60" s="1140"/>
      <c r="L60" s="936"/>
      <c r="M60" s="936"/>
      <c r="N60" s="936"/>
      <c r="O60" s="936"/>
    </row>
    <row r="61" spans="1:15" s="687" customFormat="1">
      <c r="A61" s="688" t="s">
        <v>2766</v>
      </c>
      <c r="B61" s="257">
        <f t="shared" si="17"/>
        <v>1123</v>
      </c>
      <c r="C61" s="195">
        <f t="shared" si="16"/>
        <v>0.2</v>
      </c>
      <c r="D61" s="1159">
        <v>0.25</v>
      </c>
      <c r="E61" s="256">
        <f>'数据-汇总表'!E11</f>
        <v>0</v>
      </c>
      <c r="F61" s="1098">
        <f t="shared" si="15"/>
        <v>0</v>
      </c>
      <c r="G61" s="2695" t="s">
        <v>2767</v>
      </c>
      <c r="H61" s="1099" t="str">
        <f>项目基本情况!C37</f>
        <v>十级</v>
      </c>
      <c r="I61" s="1103">
        <f>SUMIF(修正!A45:A56,H61,修正!F45:F56)</f>
        <v>0.2</v>
      </c>
      <c r="J61" s="1107"/>
      <c r="K61" s="1139"/>
      <c r="L61" s="936"/>
      <c r="M61" s="936"/>
      <c r="N61" s="936"/>
      <c r="O61" s="936"/>
    </row>
    <row r="62" spans="1:15" s="687" customFormat="1">
      <c r="A62" s="688" t="s">
        <v>2768</v>
      </c>
      <c r="B62" s="257">
        <f t="shared" si="17"/>
        <v>1123</v>
      </c>
      <c r="C62" s="195">
        <f t="shared" si="16"/>
        <v>0.2</v>
      </c>
      <c r="D62" s="1159">
        <v>0.25</v>
      </c>
      <c r="E62" s="256">
        <f>'数据-汇总表'!E12</f>
        <v>7670</v>
      </c>
      <c r="F62" s="1098">
        <f t="shared" si="15"/>
        <v>861</v>
      </c>
      <c r="G62" s="1104" t="s">
        <v>2769</v>
      </c>
      <c r="H62" s="1099" t="str">
        <f>IF(G62="商业",项目基本情况!B37,IF(G62="办公",项目基本情况!C37,IF(G62="住宅",项目基本情况!D37,项目基本情况!E37)))</f>
        <v>十级</v>
      </c>
      <c r="I62" s="1103">
        <f>SUMIF(修正!A45:A56,H62,修正!G45:G56)</f>
        <v>0.2</v>
      </c>
      <c r="J62" s="1107"/>
      <c r="K62" s="1140"/>
      <c r="L62" s="936"/>
      <c r="M62" s="936"/>
      <c r="N62" s="936"/>
      <c r="O62" s="936"/>
    </row>
    <row r="63" spans="1:15" s="687" customFormat="1">
      <c r="A63" s="688" t="s">
        <v>2770</v>
      </c>
      <c r="B63" s="257">
        <f t="shared" si="17"/>
        <v>842</v>
      </c>
      <c r="C63" s="195">
        <f t="shared" si="16"/>
        <v>0.15</v>
      </c>
      <c r="D63" s="1159">
        <v>0.25</v>
      </c>
      <c r="E63" s="256">
        <f>'数据-汇总表'!E13</f>
        <v>56260.9</v>
      </c>
      <c r="F63" s="1098">
        <f t="shared" si="15"/>
        <v>4737</v>
      </c>
      <c r="G63" s="1104" t="s">
        <v>2771</v>
      </c>
      <c r="H63" s="1099" t="str">
        <f>IF(G63="商业",项目基本情况!B37,IF(G63="办公",项目基本情况!C37,IF(G63="住宅",项目基本情况!D37,项目基本情况!E37)))</f>
        <v>十级</v>
      </c>
      <c r="I63" s="1103">
        <f>SUMIF(修正!A45:A56,H63,修正!H45:H56)</f>
        <v>0.15</v>
      </c>
      <c r="J63" s="1107"/>
      <c r="K63" s="1139"/>
      <c r="L63" s="936"/>
      <c r="M63" s="936"/>
      <c r="N63" s="936"/>
      <c r="O63" s="936"/>
    </row>
    <row r="64" spans="1:15" s="687" customFormat="1">
      <c r="A64" s="688" t="s">
        <v>2772</v>
      </c>
      <c r="B64" s="257">
        <f t="shared" si="17"/>
        <v>0</v>
      </c>
      <c r="C64" s="195">
        <f t="shared" si="16"/>
        <v>0</v>
      </c>
      <c r="D64" s="1159">
        <v>0.25</v>
      </c>
      <c r="E64" s="256">
        <f>'数据-汇总表'!E14</f>
        <v>0</v>
      </c>
      <c r="F64" s="1098">
        <f t="shared" si="15"/>
        <v>0</v>
      </c>
      <c r="G64" s="2695" t="s">
        <v>2762</v>
      </c>
      <c r="H64" s="1099">
        <f>项目基本情况!B37</f>
        <v>0</v>
      </c>
      <c r="I64" s="1103">
        <f>SUMIF(修正!A45:A56,H64,修正!H45:H56)</f>
        <v>0</v>
      </c>
      <c r="J64" s="1107"/>
      <c r="K64" s="1140"/>
      <c r="L64" s="936"/>
      <c r="M64" s="936"/>
      <c r="N64" s="936"/>
      <c r="O64" s="936"/>
    </row>
    <row r="65" spans="1:17" s="687" customFormat="1" ht="14.5" thickBot="1">
      <c r="A65" s="688" t="s">
        <v>2773</v>
      </c>
      <c r="B65" s="257">
        <f t="shared" si="17"/>
        <v>842</v>
      </c>
      <c r="C65" s="195">
        <f t="shared" si="16"/>
        <v>0.15</v>
      </c>
      <c r="D65" s="1159">
        <v>0.25</v>
      </c>
      <c r="E65" s="256">
        <f>'数据-汇总表'!E15</f>
        <v>0</v>
      </c>
      <c r="F65" s="1098">
        <f t="shared" si="15"/>
        <v>0</v>
      </c>
      <c r="G65" s="2696" t="s">
        <v>2767</v>
      </c>
      <c r="H65" s="1109" t="str">
        <f>项目基本情况!C37</f>
        <v>十级</v>
      </c>
      <c r="I65" s="1105">
        <f>SUMIF(修正!A45:A56,H65,修正!H45:H56)</f>
        <v>0.15</v>
      </c>
      <c r="J65" s="1108"/>
      <c r="K65" s="1139"/>
      <c r="L65" s="936"/>
      <c r="M65" s="936"/>
      <c r="N65" s="936"/>
      <c r="O65" s="936"/>
    </row>
    <row r="66" spans="1:17" s="687" customFormat="1" thickBot="1">
      <c r="A66" s="690" t="s">
        <v>2774</v>
      </c>
      <c r="B66" s="691" t="s">
        <v>28</v>
      </c>
      <c r="C66" s="691" t="s">
        <v>29</v>
      </c>
      <c r="D66" s="691" t="s">
        <v>1025</v>
      </c>
      <c r="E66" s="691">
        <f>IF(B46="楼面地价",SUM(E56:E65),'数据-汇总表'!D3)</f>
        <v>187222.3</v>
      </c>
      <c r="F66" s="692">
        <f>IF(B46="楼面地价",SUM(F56:F65),ROUND(C48*E66/10000,0))</f>
        <v>282572</v>
      </c>
      <c r="G66" s="782"/>
      <c r="H66" s="782"/>
      <c r="I66" s="782"/>
      <c r="J66" s="782"/>
      <c r="K66" s="1153"/>
      <c r="L66" s="936"/>
      <c r="M66" s="936"/>
      <c r="N66" s="936"/>
      <c r="O66" s="936"/>
    </row>
    <row r="67" spans="1:17">
      <c r="A67" s="754"/>
      <c r="B67" s="756"/>
      <c r="C67" s="757"/>
      <c r="D67" s="754"/>
      <c r="E67" s="754"/>
      <c r="F67" s="754"/>
      <c r="G67" s="754"/>
      <c r="H67" s="754"/>
      <c r="I67" s="754"/>
      <c r="J67" s="1139"/>
      <c r="K67" s="1100"/>
      <c r="L67" s="1101"/>
      <c r="M67" s="1139"/>
      <c r="N67" s="1139"/>
      <c r="O67" s="1139"/>
    </row>
    <row r="68" spans="1:17">
      <c r="A68" s="754"/>
      <c r="B68" s="756"/>
      <c r="C68" s="756" t="str">
        <f>YEAR(C7)&amp;"-"&amp;MONTH(C7)&amp;"-1"</f>
        <v>2020-3-1</v>
      </c>
      <c r="D68" s="756">
        <f>EDATE(C68,-3)</f>
        <v>43800</v>
      </c>
      <c r="E68" s="756">
        <f>EDATE(D68,-3)</f>
        <v>43709</v>
      </c>
      <c r="F68" s="756">
        <f t="shared" ref="F68:O68" si="18">EDATE(E68,-3)</f>
        <v>43617</v>
      </c>
      <c r="G68" s="756">
        <f t="shared" si="18"/>
        <v>43525</v>
      </c>
      <c r="H68" s="756">
        <f t="shared" si="18"/>
        <v>43435</v>
      </c>
      <c r="I68" s="756">
        <f t="shared" si="18"/>
        <v>43344</v>
      </c>
      <c r="J68" s="756">
        <f t="shared" si="18"/>
        <v>43252</v>
      </c>
      <c r="K68" s="756">
        <f t="shared" si="18"/>
        <v>43160</v>
      </c>
      <c r="L68" s="756">
        <f t="shared" si="18"/>
        <v>43070</v>
      </c>
      <c r="M68" s="756">
        <f t="shared" si="18"/>
        <v>42979</v>
      </c>
      <c r="N68" s="756">
        <f t="shared" si="18"/>
        <v>42887</v>
      </c>
      <c r="O68" s="756">
        <f t="shared" si="18"/>
        <v>42795</v>
      </c>
    </row>
    <row r="69" spans="1:17" ht="21.5" thickBot="1">
      <c r="A69" s="758" t="s">
        <v>2668</v>
      </c>
      <c r="B69" s="754"/>
      <c r="C69" s="759"/>
      <c r="D69" s="759"/>
      <c r="E69" s="759"/>
      <c r="F69" s="760"/>
      <c r="G69" s="760"/>
      <c r="H69" s="759"/>
      <c r="I69" s="759"/>
      <c r="J69" s="1154"/>
      <c r="K69" s="1155"/>
      <c r="L69" s="1156"/>
      <c r="M69" s="1154"/>
      <c r="N69" s="1154"/>
      <c r="O69" s="1154"/>
      <c r="P69" s="498"/>
      <c r="Q69" s="499"/>
    </row>
    <row r="70" spans="1:17" s="503" customFormat="1">
      <c r="A70" s="2697" t="s">
        <v>2775</v>
      </c>
      <c r="B70" s="1354"/>
      <c r="C70" s="1567" t="str">
        <f>YEAR(C68)&amp;"-"&amp;ROUNDUP(MONTH(C68)/3,0)</f>
        <v>2020-1</v>
      </c>
      <c r="D70" s="1567" t="str">
        <f>YEAR(D68)&amp;"-"&amp;ROUNDUP(MONTH(D68)/3,0)</f>
        <v>2019-4</v>
      </c>
      <c r="E70" s="1567" t="str">
        <f t="shared" ref="E70:O70" si="19">YEAR(E68)&amp;"-"&amp;ROUNDUP(MONTH(E68)/3,0)</f>
        <v>2019-3</v>
      </c>
      <c r="F70" s="1567" t="str">
        <f t="shared" si="19"/>
        <v>2019-2</v>
      </c>
      <c r="G70" s="1567" t="str">
        <f t="shared" si="19"/>
        <v>2019-1</v>
      </c>
      <c r="H70" s="1567" t="str">
        <f t="shared" si="19"/>
        <v>2018-4</v>
      </c>
      <c r="I70" s="1567" t="str">
        <f t="shared" si="19"/>
        <v>2018-3</v>
      </c>
      <c r="J70" s="1567" t="str">
        <f t="shared" si="19"/>
        <v>2018-2</v>
      </c>
      <c r="K70" s="1567" t="str">
        <f t="shared" si="19"/>
        <v>2018-1</v>
      </c>
      <c r="L70" s="1567" t="str">
        <f t="shared" si="19"/>
        <v>2017-4</v>
      </c>
      <c r="M70" s="1567" t="str">
        <f t="shared" si="19"/>
        <v>2017-3</v>
      </c>
      <c r="N70" s="1567" t="str">
        <f t="shared" si="19"/>
        <v>2017-2</v>
      </c>
      <c r="O70" s="1567" t="str">
        <f t="shared" si="19"/>
        <v>2017-1</v>
      </c>
      <c r="P70" s="502"/>
    </row>
    <row r="71" spans="1:17" s="114" customFormat="1" ht="30" customHeight="1">
      <c r="A71" s="2698" t="s">
        <v>2776</v>
      </c>
      <c r="B71" s="327" t="str">
        <f>"北京市平均增长率"&amp;TEXT(SUMIF(基准地价修正!N21:N25,A71,基准地价修正!P21:P25),"0.00%")</f>
        <v>北京市平均增长率2.08%</v>
      </c>
      <c r="C71" s="598">
        <v>100</v>
      </c>
      <c r="D71" s="590">
        <f>C71-0.5</f>
        <v>99.5</v>
      </c>
      <c r="E71" s="590">
        <f t="shared" ref="E71:M71" si="20">D71-0.5</f>
        <v>99</v>
      </c>
      <c r="F71" s="590">
        <f t="shared" si="20"/>
        <v>98.5</v>
      </c>
      <c r="G71" s="590">
        <f t="shared" si="20"/>
        <v>98</v>
      </c>
      <c r="H71" s="590">
        <f t="shared" si="20"/>
        <v>97.5</v>
      </c>
      <c r="I71" s="590">
        <f t="shared" si="20"/>
        <v>97</v>
      </c>
      <c r="J71" s="590">
        <f t="shared" si="20"/>
        <v>96.5</v>
      </c>
      <c r="K71" s="590">
        <f t="shared" si="20"/>
        <v>96</v>
      </c>
      <c r="L71" s="590">
        <f t="shared" si="20"/>
        <v>95.5</v>
      </c>
      <c r="M71" s="590">
        <f t="shared" si="20"/>
        <v>95</v>
      </c>
      <c r="N71" s="590"/>
      <c r="O71" s="1563"/>
      <c r="P71" s="499"/>
    </row>
    <row r="72" spans="1:17" s="114" customFormat="1" ht="14.5" thickBot="1">
      <c r="A72" s="510" t="s">
        <v>2579</v>
      </c>
      <c r="B72" s="511"/>
      <c r="C72" s="512"/>
      <c r="D72" s="513"/>
      <c r="E72" s="513"/>
      <c r="F72" s="513"/>
      <c r="G72" s="513"/>
      <c r="H72" s="513"/>
      <c r="I72" s="513"/>
      <c r="J72" s="513"/>
      <c r="K72" s="513"/>
      <c r="L72" s="513"/>
      <c r="M72" s="514"/>
      <c r="N72" s="513"/>
      <c r="O72" s="1157"/>
      <c r="P72" s="499"/>
      <c r="Q72" s="499"/>
    </row>
    <row r="73" spans="1:17" s="114" customFormat="1">
      <c r="A73" s="516" t="s">
        <v>2544</v>
      </c>
      <c r="B73" s="505"/>
      <c r="C73" s="517" t="s">
        <v>2646</v>
      </c>
      <c r="D73" s="518"/>
      <c r="E73" s="518"/>
      <c r="F73" s="518"/>
      <c r="G73" s="518"/>
      <c r="H73" s="518"/>
      <c r="I73" s="518"/>
      <c r="J73" s="518"/>
      <c r="K73" s="518"/>
      <c r="L73" s="519"/>
      <c r="M73" s="520"/>
      <c r="N73" s="1146"/>
      <c r="O73" s="1146"/>
      <c r="P73" s="521"/>
      <c r="Q73" s="499"/>
    </row>
    <row r="74" spans="1:17" s="114" customFormat="1" ht="14.5" thickBot="1">
      <c r="A74" s="516"/>
      <c r="B74" s="505"/>
      <c r="C74" s="634">
        <v>100</v>
      </c>
      <c r="D74" s="507"/>
      <c r="E74" s="507"/>
      <c r="F74" s="507"/>
      <c r="G74" s="507"/>
      <c r="H74" s="507"/>
      <c r="I74" s="507"/>
      <c r="J74" s="507"/>
      <c r="K74" s="507"/>
      <c r="L74" s="507"/>
      <c r="M74" s="509"/>
      <c r="N74" s="1146"/>
      <c r="O74" s="1146"/>
      <c r="P74" s="499"/>
      <c r="Q74" s="499"/>
    </row>
    <row r="75" spans="1:17">
      <c r="A75" s="522" t="s">
        <v>2582</v>
      </c>
      <c r="B75" s="523" t="s">
        <v>2548</v>
      </c>
      <c r="C75" s="2972" t="s">
        <v>3253</v>
      </c>
      <c r="D75" s="525"/>
      <c r="E75" s="525"/>
      <c r="F75" s="525"/>
      <c r="G75" s="525"/>
      <c r="H75" s="525"/>
      <c r="I75" s="525"/>
      <c r="J75" s="525"/>
      <c r="K75" s="526"/>
      <c r="L75" s="527"/>
      <c r="M75" s="528"/>
      <c r="N75" s="1147"/>
      <c r="O75" s="1147"/>
      <c r="P75" s="43"/>
      <c r="Q75" s="499"/>
    </row>
    <row r="76" spans="1:17" ht="14.5" thickBot="1">
      <c r="A76" s="529"/>
      <c r="B76" s="530"/>
      <c r="C76" s="531">
        <v>100</v>
      </c>
      <c r="D76" s="531"/>
      <c r="E76" s="531"/>
      <c r="F76" s="531"/>
      <c r="G76" s="531"/>
      <c r="H76" s="531"/>
      <c r="I76" s="531"/>
      <c r="J76" s="531"/>
      <c r="K76" s="531"/>
      <c r="L76" s="531"/>
      <c r="M76" s="532"/>
      <c r="N76" s="1148"/>
      <c r="O76" s="1148"/>
      <c r="P76" s="43"/>
      <c r="Q76" s="499"/>
    </row>
    <row r="77" spans="1:17" ht="28.5" thickTop="1">
      <c r="A77" s="529"/>
      <c r="B77" s="533" t="s">
        <v>2551</v>
      </c>
      <c r="C77" s="534"/>
      <c r="D77" s="534"/>
      <c r="E77" s="534"/>
      <c r="F77" s="534"/>
      <c r="G77" s="534"/>
      <c r="H77" s="534"/>
      <c r="I77" s="534"/>
      <c r="J77" s="534"/>
      <c r="K77" s="535"/>
      <c r="L77" s="536"/>
      <c r="M77" s="537"/>
      <c r="N77" s="1147"/>
      <c r="O77" s="1147"/>
      <c r="P77" s="43"/>
      <c r="Q77" s="499"/>
    </row>
    <row r="78" spans="1:17" ht="14.5" thickBot="1">
      <c r="A78" s="529"/>
      <c r="B78" s="538"/>
      <c r="C78" s="539"/>
      <c r="D78" s="539"/>
      <c r="E78" s="539"/>
      <c r="F78" s="539"/>
      <c r="G78" s="539"/>
      <c r="H78" s="539"/>
      <c r="I78" s="539"/>
      <c r="J78" s="539"/>
      <c r="K78" s="539"/>
      <c r="L78" s="539"/>
      <c r="M78" s="540"/>
      <c r="N78" s="1148"/>
      <c r="O78" s="1148"/>
      <c r="P78" s="43"/>
      <c r="Q78" s="499"/>
    </row>
    <row r="79" spans="1:17" ht="14.5" thickTop="1">
      <c r="A79" s="529"/>
      <c r="B79" s="541" t="s">
        <v>2552</v>
      </c>
      <c r="C79" s="542" t="str">
        <f>C80&amp;"（含）"&amp;"-"&amp;D80</f>
        <v>0（含）-1</v>
      </c>
      <c r="D79" s="542" t="str">
        <f t="shared" ref="D79:L79" si="21">D80&amp;"（含）"&amp;"-"&amp;E80</f>
        <v>1（含）-2</v>
      </c>
      <c r="E79" s="542" t="str">
        <f t="shared" si="21"/>
        <v>2（含）-3</v>
      </c>
      <c r="F79" s="542" t="str">
        <f t="shared" si="21"/>
        <v>3（含）-4</v>
      </c>
      <c r="G79" s="542" t="str">
        <f t="shared" si="21"/>
        <v>4（含）-</v>
      </c>
      <c r="H79" s="542" t="str">
        <f t="shared" si="21"/>
        <v>（含）-</v>
      </c>
      <c r="I79" s="542" t="str">
        <f t="shared" si="21"/>
        <v>（含）-</v>
      </c>
      <c r="J79" s="542" t="str">
        <f t="shared" si="21"/>
        <v>（含）-</v>
      </c>
      <c r="K79" s="542" t="str">
        <f t="shared" si="21"/>
        <v>（含）-</v>
      </c>
      <c r="L79" s="542" t="str">
        <f t="shared" si="21"/>
        <v>（含）-</v>
      </c>
      <c r="M79" s="443" t="str">
        <f>M80&amp;"（含）"&amp;"-"&amp;P80</f>
        <v>（含）-</v>
      </c>
      <c r="N79" s="1148"/>
      <c r="O79" s="1148"/>
      <c r="P79" s="43"/>
      <c r="Q79" s="499"/>
    </row>
    <row r="80" spans="1:17">
      <c r="A80" s="529"/>
      <c r="B80" s="543"/>
      <c r="C80" s="544">
        <v>0</v>
      </c>
      <c r="D80" s="544">
        <v>1</v>
      </c>
      <c r="E80" s="544">
        <v>2</v>
      </c>
      <c r="F80" s="544">
        <v>3</v>
      </c>
      <c r="G80" s="544">
        <v>4</v>
      </c>
      <c r="H80" s="544"/>
      <c r="I80" s="544"/>
      <c r="J80" s="544"/>
      <c r="K80" s="545"/>
      <c r="L80" s="546"/>
      <c r="M80" s="547"/>
      <c r="N80" s="1147"/>
      <c r="O80" s="1147"/>
      <c r="P80" s="43"/>
      <c r="Q80" s="499"/>
    </row>
    <row r="81" spans="1:17" ht="14.5" thickBot="1">
      <c r="A81" s="529"/>
      <c r="B81" s="530"/>
      <c r="C81" s="539">
        <v>100</v>
      </c>
      <c r="D81" s="539">
        <f t="shared" ref="D81:M81" si="22">IF($B$46="单位面积地价",C81+$K11,C81-$K11)</f>
        <v>98</v>
      </c>
      <c r="E81" s="539">
        <f t="shared" si="22"/>
        <v>96</v>
      </c>
      <c r="F81" s="539">
        <f t="shared" si="22"/>
        <v>94</v>
      </c>
      <c r="G81" s="539">
        <f t="shared" si="22"/>
        <v>92</v>
      </c>
      <c r="H81" s="539">
        <f t="shared" si="22"/>
        <v>90</v>
      </c>
      <c r="I81" s="539">
        <f t="shared" si="22"/>
        <v>88</v>
      </c>
      <c r="J81" s="539">
        <f t="shared" si="22"/>
        <v>86</v>
      </c>
      <c r="K81" s="539">
        <f t="shared" si="22"/>
        <v>84</v>
      </c>
      <c r="L81" s="539">
        <f t="shared" si="22"/>
        <v>82</v>
      </c>
      <c r="M81" s="539">
        <f t="shared" si="22"/>
        <v>80</v>
      </c>
      <c r="N81" s="1148"/>
      <c r="O81" s="1148"/>
      <c r="P81" s="43"/>
      <c r="Q81" s="499"/>
    </row>
    <row r="82" spans="1:17" s="466" customFormat="1" ht="14.5" thickTop="1">
      <c r="A82" s="548"/>
      <c r="B82" s="533" t="str">
        <f>B12</f>
        <v>限价</v>
      </c>
      <c r="C82" s="549" t="str">
        <f>C12</f>
        <v>无</v>
      </c>
      <c r="D82" s="2979" t="str">
        <f>I12</f>
        <v>限价40935</v>
      </c>
      <c r="E82" s="549"/>
      <c r="F82" s="549"/>
      <c r="G82" s="549"/>
      <c r="H82" s="550"/>
      <c r="I82" s="550"/>
      <c r="J82" s="550"/>
      <c r="K82" s="550"/>
      <c r="L82" s="551"/>
      <c r="M82" s="552"/>
      <c r="N82" s="1149"/>
      <c r="O82" s="1149"/>
      <c r="P82" s="553"/>
      <c r="Q82" s="554"/>
    </row>
    <row r="83" spans="1:17" s="466" customFormat="1" ht="14.5" thickBot="1">
      <c r="A83" s="548"/>
      <c r="B83" s="538"/>
      <c r="C83" s="555">
        <v>100</v>
      </c>
      <c r="D83" s="531">
        <v>99</v>
      </c>
      <c r="E83" s="531"/>
      <c r="F83" s="531"/>
      <c r="G83" s="531"/>
      <c r="H83" s="531"/>
      <c r="I83" s="531"/>
      <c r="J83" s="531"/>
      <c r="K83" s="531"/>
      <c r="L83" s="531"/>
      <c r="M83" s="532"/>
      <c r="N83" s="1148"/>
      <c r="O83" s="1148"/>
      <c r="P83" s="553"/>
      <c r="Q83" s="554"/>
    </row>
    <row r="84" spans="1:17" s="466" customFormat="1" ht="14.5" thickTop="1">
      <c r="A84" s="548"/>
      <c r="B84" s="533">
        <f>B13</f>
        <v>111</v>
      </c>
      <c r="C84" s="549"/>
      <c r="D84" s="549"/>
      <c r="E84" s="549"/>
      <c r="F84" s="549"/>
      <c r="G84" s="549"/>
      <c r="H84" s="550"/>
      <c r="I84" s="550"/>
      <c r="J84" s="550"/>
      <c r="K84" s="550"/>
      <c r="L84" s="551"/>
      <c r="M84" s="552"/>
      <c r="N84" s="1149"/>
      <c r="O84" s="1149"/>
      <c r="P84" s="465"/>
      <c r="Q84" s="556"/>
    </row>
    <row r="85" spans="1:17" s="466" customFormat="1" ht="14.5" thickBot="1">
      <c r="A85" s="548"/>
      <c r="B85" s="538"/>
      <c r="C85" s="555"/>
      <c r="D85" s="555"/>
      <c r="E85" s="555"/>
      <c r="F85" s="555"/>
      <c r="G85" s="555"/>
      <c r="H85" s="557"/>
      <c r="I85" s="557"/>
      <c r="J85" s="557"/>
      <c r="K85" s="557"/>
      <c r="L85" s="557"/>
      <c r="M85" s="558"/>
      <c r="N85" s="1149"/>
      <c r="O85" s="1149"/>
      <c r="P85" s="553"/>
      <c r="Q85" s="554"/>
    </row>
    <row r="86" spans="1:17" s="466" customFormat="1" ht="14.5" thickTop="1">
      <c r="A86" s="548"/>
      <c r="B86" s="541">
        <f>B14</f>
        <v>111</v>
      </c>
      <c r="C86" s="518"/>
      <c r="D86" s="518"/>
      <c r="E86" s="518"/>
      <c r="F86" s="518"/>
      <c r="G86" s="518"/>
      <c r="H86" s="559"/>
      <c r="I86" s="559"/>
      <c r="J86" s="559"/>
      <c r="K86" s="559"/>
      <c r="L86" s="560"/>
      <c r="M86" s="561"/>
      <c r="N86" s="1149"/>
      <c r="O86" s="1149"/>
      <c r="P86" s="562"/>
      <c r="Q86" s="554"/>
    </row>
    <row r="87" spans="1:17" s="466" customFormat="1" ht="14.5" thickBot="1">
      <c r="A87" s="563"/>
      <c r="B87" s="564"/>
      <c r="C87" s="565"/>
      <c r="D87" s="565"/>
      <c r="E87" s="565"/>
      <c r="F87" s="565"/>
      <c r="G87" s="565"/>
      <c r="H87" s="566"/>
      <c r="I87" s="566"/>
      <c r="J87" s="566"/>
      <c r="K87" s="566"/>
      <c r="L87" s="566"/>
      <c r="M87" s="567"/>
      <c r="N87" s="1149"/>
      <c r="O87" s="1149"/>
      <c r="P87" s="553"/>
      <c r="Q87" s="554"/>
    </row>
    <row r="88" spans="1:17">
      <c r="A88" s="522" t="s">
        <v>2553</v>
      </c>
      <c r="B88" s="523" t="s">
        <v>2590</v>
      </c>
      <c r="C88" s="568" t="s">
        <v>2591</v>
      </c>
      <c r="D88" s="568" t="s">
        <v>2592</v>
      </c>
      <c r="E88" s="568" t="s">
        <v>2593</v>
      </c>
      <c r="F88" s="568" t="s">
        <v>2594</v>
      </c>
      <c r="G88" s="568" t="s">
        <v>2595</v>
      </c>
      <c r="H88" s="524"/>
      <c r="I88" s="524"/>
      <c r="J88" s="524"/>
      <c r="K88" s="569"/>
      <c r="L88" s="570"/>
      <c r="M88" s="571"/>
      <c r="N88" s="1147"/>
      <c r="O88" s="1147"/>
      <c r="P88" s="572"/>
      <c r="Q88" s="499"/>
    </row>
    <row r="89" spans="1:17" ht="14.5" thickBot="1">
      <c r="A89" s="529"/>
      <c r="B89" s="538"/>
      <c r="C89" s="539">
        <v>100</v>
      </c>
      <c r="D89" s="539">
        <f>C89-$K15</f>
        <v>98</v>
      </c>
      <c r="E89" s="539">
        <f>D89-$K15</f>
        <v>96</v>
      </c>
      <c r="F89" s="539">
        <f>E89-$K15</f>
        <v>94</v>
      </c>
      <c r="G89" s="539">
        <f>F89-$K15</f>
        <v>92</v>
      </c>
      <c r="H89" s="539"/>
      <c r="I89" s="539"/>
      <c r="J89" s="539"/>
      <c r="K89" s="539"/>
      <c r="L89" s="539"/>
      <c r="M89" s="540"/>
      <c r="N89" s="1148"/>
      <c r="O89" s="1148"/>
      <c r="P89" s="43"/>
      <c r="Q89" s="499"/>
    </row>
    <row r="90" spans="1:17" ht="14.5" thickTop="1">
      <c r="A90" s="529"/>
      <c r="B90" s="533" t="s">
        <v>2777</v>
      </c>
      <c r="C90" s="573" t="s">
        <v>2591</v>
      </c>
      <c r="D90" s="573" t="s">
        <v>2592</v>
      </c>
      <c r="E90" s="573" t="s">
        <v>2593</v>
      </c>
      <c r="F90" s="573" t="s">
        <v>2594</v>
      </c>
      <c r="G90" s="573" t="s">
        <v>2595</v>
      </c>
      <c r="H90" s="534"/>
      <c r="I90" s="534"/>
      <c r="J90" s="534"/>
      <c r="K90" s="535"/>
      <c r="L90" s="536"/>
      <c r="M90" s="537"/>
      <c r="N90" s="1147"/>
      <c r="O90" s="1147"/>
      <c r="P90" s="43"/>
      <c r="Q90" s="499"/>
    </row>
    <row r="91" spans="1:17" ht="14.5" thickBot="1">
      <c r="A91" s="529"/>
      <c r="B91" s="538"/>
      <c r="C91" s="539">
        <v>100</v>
      </c>
      <c r="D91" s="539">
        <f>C91-$K17</f>
        <v>98</v>
      </c>
      <c r="E91" s="539">
        <f>D91-$K17</f>
        <v>96</v>
      </c>
      <c r="F91" s="539">
        <f>E91-$K17</f>
        <v>94</v>
      </c>
      <c r="G91" s="539">
        <f>F91-$K17</f>
        <v>92</v>
      </c>
      <c r="H91" s="539"/>
      <c r="I91" s="539"/>
      <c r="J91" s="539"/>
      <c r="K91" s="539"/>
      <c r="L91" s="539"/>
      <c r="M91" s="540"/>
      <c r="N91" s="1148"/>
      <c r="O91" s="1148"/>
      <c r="P91" s="43"/>
      <c r="Q91" s="499"/>
    </row>
    <row r="92" spans="1:17" ht="14.5" thickTop="1">
      <c r="A92" s="529"/>
      <c r="B92" s="533" t="s">
        <v>2691</v>
      </c>
      <c r="C92" s="573" t="s">
        <v>2591</v>
      </c>
      <c r="D92" s="573" t="s">
        <v>2592</v>
      </c>
      <c r="E92" s="573" t="s">
        <v>2593</v>
      </c>
      <c r="F92" s="573" t="s">
        <v>2594</v>
      </c>
      <c r="G92" s="573" t="s">
        <v>2595</v>
      </c>
      <c r="H92" s="534"/>
      <c r="I92" s="534"/>
      <c r="J92" s="534"/>
      <c r="K92" s="535"/>
      <c r="L92" s="536"/>
      <c r="M92" s="537"/>
      <c r="N92" s="1147"/>
      <c r="O92" s="1147"/>
      <c r="P92" s="43"/>
      <c r="Q92" s="499"/>
    </row>
    <row r="93" spans="1:17" ht="14.5" thickBot="1">
      <c r="A93" s="529"/>
      <c r="B93" s="538"/>
      <c r="C93" s="539">
        <v>100</v>
      </c>
      <c r="D93" s="539">
        <f>C93-$K19</f>
        <v>100</v>
      </c>
      <c r="E93" s="539">
        <f>D93-$K19</f>
        <v>100</v>
      </c>
      <c r="F93" s="539">
        <f>E93-$K19</f>
        <v>100</v>
      </c>
      <c r="G93" s="539">
        <f>F93-$K19</f>
        <v>100</v>
      </c>
      <c r="H93" s="539"/>
      <c r="I93" s="539"/>
      <c r="J93" s="539"/>
      <c r="K93" s="539"/>
      <c r="L93" s="539"/>
      <c r="M93" s="540"/>
      <c r="N93" s="1148"/>
      <c r="O93" s="1148"/>
      <c r="P93" s="43"/>
      <c r="Q93" s="499"/>
    </row>
    <row r="94" spans="1:17" ht="14.5" thickTop="1">
      <c r="A94" s="529"/>
      <c r="B94" s="533" t="s">
        <v>2596</v>
      </c>
      <c r="C94" s="573" t="s">
        <v>2591</v>
      </c>
      <c r="D94" s="573" t="s">
        <v>2592</v>
      </c>
      <c r="E94" s="573" t="s">
        <v>2593</v>
      </c>
      <c r="F94" s="573" t="s">
        <v>2594</v>
      </c>
      <c r="G94" s="573" t="s">
        <v>2595</v>
      </c>
      <c r="H94" s="534"/>
      <c r="I94" s="534"/>
      <c r="J94" s="534"/>
      <c r="K94" s="535"/>
      <c r="L94" s="536"/>
      <c r="M94" s="537"/>
      <c r="N94" s="1147"/>
      <c r="O94" s="1147"/>
      <c r="P94" s="43"/>
      <c r="Q94" s="499"/>
    </row>
    <row r="95" spans="1:17" ht="14.5" thickBot="1">
      <c r="A95" s="529"/>
      <c r="B95" s="538"/>
      <c r="C95" s="539">
        <v>100</v>
      </c>
      <c r="D95" s="539">
        <f>C95-$K21</f>
        <v>98</v>
      </c>
      <c r="E95" s="539">
        <f>D95-$K21</f>
        <v>96</v>
      </c>
      <c r="F95" s="539">
        <f>E95-$K21</f>
        <v>94</v>
      </c>
      <c r="G95" s="539">
        <f>F95-$K21</f>
        <v>92</v>
      </c>
      <c r="H95" s="539"/>
      <c r="I95" s="539"/>
      <c r="J95" s="539"/>
      <c r="K95" s="539"/>
      <c r="L95" s="539"/>
      <c r="M95" s="540"/>
      <c r="N95" s="1148"/>
      <c r="O95" s="1148"/>
      <c r="P95" s="43"/>
      <c r="Q95" s="499"/>
    </row>
    <row r="96" spans="1:17" s="114" customFormat="1" ht="28.5" thickTop="1">
      <c r="A96" s="574"/>
      <c r="B96" s="533" t="s">
        <v>2778</v>
      </c>
      <c r="C96" s="573" t="s">
        <v>2591</v>
      </c>
      <c r="D96" s="573" t="s">
        <v>2592</v>
      </c>
      <c r="E96" s="573" t="s">
        <v>2593</v>
      </c>
      <c r="F96" s="573" t="s">
        <v>2594</v>
      </c>
      <c r="G96" s="573" t="s">
        <v>2595</v>
      </c>
      <c r="H96" s="573"/>
      <c r="I96" s="573"/>
      <c r="J96" s="573"/>
      <c r="K96" s="573"/>
      <c r="L96" s="693"/>
      <c r="M96" s="617"/>
      <c r="N96" s="1146"/>
      <c r="O96" s="1146"/>
      <c r="P96" s="43"/>
      <c r="Q96" s="499"/>
    </row>
    <row r="97" spans="1:17" s="114" customFormat="1" ht="14.5" thickBot="1">
      <c r="A97" s="574"/>
      <c r="B97" s="538"/>
      <c r="C97" s="577">
        <v>100</v>
      </c>
      <c r="D97" s="539">
        <f>C97-$K23</f>
        <v>98</v>
      </c>
      <c r="E97" s="539">
        <f>D97-$K23</f>
        <v>96</v>
      </c>
      <c r="F97" s="539">
        <f>E97-$K23</f>
        <v>94</v>
      </c>
      <c r="G97" s="539">
        <f>F97-$K23</f>
        <v>92</v>
      </c>
      <c r="H97" s="539"/>
      <c r="I97" s="539"/>
      <c r="J97" s="539"/>
      <c r="K97" s="539"/>
      <c r="L97" s="539"/>
      <c r="M97" s="540"/>
      <c r="N97" s="1148"/>
      <c r="O97" s="1148"/>
      <c r="P97" s="43"/>
      <c r="Q97" s="499"/>
    </row>
    <row r="98" spans="1:17" s="114" customFormat="1" ht="28.5" thickTop="1">
      <c r="A98" s="574"/>
      <c r="B98" s="533" t="s">
        <v>2779</v>
      </c>
      <c r="C98" s="568" t="s">
        <v>2591</v>
      </c>
      <c r="D98" s="568" t="s">
        <v>2592</v>
      </c>
      <c r="E98" s="568" t="s">
        <v>2593</v>
      </c>
      <c r="F98" s="568" t="s">
        <v>2594</v>
      </c>
      <c r="G98" s="568" t="s">
        <v>2595</v>
      </c>
      <c r="H98" s="573"/>
      <c r="I98" s="573"/>
      <c r="J98" s="573"/>
      <c r="K98" s="573"/>
      <c r="L98" s="573"/>
      <c r="M98" s="617"/>
      <c r="N98" s="1146"/>
      <c r="O98" s="1146"/>
      <c r="P98" s="43"/>
      <c r="Q98" s="499"/>
    </row>
    <row r="99" spans="1:17" s="114" customFormat="1" ht="14.5" thickBot="1">
      <c r="A99" s="574"/>
      <c r="B99" s="538"/>
      <c r="C99" s="539">
        <v>100</v>
      </c>
      <c r="D99" s="539">
        <f>C99-$K25</f>
        <v>98</v>
      </c>
      <c r="E99" s="539">
        <f>D99-$K25</f>
        <v>96</v>
      </c>
      <c r="F99" s="539">
        <f>E99-$K25</f>
        <v>94</v>
      </c>
      <c r="G99" s="539">
        <f>F99-$K25</f>
        <v>92</v>
      </c>
      <c r="H99" s="539"/>
      <c r="I99" s="539"/>
      <c r="J99" s="539"/>
      <c r="K99" s="539"/>
      <c r="L99" s="539"/>
      <c r="M99" s="540"/>
      <c r="N99" s="1148"/>
      <c r="O99" s="1148"/>
      <c r="P99" s="43"/>
      <c r="Q99" s="499"/>
    </row>
    <row r="100" spans="1:17" s="466" customFormat="1" ht="14.5" thickTop="1">
      <c r="A100" s="548"/>
      <c r="B100" s="533" t="s">
        <v>2648</v>
      </c>
      <c r="C100" s="568" t="s">
        <v>2591</v>
      </c>
      <c r="D100" s="568" t="s">
        <v>2592</v>
      </c>
      <c r="E100" s="568" t="s">
        <v>2593</v>
      </c>
      <c r="F100" s="568" t="s">
        <v>2594</v>
      </c>
      <c r="G100" s="568" t="s">
        <v>2595</v>
      </c>
      <c r="H100" s="595"/>
      <c r="I100" s="595"/>
      <c r="J100" s="595"/>
      <c r="K100" s="595"/>
      <c r="L100" s="596"/>
      <c r="M100" s="597"/>
      <c r="N100" s="1149"/>
      <c r="O100" s="1149"/>
      <c r="P100" s="553"/>
      <c r="Q100" s="554"/>
    </row>
    <row r="101" spans="1:17" s="466" customFormat="1" ht="14.5" thickBot="1">
      <c r="A101" s="548"/>
      <c r="B101" s="538"/>
      <c r="C101" s="539">
        <v>100</v>
      </c>
      <c r="D101" s="539">
        <f>C101-$K27</f>
        <v>98</v>
      </c>
      <c r="E101" s="539">
        <f>D101-$K27</f>
        <v>96</v>
      </c>
      <c r="F101" s="539">
        <f>E101-$K27</f>
        <v>94</v>
      </c>
      <c r="G101" s="539">
        <f>F101-$K27</f>
        <v>92</v>
      </c>
      <c r="H101" s="602"/>
      <c r="I101" s="602"/>
      <c r="J101" s="602"/>
      <c r="K101" s="602"/>
      <c r="L101" s="602"/>
      <c r="M101" s="603"/>
      <c r="N101" s="1149"/>
      <c r="O101" s="1149"/>
      <c r="P101" s="553"/>
      <c r="Q101" s="554"/>
    </row>
    <row r="102" spans="1:17" s="466" customFormat="1" ht="14.5" thickTop="1">
      <c r="A102" s="548"/>
      <c r="B102" s="541" t="s">
        <v>2649</v>
      </c>
      <c r="C102" s="655" t="s">
        <v>2669</v>
      </c>
      <c r="D102" s="655" t="s">
        <v>2670</v>
      </c>
      <c r="E102" s="655" t="s">
        <v>2671</v>
      </c>
      <c r="F102" s="655" t="s">
        <v>2672</v>
      </c>
      <c r="G102" s="655" t="s">
        <v>2673</v>
      </c>
      <c r="H102" s="595"/>
      <c r="I102" s="595"/>
      <c r="J102" s="595"/>
      <c r="K102" s="595"/>
      <c r="L102" s="595"/>
      <c r="M102" s="1380"/>
      <c r="N102" s="1149"/>
      <c r="O102" s="1149"/>
      <c r="P102" s="553"/>
      <c r="Q102" s="554"/>
    </row>
    <row r="103" spans="1:17" s="466" customFormat="1" ht="14.5" thickBot="1">
      <c r="A103" s="548"/>
      <c r="B103" s="541"/>
      <c r="C103" s="539">
        <v>100</v>
      </c>
      <c r="D103" s="539">
        <f>C103-$K29</f>
        <v>99</v>
      </c>
      <c r="E103" s="539">
        <f>D103-$K29</f>
        <v>98</v>
      </c>
      <c r="F103" s="539">
        <f>E103-$K29</f>
        <v>97</v>
      </c>
      <c r="G103" s="539">
        <f>F103-$K29</f>
        <v>96</v>
      </c>
      <c r="H103" s="543"/>
      <c r="I103" s="543"/>
      <c r="J103" s="543"/>
      <c r="K103" s="543"/>
      <c r="L103" s="543"/>
      <c r="M103" s="1380"/>
      <c r="N103" s="1149"/>
      <c r="O103" s="1149"/>
      <c r="P103" s="553"/>
      <c r="Q103" s="554"/>
    </row>
    <row r="104" spans="1:17" ht="14.5" thickTop="1">
      <c r="A104" s="529"/>
      <c r="B104" s="533" t="str">
        <f>B31</f>
        <v>临街状况</v>
      </c>
      <c r="C104" s="534" t="s">
        <v>2780</v>
      </c>
      <c r="D104" s="534" t="s">
        <v>2781</v>
      </c>
      <c r="E104" s="534" t="s">
        <v>2782</v>
      </c>
      <c r="F104" s="534" t="s">
        <v>2783</v>
      </c>
      <c r="G104" s="534"/>
      <c r="H104" s="534"/>
      <c r="I104" s="534"/>
      <c r="J104" s="534"/>
      <c r="K104" s="535"/>
      <c r="L104" s="536"/>
      <c r="M104" s="537"/>
      <c r="N104" s="1147"/>
      <c r="O104" s="1147"/>
      <c r="P104" s="43"/>
      <c r="Q104" s="499"/>
    </row>
    <row r="105" spans="1:17" ht="14.5" thickBot="1">
      <c r="A105" s="529"/>
      <c r="B105" s="538"/>
      <c r="C105" s="539">
        <v>100</v>
      </c>
      <c r="D105" s="539">
        <f>C105-$K31</f>
        <v>100</v>
      </c>
      <c r="E105" s="539">
        <f t="shared" ref="E105:M105" si="23">D105-$K31</f>
        <v>100</v>
      </c>
      <c r="F105" s="539">
        <f t="shared" si="23"/>
        <v>100</v>
      </c>
      <c r="G105" s="539">
        <f t="shared" si="23"/>
        <v>100</v>
      </c>
      <c r="H105" s="539">
        <f t="shared" si="23"/>
        <v>100</v>
      </c>
      <c r="I105" s="539">
        <f t="shared" si="23"/>
        <v>100</v>
      </c>
      <c r="J105" s="539">
        <f t="shared" si="23"/>
        <v>100</v>
      </c>
      <c r="K105" s="539">
        <f t="shared" si="23"/>
        <v>100</v>
      </c>
      <c r="L105" s="539">
        <f t="shared" si="23"/>
        <v>100</v>
      </c>
      <c r="M105" s="539">
        <f t="shared" si="23"/>
        <v>100</v>
      </c>
      <c r="N105" s="1148"/>
      <c r="O105" s="1148"/>
      <c r="P105" s="43"/>
      <c r="Q105" s="499"/>
    </row>
    <row r="106" spans="1:17" ht="28.5" thickTop="1">
      <c r="A106" s="529"/>
      <c r="B106" s="533" t="s">
        <v>2685</v>
      </c>
      <c r="C106" s="2974" t="s">
        <v>3343</v>
      </c>
      <c r="D106" s="2974" t="s">
        <v>3345</v>
      </c>
      <c r="E106" s="2974" t="s">
        <v>3347</v>
      </c>
      <c r="F106" s="2974" t="s">
        <v>3349</v>
      </c>
      <c r="G106" s="549"/>
      <c r="H106" s="578"/>
      <c r="I106" s="578"/>
      <c r="J106" s="578"/>
      <c r="K106" s="579"/>
      <c r="L106" s="580"/>
      <c r="M106" s="581"/>
      <c r="N106" s="1147"/>
      <c r="O106" s="1147"/>
      <c r="P106" s="43"/>
      <c r="Q106" s="499"/>
    </row>
    <row r="107" spans="1:17" ht="14.5" thickBot="1">
      <c r="A107" s="529"/>
      <c r="B107" s="538"/>
      <c r="C107" s="539">
        <v>100</v>
      </c>
      <c r="D107" s="539">
        <f>C107-$K32</f>
        <v>100</v>
      </c>
      <c r="E107" s="539">
        <f t="shared" ref="E107:M107" si="24">D107-$K32</f>
        <v>100</v>
      </c>
      <c r="F107" s="539">
        <f t="shared" si="24"/>
        <v>100</v>
      </c>
      <c r="G107" s="539">
        <f t="shared" si="24"/>
        <v>100</v>
      </c>
      <c r="H107" s="539">
        <f t="shared" si="24"/>
        <v>100</v>
      </c>
      <c r="I107" s="539">
        <f t="shared" si="24"/>
        <v>100</v>
      </c>
      <c r="J107" s="539">
        <f t="shared" si="24"/>
        <v>100</v>
      </c>
      <c r="K107" s="539">
        <f t="shared" si="24"/>
        <v>100</v>
      </c>
      <c r="L107" s="539">
        <f t="shared" si="24"/>
        <v>100</v>
      </c>
      <c r="M107" s="539">
        <f t="shared" si="24"/>
        <v>100</v>
      </c>
      <c r="N107" s="1148"/>
      <c r="O107" s="1148"/>
      <c r="P107" s="43"/>
      <c r="Q107" s="499"/>
    </row>
    <row r="108" spans="1:17" ht="14.5" thickTop="1">
      <c r="A108" s="529"/>
      <c r="B108" s="533" t="s">
        <v>2743</v>
      </c>
      <c r="C108" s="578"/>
      <c r="D108" s="578"/>
      <c r="E108" s="578"/>
      <c r="F108" s="578"/>
      <c r="G108" s="578"/>
      <c r="H108" s="578"/>
      <c r="I108" s="578"/>
      <c r="J108" s="578"/>
      <c r="K108" s="579"/>
      <c r="L108" s="580"/>
      <c r="M108" s="581"/>
      <c r="N108" s="1147"/>
      <c r="O108" s="1147"/>
      <c r="P108" s="43"/>
      <c r="Q108" s="499"/>
    </row>
    <row r="109" spans="1:17" ht="14.5" thickBot="1">
      <c r="A109" s="529"/>
      <c r="B109" s="538"/>
      <c r="C109" s="539">
        <v>100</v>
      </c>
      <c r="D109" s="539">
        <f>C109-$K34</f>
        <v>100</v>
      </c>
      <c r="E109" s="539">
        <f t="shared" ref="E109:M109" si="25">D109-$K34</f>
        <v>100</v>
      </c>
      <c r="F109" s="539">
        <f t="shared" si="25"/>
        <v>100</v>
      </c>
      <c r="G109" s="539">
        <f t="shared" si="25"/>
        <v>100</v>
      </c>
      <c r="H109" s="539">
        <f t="shared" si="25"/>
        <v>100</v>
      </c>
      <c r="I109" s="539">
        <f t="shared" si="25"/>
        <v>100</v>
      </c>
      <c r="J109" s="539">
        <f t="shared" si="25"/>
        <v>100</v>
      </c>
      <c r="K109" s="539">
        <f t="shared" si="25"/>
        <v>100</v>
      </c>
      <c r="L109" s="539">
        <f t="shared" si="25"/>
        <v>100</v>
      </c>
      <c r="M109" s="539">
        <f t="shared" si="25"/>
        <v>100</v>
      </c>
      <c r="N109" s="1148"/>
      <c r="O109" s="1148"/>
      <c r="P109" s="43"/>
      <c r="Q109" s="499"/>
    </row>
    <row r="110" spans="1:17" ht="14.5" thickTop="1">
      <c r="A110" s="529"/>
      <c r="B110" s="541">
        <f>B35</f>
        <v>111</v>
      </c>
      <c r="C110" s="549"/>
      <c r="D110" s="549"/>
      <c r="E110" s="549"/>
      <c r="F110" s="549"/>
      <c r="G110" s="582"/>
      <c r="H110" s="582"/>
      <c r="I110" s="582"/>
      <c r="J110" s="582"/>
      <c r="K110" s="583"/>
      <c r="L110" s="584"/>
      <c r="M110" s="585"/>
      <c r="N110" s="1147"/>
      <c r="O110" s="1147"/>
      <c r="P110" s="43"/>
      <c r="Q110" s="499"/>
    </row>
    <row r="111" spans="1:17" ht="14.5" thickBot="1">
      <c r="A111" s="529"/>
      <c r="B111" s="564"/>
      <c r="C111" s="555"/>
      <c r="D111" s="555"/>
      <c r="E111" s="555"/>
      <c r="F111" s="555"/>
      <c r="G111" s="586"/>
      <c r="H111" s="586"/>
      <c r="I111" s="586"/>
      <c r="J111" s="586"/>
      <c r="K111" s="586"/>
      <c r="L111" s="586"/>
      <c r="M111" s="587"/>
      <c r="N111" s="1148"/>
      <c r="O111" s="1148"/>
      <c r="P111" s="43"/>
      <c r="Q111" s="499"/>
    </row>
    <row r="112" spans="1:17" ht="14.5" thickTop="1">
      <c r="A112" s="670"/>
      <c r="B112" s="533">
        <f>B36</f>
        <v>111</v>
      </c>
      <c r="C112" s="518"/>
      <c r="D112" s="518"/>
      <c r="E112" s="518"/>
      <c r="F112" s="518"/>
      <c r="G112" s="578"/>
      <c r="H112" s="578"/>
      <c r="I112" s="578"/>
      <c r="J112" s="578"/>
      <c r="K112" s="579"/>
      <c r="L112" s="580"/>
      <c r="M112" s="581"/>
      <c r="N112" s="1147"/>
      <c r="O112" s="1147"/>
      <c r="P112" s="43"/>
      <c r="Q112" s="499"/>
    </row>
    <row r="113" spans="1:17" ht="14.5" thickBot="1">
      <c r="A113" s="529"/>
      <c r="B113" s="538"/>
      <c r="C113" s="565"/>
      <c r="D113" s="565"/>
      <c r="E113" s="565"/>
      <c r="F113" s="565"/>
      <c r="G113" s="531"/>
      <c r="H113" s="531"/>
      <c r="I113" s="531"/>
      <c r="J113" s="531"/>
      <c r="K113" s="531"/>
      <c r="L113" s="531"/>
      <c r="M113" s="532"/>
      <c r="N113" s="1148"/>
      <c r="O113" s="1148"/>
      <c r="P113" s="43"/>
      <c r="Q113" s="499"/>
    </row>
    <row r="114" spans="1:17" s="466" customFormat="1" ht="14.5" thickTop="1">
      <c r="A114" s="588"/>
      <c r="B114" s="589">
        <f>B37</f>
        <v>111</v>
      </c>
      <c r="C114" s="590"/>
      <c r="D114" s="590"/>
      <c r="E114" s="590"/>
      <c r="F114" s="590"/>
      <c r="G114" s="590"/>
      <c r="H114" s="590"/>
      <c r="I114" s="590"/>
      <c r="J114" s="591"/>
      <c r="K114" s="591"/>
      <c r="L114" s="592"/>
      <c r="M114" s="593"/>
      <c r="N114" s="1149"/>
      <c r="O114" s="1149"/>
      <c r="P114" s="553"/>
      <c r="Q114" s="554"/>
    </row>
    <row r="115" spans="1:17" s="466" customFormat="1" ht="14.5" thickBot="1">
      <c r="A115" s="548"/>
      <c r="B115" s="541"/>
      <c r="C115" s="507"/>
      <c r="D115" s="672"/>
      <c r="E115" s="672"/>
      <c r="F115" s="672"/>
      <c r="G115" s="672"/>
      <c r="H115" s="672"/>
      <c r="I115" s="672"/>
      <c r="J115" s="672"/>
      <c r="K115" s="672"/>
      <c r="L115" s="672"/>
      <c r="M115" s="694"/>
      <c r="N115" s="1148"/>
      <c r="O115" s="1148"/>
      <c r="P115" s="553"/>
      <c r="Q115" s="554"/>
    </row>
    <row r="116" spans="1:17" ht="28">
      <c r="A116" s="522" t="s">
        <v>2557</v>
      </c>
      <c r="B116" s="523" t="s">
        <v>2784</v>
      </c>
      <c r="C116" s="524" t="str">
        <f>C117&amp;"(含)"&amp;"-"&amp;D117</f>
        <v>0(含)-50000</v>
      </c>
      <c r="D116" s="524" t="str">
        <f t="shared" ref="D116:M116" si="26">D117&amp;"(含)"&amp;"-"&amp;E117</f>
        <v>50000(含)-100000</v>
      </c>
      <c r="E116" s="524" t="str">
        <f t="shared" si="26"/>
        <v>100000(含)-150000</v>
      </c>
      <c r="F116" s="524" t="str">
        <f t="shared" si="26"/>
        <v>150000(含)-200000</v>
      </c>
      <c r="G116" s="524" t="str">
        <f t="shared" si="26"/>
        <v>200000(含)-</v>
      </c>
      <c r="H116" s="524" t="str">
        <f t="shared" si="26"/>
        <v>(含)-</v>
      </c>
      <c r="I116" s="524" t="str">
        <f t="shared" si="26"/>
        <v>(含)-</v>
      </c>
      <c r="J116" s="524" t="str">
        <f t="shared" si="26"/>
        <v>(含)-</v>
      </c>
      <c r="K116" s="524" t="str">
        <f t="shared" si="26"/>
        <v>(含)-</v>
      </c>
      <c r="L116" s="524" t="str">
        <f t="shared" si="26"/>
        <v>(含)-</v>
      </c>
      <c r="M116" s="524" t="str">
        <f t="shared" si="26"/>
        <v>(含)-</v>
      </c>
      <c r="N116" s="1147"/>
      <c r="O116" s="1147"/>
      <c r="P116" s="43"/>
      <c r="Q116" s="499"/>
    </row>
    <row r="117" spans="1:17">
      <c r="A117" s="529"/>
      <c r="B117" s="541"/>
      <c r="C117" s="590">
        <v>0</v>
      </c>
      <c r="D117" s="590">
        <v>50000</v>
      </c>
      <c r="E117" s="590">
        <v>100000</v>
      </c>
      <c r="F117" s="590">
        <v>150000</v>
      </c>
      <c r="G117" s="590">
        <v>200000</v>
      </c>
      <c r="H117" s="590"/>
      <c r="I117" s="590"/>
      <c r="J117" s="591"/>
      <c r="K117" s="591"/>
      <c r="L117" s="592"/>
      <c r="M117" s="593"/>
      <c r="N117" s="1147"/>
      <c r="O117" s="1147"/>
      <c r="P117" s="43"/>
      <c r="Q117" s="499"/>
    </row>
    <row r="118" spans="1:17" ht="14.5" thickBot="1">
      <c r="A118" s="529"/>
      <c r="B118" s="538"/>
      <c r="C118" s="565">
        <v>98</v>
      </c>
      <c r="D118" s="586">
        <v>99</v>
      </c>
      <c r="E118" s="586">
        <v>100</v>
      </c>
      <c r="F118" s="586">
        <v>99</v>
      </c>
      <c r="G118" s="586">
        <v>98</v>
      </c>
      <c r="H118" s="586"/>
      <c r="I118" s="586"/>
      <c r="J118" s="586"/>
      <c r="K118" s="586"/>
      <c r="L118" s="586"/>
      <c r="M118" s="587"/>
      <c r="N118" s="1148"/>
      <c r="O118" s="1148"/>
      <c r="P118" s="43"/>
      <c r="Q118" s="499"/>
    </row>
    <row r="119" spans="1:17" ht="14.5" thickTop="1">
      <c r="A119" s="594"/>
      <c r="B119" s="533" t="s">
        <v>2785</v>
      </c>
      <c r="C119" s="2973" t="s">
        <v>3260</v>
      </c>
      <c r="D119" s="2973" t="s">
        <v>3262</v>
      </c>
      <c r="E119" s="2973" t="s">
        <v>3265</v>
      </c>
      <c r="F119" s="2973" t="s">
        <v>3263</v>
      </c>
      <c r="G119" s="578"/>
      <c r="H119" s="578"/>
      <c r="I119" s="578"/>
      <c r="J119" s="578"/>
      <c r="K119" s="579"/>
      <c r="L119" s="580"/>
      <c r="M119" s="581"/>
      <c r="N119" s="1147"/>
      <c r="O119" s="1147"/>
      <c r="P119" s="43"/>
      <c r="Q119" s="499"/>
    </row>
    <row r="120" spans="1:17" ht="14.5" thickBot="1">
      <c r="A120" s="529"/>
      <c r="B120" s="538"/>
      <c r="C120" s="539">
        <v>100</v>
      </c>
      <c r="D120" s="539">
        <f t="shared" ref="D120:M120" si="27">C120-$K39</f>
        <v>99</v>
      </c>
      <c r="E120" s="539">
        <f t="shared" si="27"/>
        <v>98</v>
      </c>
      <c r="F120" s="539">
        <f t="shared" si="27"/>
        <v>97</v>
      </c>
      <c r="G120" s="539">
        <f t="shared" si="27"/>
        <v>96</v>
      </c>
      <c r="H120" s="539">
        <f t="shared" si="27"/>
        <v>95</v>
      </c>
      <c r="I120" s="539">
        <f t="shared" si="27"/>
        <v>94</v>
      </c>
      <c r="J120" s="539">
        <f t="shared" si="27"/>
        <v>93</v>
      </c>
      <c r="K120" s="539">
        <f t="shared" si="27"/>
        <v>92</v>
      </c>
      <c r="L120" s="539">
        <f t="shared" si="27"/>
        <v>91</v>
      </c>
      <c r="M120" s="540">
        <f t="shared" si="27"/>
        <v>90</v>
      </c>
      <c r="N120" s="1148"/>
      <c r="O120" s="1148"/>
      <c r="P120" s="43"/>
      <c r="Q120" s="499"/>
    </row>
    <row r="121" spans="1:17" ht="14.5" thickTop="1">
      <c r="A121" s="594"/>
      <c r="B121" s="533" t="s">
        <v>2786</v>
      </c>
      <c r="C121" s="2974" t="s">
        <v>3267</v>
      </c>
      <c r="D121" s="549"/>
      <c r="E121" s="549"/>
      <c r="F121" s="578"/>
      <c r="G121" s="578"/>
      <c r="H121" s="578"/>
      <c r="I121" s="578"/>
      <c r="J121" s="578"/>
      <c r="K121" s="579"/>
      <c r="L121" s="580"/>
      <c r="M121" s="581"/>
      <c r="N121" s="1147"/>
      <c r="O121" s="1147"/>
      <c r="P121" s="43"/>
      <c r="Q121" s="499"/>
    </row>
    <row r="122" spans="1:17" ht="14.5" thickBot="1">
      <c r="A122" s="529"/>
      <c r="B122" s="538"/>
      <c r="C122" s="539">
        <v>100</v>
      </c>
      <c r="D122" s="539">
        <f t="shared" ref="D122:M122" si="28">C122-$K40</f>
        <v>99</v>
      </c>
      <c r="E122" s="539">
        <f t="shared" si="28"/>
        <v>98</v>
      </c>
      <c r="F122" s="539">
        <f t="shared" si="28"/>
        <v>97</v>
      </c>
      <c r="G122" s="539">
        <f t="shared" si="28"/>
        <v>96</v>
      </c>
      <c r="H122" s="539">
        <f t="shared" si="28"/>
        <v>95</v>
      </c>
      <c r="I122" s="539">
        <f t="shared" si="28"/>
        <v>94</v>
      </c>
      <c r="J122" s="539">
        <f t="shared" si="28"/>
        <v>93</v>
      </c>
      <c r="K122" s="539">
        <f t="shared" si="28"/>
        <v>92</v>
      </c>
      <c r="L122" s="539">
        <f t="shared" si="28"/>
        <v>91</v>
      </c>
      <c r="M122" s="540">
        <f t="shared" si="28"/>
        <v>90</v>
      </c>
      <c r="N122" s="1148"/>
      <c r="O122" s="1148"/>
      <c r="P122" s="43"/>
      <c r="Q122" s="499"/>
    </row>
    <row r="123" spans="1:17" s="466" customFormat="1" ht="14.5" thickTop="1">
      <c r="A123" s="588"/>
      <c r="B123" s="533" t="s">
        <v>2787</v>
      </c>
      <c r="C123" s="2974" t="s">
        <v>3268</v>
      </c>
      <c r="D123" s="2974" t="s">
        <v>3338</v>
      </c>
      <c r="E123" s="2974" t="s">
        <v>3339</v>
      </c>
      <c r="F123" s="2974" t="s">
        <v>3340</v>
      </c>
      <c r="G123" s="2974" t="s">
        <v>3342</v>
      </c>
      <c r="H123" s="578"/>
      <c r="I123" s="578"/>
      <c r="J123" s="578"/>
      <c r="K123" s="579"/>
      <c r="L123" s="580"/>
      <c r="M123" s="581"/>
      <c r="N123" s="1149"/>
      <c r="O123" s="1149"/>
      <c r="P123" s="553"/>
      <c r="Q123" s="554"/>
    </row>
    <row r="124" spans="1:17" s="466" customFormat="1" ht="14.5" thickBot="1">
      <c r="A124" s="548"/>
      <c r="B124" s="538"/>
      <c r="C124" s="539">
        <v>100</v>
      </c>
      <c r="D124" s="539">
        <f>C124-$K41</f>
        <v>99</v>
      </c>
      <c r="E124" s="539">
        <f t="shared" ref="E124:M124" si="29">D124-$K41</f>
        <v>98</v>
      </c>
      <c r="F124" s="539">
        <f t="shared" si="29"/>
        <v>97</v>
      </c>
      <c r="G124" s="539">
        <f t="shared" si="29"/>
        <v>96</v>
      </c>
      <c r="H124" s="539">
        <f t="shared" si="29"/>
        <v>95</v>
      </c>
      <c r="I124" s="539">
        <f t="shared" si="29"/>
        <v>94</v>
      </c>
      <c r="J124" s="539">
        <f t="shared" si="29"/>
        <v>93</v>
      </c>
      <c r="K124" s="539">
        <f t="shared" si="29"/>
        <v>92</v>
      </c>
      <c r="L124" s="539">
        <f t="shared" si="29"/>
        <v>91</v>
      </c>
      <c r="M124" s="540">
        <f t="shared" si="29"/>
        <v>90</v>
      </c>
      <c r="N124" s="1149"/>
      <c r="O124" s="1149"/>
      <c r="P124" s="553"/>
      <c r="Q124" s="554"/>
    </row>
    <row r="125" spans="1:17" ht="14.5" thickTop="1">
      <c r="A125" s="594"/>
      <c r="B125" s="533" t="s">
        <v>2788</v>
      </c>
      <c r="C125" s="2974" t="s">
        <v>3269</v>
      </c>
      <c r="D125" s="549"/>
      <c r="E125" s="578"/>
      <c r="F125" s="578"/>
      <c r="G125" s="578"/>
      <c r="H125" s="578"/>
      <c r="I125" s="578"/>
      <c r="J125" s="578"/>
      <c r="K125" s="579"/>
      <c r="L125" s="580"/>
      <c r="M125" s="581"/>
      <c r="N125" s="1147"/>
      <c r="O125" s="1147"/>
      <c r="P125" s="43"/>
      <c r="Q125" s="499"/>
    </row>
    <row r="126" spans="1:17" ht="14.5" thickBot="1">
      <c r="A126" s="529"/>
      <c r="B126" s="538"/>
      <c r="C126" s="539">
        <v>100</v>
      </c>
      <c r="D126" s="539">
        <f t="shared" ref="D126:M126" si="30">C126-$K42</f>
        <v>99</v>
      </c>
      <c r="E126" s="539">
        <f t="shared" si="30"/>
        <v>98</v>
      </c>
      <c r="F126" s="539">
        <f t="shared" si="30"/>
        <v>97</v>
      </c>
      <c r="G126" s="539">
        <f t="shared" si="30"/>
        <v>96</v>
      </c>
      <c r="H126" s="539">
        <f t="shared" si="30"/>
        <v>95</v>
      </c>
      <c r="I126" s="539">
        <f t="shared" si="30"/>
        <v>94</v>
      </c>
      <c r="J126" s="539">
        <f t="shared" si="30"/>
        <v>93</v>
      </c>
      <c r="K126" s="539">
        <f t="shared" si="30"/>
        <v>92</v>
      </c>
      <c r="L126" s="539">
        <f t="shared" si="30"/>
        <v>91</v>
      </c>
      <c r="M126" s="540">
        <f t="shared" si="30"/>
        <v>90</v>
      </c>
      <c r="N126" s="1148"/>
      <c r="O126" s="1148"/>
      <c r="P126" s="43"/>
      <c r="Q126" s="499"/>
    </row>
    <row r="127" spans="1:17" ht="14.5" thickTop="1">
      <c r="A127" s="594"/>
      <c r="B127" s="533">
        <f>B43</f>
        <v>111</v>
      </c>
      <c r="C127" s="549"/>
      <c r="D127" s="549"/>
      <c r="E127" s="549"/>
      <c r="F127" s="549"/>
      <c r="G127" s="549"/>
      <c r="H127" s="578"/>
      <c r="I127" s="578"/>
      <c r="J127" s="578"/>
      <c r="K127" s="579"/>
      <c r="L127" s="580"/>
      <c r="M127" s="581"/>
      <c r="N127" s="1147"/>
      <c r="O127" s="1147"/>
      <c r="P127" s="43"/>
      <c r="Q127" s="499"/>
    </row>
    <row r="128" spans="1:17" ht="14.5" thickBot="1">
      <c r="A128" s="529"/>
      <c r="B128" s="538"/>
      <c r="C128" s="555"/>
      <c r="D128" s="555"/>
      <c r="E128" s="555"/>
      <c r="F128" s="555"/>
      <c r="G128" s="531"/>
      <c r="H128" s="531"/>
      <c r="I128" s="531"/>
      <c r="J128" s="531"/>
      <c r="K128" s="531"/>
      <c r="L128" s="531"/>
      <c r="M128" s="532"/>
      <c r="N128" s="1148"/>
      <c r="O128" s="1148"/>
      <c r="P128" s="43"/>
      <c r="Q128" s="499"/>
    </row>
    <row r="129" spans="1:17" ht="14.5" thickTop="1">
      <c r="A129" s="594"/>
      <c r="B129" s="533">
        <f>B44</f>
        <v>111</v>
      </c>
      <c r="C129" s="518"/>
      <c r="D129" s="518"/>
      <c r="E129" s="518"/>
      <c r="F129" s="518"/>
      <c r="G129" s="578"/>
      <c r="H129" s="578"/>
      <c r="I129" s="578"/>
      <c r="J129" s="578"/>
      <c r="K129" s="579"/>
      <c r="L129" s="580"/>
      <c r="M129" s="581"/>
      <c r="N129" s="1147"/>
      <c r="O129" s="1147"/>
      <c r="P129" s="43"/>
      <c r="Q129" s="499"/>
    </row>
    <row r="130" spans="1:17" ht="14.5" thickBot="1">
      <c r="A130" s="529"/>
      <c r="B130" s="538"/>
      <c r="C130" s="565"/>
      <c r="D130" s="565"/>
      <c r="E130" s="565"/>
      <c r="F130" s="565"/>
      <c r="G130" s="531"/>
      <c r="H130" s="531"/>
      <c r="I130" s="531"/>
      <c r="J130" s="531"/>
      <c r="K130" s="531"/>
      <c r="L130" s="531"/>
      <c r="M130" s="532"/>
      <c r="N130" s="1148"/>
      <c r="O130" s="1148"/>
      <c r="P130" s="43"/>
      <c r="Q130" s="499"/>
    </row>
    <row r="131" spans="1:17" s="466" customFormat="1" ht="14.5" thickTop="1">
      <c r="A131" s="588"/>
      <c r="B131" s="533">
        <f>B45</f>
        <v>111</v>
      </c>
      <c r="C131" s="518"/>
      <c r="D131" s="518"/>
      <c r="E131" s="518"/>
      <c r="F131" s="518"/>
      <c r="G131" s="550"/>
      <c r="H131" s="550"/>
      <c r="I131" s="550"/>
      <c r="J131" s="550"/>
      <c r="K131" s="550"/>
      <c r="L131" s="551"/>
      <c r="M131" s="552"/>
      <c r="N131" s="1149"/>
      <c r="O131" s="1149"/>
      <c r="P131" s="553"/>
      <c r="Q131" s="554"/>
    </row>
    <row r="132" spans="1:17" s="466" customFormat="1" ht="14.5" thickBot="1">
      <c r="A132" s="563"/>
      <c r="B132" s="695"/>
      <c r="C132" s="565"/>
      <c r="D132" s="565"/>
      <c r="E132" s="565"/>
      <c r="F132" s="565"/>
      <c r="G132" s="586"/>
      <c r="H132" s="586"/>
      <c r="I132" s="586"/>
      <c r="J132" s="586"/>
      <c r="K132" s="586"/>
      <c r="L132" s="586"/>
      <c r="M132" s="587"/>
      <c r="N132" s="1149"/>
      <c r="O132" s="1149"/>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M15"/>
  <sheetViews>
    <sheetView workbookViewId="0">
      <selection activeCell="C12" sqref="C12"/>
    </sheetView>
  </sheetViews>
  <sheetFormatPr defaultColWidth="9.36328125" defaultRowHeight="14"/>
  <cols>
    <col min="1" max="1" width="19.08984375" style="1630" customWidth="1"/>
    <col min="2" max="16384" width="9.36328125" style="1630"/>
  </cols>
  <sheetData>
    <row r="1" spans="1:13">
      <c r="A1" s="1630" t="s">
        <v>3230</v>
      </c>
      <c r="B1" s="1630" t="s">
        <v>3231</v>
      </c>
      <c r="C1" s="1630" t="s">
        <v>3232</v>
      </c>
      <c r="D1" s="1630" t="s">
        <v>3234</v>
      </c>
      <c r="E1" s="1630" t="s">
        <v>3235</v>
      </c>
      <c r="F1" s="1630" t="s">
        <v>3236</v>
      </c>
      <c r="G1" s="1630" t="s">
        <v>3233</v>
      </c>
      <c r="H1" s="1630" t="s">
        <v>3237</v>
      </c>
      <c r="I1" s="1630" t="s">
        <v>3239</v>
      </c>
      <c r="J1" s="1630" t="s">
        <v>3240</v>
      </c>
      <c r="K1" s="1630" t="s">
        <v>3241</v>
      </c>
      <c r="L1" s="1630" t="s">
        <v>3242</v>
      </c>
      <c r="M1" s="1630" t="s">
        <v>3238</v>
      </c>
    </row>
    <row r="2" spans="1:13" s="2964" customFormat="1">
      <c r="A2" s="2964" t="s">
        <v>3316</v>
      </c>
      <c r="B2" s="2964" t="s">
        <v>3049</v>
      </c>
      <c r="C2" s="2964" t="s">
        <v>3243</v>
      </c>
      <c r="D2" s="2964">
        <v>54523.08</v>
      </c>
      <c r="E2" s="2964">
        <v>68836</v>
      </c>
      <c r="F2" s="2964" t="s">
        <v>3245</v>
      </c>
      <c r="G2" s="2964" t="s">
        <v>3244</v>
      </c>
      <c r="H2" s="2964" t="s">
        <v>3246</v>
      </c>
      <c r="I2" s="2964">
        <v>161000</v>
      </c>
      <c r="J2" s="2964">
        <v>161000</v>
      </c>
      <c r="K2" s="2964">
        <v>23388.91</v>
      </c>
      <c r="L2" s="2964">
        <v>0</v>
      </c>
      <c r="M2" s="2964" t="s">
        <v>3247</v>
      </c>
    </row>
    <row r="3" spans="1:13">
      <c r="A3" s="1630" t="s">
        <v>3317</v>
      </c>
      <c r="B3" s="1630" t="s">
        <v>3049</v>
      </c>
      <c r="C3" s="1630" t="s">
        <v>3248</v>
      </c>
      <c r="D3" s="1630">
        <v>37817.29</v>
      </c>
      <c r="E3" s="1630">
        <v>83198</v>
      </c>
      <c r="F3" s="1630" t="s">
        <v>3318</v>
      </c>
      <c r="G3" s="1630" t="s">
        <v>3319</v>
      </c>
      <c r="H3" s="1630" t="s">
        <v>3320</v>
      </c>
      <c r="I3" s="1630" t="s">
        <v>1326</v>
      </c>
      <c r="J3" s="1630">
        <v>85861.17</v>
      </c>
      <c r="K3" s="1630">
        <v>10320.1</v>
      </c>
      <c r="L3" s="1630" t="s">
        <v>1326</v>
      </c>
      <c r="M3" s="1630" t="s">
        <v>3321</v>
      </c>
    </row>
    <row r="4" spans="1:13" s="2964" customFormat="1">
      <c r="A4" s="2964" t="s">
        <v>3322</v>
      </c>
      <c r="B4" s="2964" t="s">
        <v>3049</v>
      </c>
      <c r="C4" s="2964" t="s">
        <v>3243</v>
      </c>
      <c r="D4" s="2964">
        <v>81565.039999999994</v>
      </c>
      <c r="E4" s="2964">
        <v>166468</v>
      </c>
      <c r="F4" s="2964" t="s">
        <v>3323</v>
      </c>
      <c r="G4" s="2964" t="s">
        <v>3244</v>
      </c>
      <c r="H4" s="2964" t="s">
        <v>3324</v>
      </c>
      <c r="I4" s="2964">
        <v>363600</v>
      </c>
      <c r="J4" s="2964">
        <v>363600</v>
      </c>
      <c r="K4" s="2964">
        <v>21842.04</v>
      </c>
      <c r="L4" s="2964">
        <v>0</v>
      </c>
      <c r="M4" s="2964" t="s">
        <v>3325</v>
      </c>
    </row>
    <row r="5" spans="1:13">
      <c r="A5" s="1630" t="s">
        <v>3326</v>
      </c>
      <c r="B5" s="1630" t="s">
        <v>3049</v>
      </c>
      <c r="C5" s="1630" t="s">
        <v>3243</v>
      </c>
      <c r="D5" s="1630">
        <v>36338.199999999997</v>
      </c>
      <c r="E5" s="1630">
        <v>67633</v>
      </c>
      <c r="F5" s="1630">
        <v>1.86</v>
      </c>
      <c r="G5" s="1630" t="s">
        <v>3244</v>
      </c>
      <c r="H5" s="1630" t="s">
        <v>3327</v>
      </c>
      <c r="I5" s="1630">
        <v>79200</v>
      </c>
      <c r="J5" s="1630">
        <v>79200</v>
      </c>
      <c r="K5" s="1630">
        <v>11710.26</v>
      </c>
      <c r="L5" s="1630">
        <v>0</v>
      </c>
      <c r="M5" s="1630" t="s">
        <v>3328</v>
      </c>
    </row>
    <row r="6" spans="1:13">
      <c r="A6" s="1630" t="s">
        <v>3329</v>
      </c>
      <c r="B6" s="1630" t="s">
        <v>3049</v>
      </c>
      <c r="C6" s="1630" t="s">
        <v>3243</v>
      </c>
      <c r="D6" s="1630">
        <v>115895.2</v>
      </c>
      <c r="E6" s="1630">
        <v>176111</v>
      </c>
      <c r="F6" s="1630">
        <v>1.52</v>
      </c>
      <c r="G6" s="1630" t="s">
        <v>3244</v>
      </c>
      <c r="H6" s="1630" t="s">
        <v>3330</v>
      </c>
      <c r="I6" s="1630">
        <v>255500</v>
      </c>
      <c r="J6" s="1630">
        <v>255500</v>
      </c>
      <c r="K6" s="1630">
        <v>14507.89</v>
      </c>
      <c r="L6" s="1630">
        <v>0</v>
      </c>
      <c r="M6" s="1630" t="s">
        <v>3331</v>
      </c>
    </row>
    <row r="7" spans="1:13">
      <c r="A7" s="1630" t="s">
        <v>3332</v>
      </c>
      <c r="B7" s="1630" t="s">
        <v>3049</v>
      </c>
      <c r="C7" s="1630" t="s">
        <v>3248</v>
      </c>
      <c r="D7" s="1630">
        <v>43539.77</v>
      </c>
      <c r="E7" s="1630">
        <v>108849</v>
      </c>
      <c r="F7" s="1630">
        <v>2.5</v>
      </c>
      <c r="G7" s="1630" t="s">
        <v>3319</v>
      </c>
      <c r="H7" s="1630" t="s">
        <v>3333</v>
      </c>
      <c r="I7" s="1630" t="s">
        <v>1326</v>
      </c>
      <c r="J7" s="1630">
        <v>99450</v>
      </c>
      <c r="K7" s="1630">
        <v>9136.51</v>
      </c>
      <c r="L7" s="1630" t="s">
        <v>1326</v>
      </c>
      <c r="M7" s="1630" t="s">
        <v>3334</v>
      </c>
    </row>
    <row r="9" spans="1:13">
      <c r="A9" s="1630" t="s">
        <v>3230</v>
      </c>
      <c r="B9" s="1630" t="s">
        <v>3231</v>
      </c>
      <c r="C9" s="1630" t="s">
        <v>3232</v>
      </c>
      <c r="D9" s="1630" t="s">
        <v>3234</v>
      </c>
      <c r="E9" s="1630" t="s">
        <v>3235</v>
      </c>
      <c r="F9" s="1630" t="s">
        <v>3236</v>
      </c>
      <c r="G9" s="1630" t="s">
        <v>3233</v>
      </c>
      <c r="H9" s="1630" t="s">
        <v>3237</v>
      </c>
      <c r="I9" s="1630" t="s">
        <v>3239</v>
      </c>
      <c r="J9" s="1630" t="s">
        <v>3240</v>
      </c>
      <c r="K9" s="1630" t="s">
        <v>3241</v>
      </c>
      <c r="L9" s="1630" t="s">
        <v>3242</v>
      </c>
      <c r="M9" s="1630" t="s">
        <v>3238</v>
      </c>
    </row>
    <row r="10" spans="1:13">
      <c r="A10" s="1630" t="s">
        <v>3302</v>
      </c>
      <c r="B10" s="1630" t="s">
        <v>3049</v>
      </c>
      <c r="C10" s="1630" t="s">
        <v>3243</v>
      </c>
      <c r="D10" s="1630">
        <v>146640.21</v>
      </c>
      <c r="E10" s="1630">
        <v>288410</v>
      </c>
      <c r="F10" s="1630" t="s">
        <v>3303</v>
      </c>
      <c r="G10" s="1630" t="s">
        <v>3244</v>
      </c>
      <c r="H10" s="1630" t="s">
        <v>3304</v>
      </c>
      <c r="I10" s="1630">
        <v>430000</v>
      </c>
      <c r="J10" s="1630">
        <v>430000</v>
      </c>
      <c r="K10" s="1630">
        <v>14909.32</v>
      </c>
      <c r="L10" s="1630">
        <v>0</v>
      </c>
      <c r="M10" s="1630" t="s">
        <v>3305</v>
      </c>
    </row>
    <row r="11" spans="1:13">
      <c r="A11" s="1630" t="s">
        <v>3306</v>
      </c>
      <c r="B11" s="1630" t="s">
        <v>3049</v>
      </c>
      <c r="C11" s="1630" t="s">
        <v>3248</v>
      </c>
      <c r="D11" s="1630">
        <v>96884.68</v>
      </c>
      <c r="E11" s="1630">
        <v>145327</v>
      </c>
      <c r="F11" s="1630" t="s">
        <v>3307</v>
      </c>
      <c r="G11" s="1630" t="s">
        <v>3244</v>
      </c>
      <c r="H11" s="1630" t="s">
        <v>3308</v>
      </c>
      <c r="I11" s="1630">
        <v>340000</v>
      </c>
      <c r="J11" s="1630">
        <v>410000</v>
      </c>
      <c r="K11" s="1630">
        <v>28212.240000000002</v>
      </c>
      <c r="L11" s="1630">
        <v>20.59</v>
      </c>
      <c r="M11" s="1630" t="s">
        <v>3309</v>
      </c>
    </row>
    <row r="12" spans="1:13" s="2964" customFormat="1">
      <c r="A12" s="2964" t="s">
        <v>3310</v>
      </c>
      <c r="B12" s="2964" t="s">
        <v>3049</v>
      </c>
      <c r="C12" s="2964" t="s">
        <v>3248</v>
      </c>
      <c r="D12" s="2964">
        <v>21403.13</v>
      </c>
      <c r="E12" s="2964">
        <v>38526</v>
      </c>
      <c r="F12" s="2964">
        <v>1.8</v>
      </c>
      <c r="G12" s="2964" t="s">
        <v>3244</v>
      </c>
      <c r="H12" s="2964" t="s">
        <v>3249</v>
      </c>
      <c r="I12" s="2964">
        <v>71000</v>
      </c>
      <c r="J12" s="2964">
        <v>92000</v>
      </c>
      <c r="K12" s="2964">
        <v>23879.97</v>
      </c>
      <c r="L12" s="2964">
        <v>29.58</v>
      </c>
      <c r="M12" s="2964" t="s">
        <v>3250</v>
      </c>
    </row>
    <row r="13" spans="1:13">
      <c r="A13" s="1630" t="s">
        <v>3311</v>
      </c>
      <c r="B13" s="1630" t="s">
        <v>3049</v>
      </c>
      <c r="C13" s="1630" t="s">
        <v>3248</v>
      </c>
      <c r="D13" s="1630">
        <v>43325.9</v>
      </c>
      <c r="E13" s="1630">
        <v>64988</v>
      </c>
      <c r="F13" s="1630">
        <v>1.5</v>
      </c>
      <c r="G13" s="1630" t="s">
        <v>3244</v>
      </c>
      <c r="H13" s="1630" t="s">
        <v>3249</v>
      </c>
      <c r="I13" s="1630">
        <v>190000</v>
      </c>
      <c r="J13" s="1630">
        <v>204000</v>
      </c>
      <c r="K13" s="1630">
        <v>31390.400000000001</v>
      </c>
      <c r="L13" s="1630">
        <v>7.37</v>
      </c>
      <c r="M13" s="1630" t="s">
        <v>3312</v>
      </c>
    </row>
    <row r="14" spans="1:13">
      <c r="A14" s="1630" t="s">
        <v>3313</v>
      </c>
      <c r="B14" s="1630" t="s">
        <v>3049</v>
      </c>
      <c r="C14" s="1630" t="s">
        <v>3243</v>
      </c>
      <c r="D14" s="1630">
        <v>28367.279999999999</v>
      </c>
      <c r="E14" s="1630">
        <v>42028</v>
      </c>
      <c r="F14" s="1630">
        <v>1.48</v>
      </c>
      <c r="G14" s="1630" t="s">
        <v>3244</v>
      </c>
      <c r="H14" s="1630" t="s">
        <v>3251</v>
      </c>
      <c r="I14" s="1630">
        <v>76000</v>
      </c>
      <c r="J14" s="1630">
        <v>88500</v>
      </c>
      <c r="K14" s="1630">
        <v>21057.38</v>
      </c>
      <c r="L14" s="1630">
        <v>16.45</v>
      </c>
      <c r="M14" s="1630" t="s">
        <v>3314</v>
      </c>
    </row>
    <row r="15" spans="1:13">
      <c r="A15" s="1630" t="s">
        <v>3315</v>
      </c>
      <c r="B15" s="1630" t="s">
        <v>3049</v>
      </c>
      <c r="C15" s="1630" t="s">
        <v>3243</v>
      </c>
      <c r="D15" s="1630">
        <v>69856.02</v>
      </c>
      <c r="E15" s="1630">
        <v>104180</v>
      </c>
      <c r="F15" s="1630">
        <v>1.49</v>
      </c>
      <c r="G15" s="1630" t="s">
        <v>3244</v>
      </c>
      <c r="H15" s="1630" t="s">
        <v>3251</v>
      </c>
      <c r="I15" s="1630">
        <v>190000</v>
      </c>
      <c r="J15" s="1630">
        <v>233000</v>
      </c>
      <c r="K15" s="1630">
        <v>22365.13</v>
      </c>
      <c r="L15" s="1630">
        <v>22.63</v>
      </c>
      <c r="M15" s="1630" t="s">
        <v>3252</v>
      </c>
    </row>
  </sheetData>
  <phoneticPr fontId="14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topLeftCell="A10" workbookViewId="0">
      <selection activeCell="D14" sqref="D14"/>
    </sheetView>
  </sheetViews>
  <sheetFormatPr defaultColWidth="6.6328125" defaultRowHeight="12.5"/>
  <cols>
    <col min="1" max="1" width="9.90625" style="793" customWidth="1"/>
    <col min="2" max="2" width="25.90625" style="947" customWidth="1"/>
    <col min="3" max="3" width="10.36328125" style="990" customWidth="1"/>
    <col min="4" max="4" width="9.90625" style="947" customWidth="1"/>
    <col min="5" max="5" width="9.453125" style="793" customWidth="1"/>
    <col min="6" max="6" width="10.08984375" style="947" customWidth="1"/>
    <col min="7" max="7" width="10.90625" style="947" customWidth="1"/>
    <col min="8" max="8" width="10" style="947" customWidth="1"/>
    <col min="9" max="11" width="9.453125" style="947" customWidth="1"/>
    <col min="12" max="12" width="9" style="947" customWidth="1"/>
    <col min="13" max="13" width="10.453125" style="947" bestFit="1" customWidth="1"/>
    <col min="14" max="254" width="9" style="947" customWidth="1"/>
    <col min="255" max="16384" width="6.6328125" style="947"/>
  </cols>
  <sheetData>
    <row r="1" spans="1:33" ht="21">
      <c r="A1" s="235" t="s">
        <v>2456</v>
      </c>
      <c r="B1" s="1576"/>
      <c r="C1" s="1577"/>
      <c r="D1" s="1575"/>
      <c r="E1" s="315"/>
      <c r="F1" s="315"/>
      <c r="G1" s="1576"/>
      <c r="H1" s="315"/>
      <c r="I1" s="315"/>
      <c r="J1" s="315"/>
      <c r="K1" s="315">
        <f>MATCH(C1,'数据-取费表'!A6:A16,0)+5</f>
        <v>12</v>
      </c>
    </row>
    <row r="2" spans="1:33" ht="18" customHeight="1">
      <c r="A2" s="240" t="s">
        <v>2324</v>
      </c>
      <c r="B2" s="243">
        <f ca="1">C32</f>
        <v>304619</v>
      </c>
      <c r="C2" s="315" t="s">
        <v>2457</v>
      </c>
      <c r="D2" s="315"/>
      <c r="E2" s="315"/>
      <c r="F2" s="315"/>
      <c r="G2" s="315"/>
      <c r="H2" s="315"/>
      <c r="I2" s="315"/>
      <c r="J2" s="315"/>
      <c r="K2" s="315"/>
    </row>
    <row r="3" spans="1:33" ht="18" customHeight="1" thickBot="1">
      <c r="A3" s="242" t="s">
        <v>2326</v>
      </c>
      <c r="B3" s="243">
        <f ca="1">ROUND(B2*10000/IF(C1="",'数据-汇总表'!E3,INDIRECT("'数据-取费表'!K"&amp;$K$1)),0)</f>
        <v>14351</v>
      </c>
      <c r="C3" s="315" t="s">
        <v>2458</v>
      </c>
      <c r="D3" s="315"/>
      <c r="E3" s="315"/>
      <c r="F3" s="315"/>
      <c r="G3" s="315"/>
      <c r="H3" s="315"/>
      <c r="I3" s="315"/>
      <c r="J3" s="315"/>
      <c r="K3" s="315"/>
    </row>
    <row r="4" spans="1:33" s="951" customFormat="1" ht="16.5" customHeight="1">
      <c r="A4" s="948" t="s">
        <v>2459</v>
      </c>
      <c r="B4" s="949"/>
      <c r="C4" s="991">
        <f ca="1">SUM(C8:K8)</f>
        <v>459395</v>
      </c>
      <c r="D4" s="949"/>
      <c r="E4" s="949"/>
      <c r="F4" s="949"/>
      <c r="G4" s="949"/>
      <c r="H4" s="949"/>
      <c r="I4" s="949"/>
      <c r="J4" s="949"/>
      <c r="K4" s="950"/>
    </row>
    <row r="5" spans="1:33" s="955" customFormat="1" ht="14">
      <c r="A5" s="952" t="s">
        <v>2460</v>
      </c>
      <c r="B5" s="953" t="s">
        <v>2461</v>
      </c>
      <c r="C5" s="2541" t="s">
        <v>3080</v>
      </c>
      <c r="D5" s="2541" t="s">
        <v>3082</v>
      </c>
      <c r="E5" s="2541" t="s">
        <v>3084</v>
      </c>
      <c r="F5" s="2541" t="s">
        <v>1372</v>
      </c>
      <c r="G5" s="2541" t="s">
        <v>3076</v>
      </c>
      <c r="H5" s="2541" t="s">
        <v>48</v>
      </c>
      <c r="I5" s="2541"/>
      <c r="J5" s="2541"/>
      <c r="K5" s="2541"/>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5" t="s">
        <v>2462</v>
      </c>
      <c r="C6" s="957">
        <f>'比较法-住宅'!B3</f>
        <v>35545</v>
      </c>
      <c r="D6" s="957">
        <f>典型户型修正!R25</f>
        <v>37322</v>
      </c>
      <c r="E6" s="957">
        <f>典型户型修正!R26</f>
        <v>39100</v>
      </c>
      <c r="F6" s="957">
        <f ca="1">收益法!B3</f>
        <v>20715</v>
      </c>
      <c r="G6" s="957">
        <f ca="1">'收益法 (仓储) '!B3</f>
        <v>16355</v>
      </c>
      <c r="H6" s="957">
        <f ca="1">'收益法 (车库)'!B3</f>
        <v>3741</v>
      </c>
      <c r="I6" s="957"/>
      <c r="J6" s="957"/>
      <c r="K6" s="958"/>
      <c r="L6" s="959"/>
      <c r="M6" s="959"/>
      <c r="N6" s="3039"/>
      <c r="O6" s="303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2463</v>
      </c>
      <c r="B7" s="135" t="s">
        <v>2464</v>
      </c>
      <c r="C7" s="316">
        <f>SUMIF('数据-汇总表'!$C19:$C33,假设开发法!C5,'数据-汇总表'!$E19:$E33)</f>
        <v>91312.59</v>
      </c>
      <c r="D7" s="316">
        <f>SUMIF('数据-汇总表'!$C19:$C33,假设开发法!D5,'数据-汇总表'!$E19:$E33)</f>
        <v>18832.780000000002</v>
      </c>
      <c r="E7" s="316">
        <f>SUMIF('数据-汇总表'!$C19:$C33,假设开发法!E5,'数据-汇总表'!$E19:$E33)</f>
        <v>2018.48</v>
      </c>
      <c r="F7" s="316">
        <f>SUMIF('数据-汇总表'!$C19:$C33,假设开发法!F5,'数据-汇总表'!$E19:$E33)</f>
        <v>11127.55</v>
      </c>
      <c r="G7" s="316">
        <f>SUMIF('数据-汇总表'!$C19:$C33,假设开发法!G5,'数据-汇总表'!$E19:$E33)</f>
        <v>7670</v>
      </c>
      <c r="H7" s="316">
        <f>SUMIF('数据-汇总表'!$C19:$C33,假设开发法!H5,'数据-汇总表'!$E19:$E33)</f>
        <v>56260.9</v>
      </c>
      <c r="I7" s="316">
        <f>SUMIF('数据-汇总表'!$C19:$C33,假设开发法!I5,'数据-汇总表'!$E19:$E33)</f>
        <v>0</v>
      </c>
      <c r="J7" s="316">
        <f>SUMIF('数据-汇总表'!$C19:$C33,假设开发法!J5,'数据-汇总表'!$E19:$E33)</f>
        <v>0</v>
      </c>
      <c r="K7" s="317">
        <f>SUMIF('数据-汇总表'!$C19:$C33,假设开发法!K5,'数据-汇总表'!$E19:$E33)</f>
        <v>0</v>
      </c>
      <c r="L7" s="959">
        <f ca="1">H6*35</f>
        <v>130935</v>
      </c>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2" t="s">
        <v>2465</v>
      </c>
      <c r="B8" s="172" t="s">
        <v>2466</v>
      </c>
      <c r="C8" s="992">
        <f>'比较法-住宅'!B2</f>
        <v>324571</v>
      </c>
      <c r="D8" s="992">
        <f>典型户型修正!S25</f>
        <v>70288</v>
      </c>
      <c r="E8" s="992">
        <f>典型户型修正!S26</f>
        <v>7892</v>
      </c>
      <c r="F8" s="993">
        <f ca="1">收益法!B2</f>
        <v>23051</v>
      </c>
      <c r="G8" s="993">
        <f ca="1">'收益法 (仓储) '!B2</f>
        <v>12544</v>
      </c>
      <c r="H8" s="993">
        <f ca="1">'收益法 (车库)'!B2</f>
        <v>21049</v>
      </c>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2467</v>
      </c>
      <c r="B9" s="949"/>
      <c r="C9" s="949"/>
      <c r="D9" s="949"/>
      <c r="E9" s="949"/>
      <c r="F9" s="949"/>
      <c r="G9" s="949"/>
      <c r="H9" s="949"/>
      <c r="I9" s="949"/>
      <c r="J9" s="949"/>
      <c r="K9" s="950"/>
    </row>
    <row r="10" spans="1:33" s="965" customFormat="1" ht="13.5" customHeight="1">
      <c r="A10" s="952" t="s">
        <v>2468</v>
      </c>
      <c r="B10" s="8" t="s">
        <v>2469</v>
      </c>
      <c r="C10" s="961" t="s">
        <v>2470</v>
      </c>
      <c r="D10" s="962" t="s">
        <v>2471</v>
      </c>
      <c r="E10" s="962" t="s">
        <v>2472</v>
      </c>
      <c r="F10" s="962" t="s">
        <v>2473</v>
      </c>
      <c r="G10" s="8"/>
      <c r="H10" s="963"/>
      <c r="I10" s="963"/>
      <c r="J10" s="963"/>
      <c r="K10" s="964"/>
    </row>
    <row r="11" spans="1:33" s="970" customFormat="1" ht="13.5" customHeight="1">
      <c r="A11" s="966" t="s">
        <v>1329</v>
      </c>
      <c r="B11" s="967" t="s">
        <v>2474</v>
      </c>
      <c r="C11" s="318">
        <f ca="1">IF(C1="",'数据-取费表'!P16,INDIRECT("'数据-取费表'!p"&amp;$K$1)+INDIRECT("'数据-取费表'!ar"&amp;$K$1))</f>
        <v>39871</v>
      </c>
      <c r="D11" s="968"/>
      <c r="E11" s="370"/>
      <c r="F11" s="969">
        <f ca="1">1-IF('数据-取费表'!B24=0,1,IF(C1="",'数据-取费表'!N16,INDIRECT("'数据-取费表'!n"&amp;$K$1)))</f>
        <v>0.78300000000000003</v>
      </c>
      <c r="G11" s="8"/>
      <c r="H11" s="963"/>
      <c r="I11" s="963"/>
      <c r="J11" s="963"/>
      <c r="K11" s="964"/>
    </row>
    <row r="12" spans="1:33" s="970" customFormat="1" ht="13.5" customHeight="1">
      <c r="A12" s="966" t="s">
        <v>1330</v>
      </c>
      <c r="B12" s="967" t="s">
        <v>2475</v>
      </c>
      <c r="C12" s="24">
        <f ca="1">ROUND(C11*F12,0)</f>
        <v>1196</v>
      </c>
      <c r="D12" s="968"/>
      <c r="E12" s="370"/>
      <c r="F12" s="971">
        <f>'数据-取费表'!B33</f>
        <v>0.03</v>
      </c>
      <c r="G12" s="8" t="s">
        <v>2476</v>
      </c>
      <c r="H12" s="963"/>
      <c r="I12" s="963"/>
      <c r="J12" s="963"/>
      <c r="K12" s="964"/>
    </row>
    <row r="13" spans="1:33" s="970" customFormat="1" ht="13.5" customHeight="1">
      <c r="A13" s="966" t="s">
        <v>1331</v>
      </c>
      <c r="B13" s="967" t="s">
        <v>2477</v>
      </c>
      <c r="C13" s="24">
        <f ca="1">ROUND(IF(C1="",SUMIF('数据-取费表'!C:C,"住宅",'数据-取费表'!P:P)*F13,IF(INDIRECT("'数据-取费表'!c"&amp;$K$1)="住宅",INDIRECT("'数据-取费表'!P"&amp;$K$1)*F13,0)),0)</f>
        <v>518</v>
      </c>
      <c r="D13" s="1028"/>
      <c r="E13" s="370"/>
      <c r="F13" s="971">
        <f>'数据-取费表'!B34</f>
        <v>0.03</v>
      </c>
      <c r="G13" s="8" t="s">
        <v>2478</v>
      </c>
      <c r="H13" s="963"/>
      <c r="I13" s="963"/>
      <c r="J13" s="963"/>
      <c r="K13" s="964"/>
    </row>
    <row r="14" spans="1:33" s="972" customFormat="1" ht="13.5" customHeight="1">
      <c r="A14" s="966" t="s">
        <v>1332</v>
      </c>
      <c r="B14" s="967" t="s">
        <v>2479</v>
      </c>
      <c r="C14" s="24">
        <f ca="1">ROUND(D14*E14*F11/10000,0)</f>
        <v>3324</v>
      </c>
      <c r="D14" s="1028">
        <f ca="1">IF(C1="",'数据-汇总表'!E3,INDIRECT("'数据-取费表'!K"&amp;$K$1)+INDIRECT("'数据-取费表'!S"&amp;$K$1))</f>
        <v>212264.80000000002</v>
      </c>
      <c r="E14" s="24">
        <f>'数据-取费表'!B35</f>
        <v>200</v>
      </c>
      <c r="F14" s="971"/>
      <c r="G14" s="8" t="s">
        <v>2480</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2481</v>
      </c>
      <c r="C15" s="978">
        <f ca="1">ROUND(C11*F15,0)</f>
        <v>598</v>
      </c>
      <c r="D15" s="973"/>
      <c r="E15" s="978"/>
      <c r="F15" s="979">
        <f>'数据-取费表'!B36</f>
        <v>1.4999999999999999E-2</v>
      </c>
      <c r="G15" s="135" t="s">
        <v>2482</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2483</v>
      </c>
      <c r="C16" s="978">
        <f ca="1">SUM(C11:C15)</f>
        <v>45507</v>
      </c>
      <c r="D16" s="973"/>
      <c r="E16" s="978"/>
      <c r="F16" s="979"/>
      <c r="G16" s="135"/>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2484</v>
      </c>
      <c r="C17" s="24">
        <f ca="1">ROUND(D17*E17/10000,0)</f>
        <v>0</v>
      </c>
      <c r="D17" s="1028">
        <f ca="1">D14</f>
        <v>212264.80000000002</v>
      </c>
      <c r="E17" s="24">
        <f>'数据-取费表'!B32</f>
        <v>0</v>
      </c>
      <c r="F17" s="973"/>
      <c r="G17" s="135" t="s">
        <v>2485</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2486</v>
      </c>
      <c r="C18" s="24">
        <f ca="1">C19+C20-IF(C1="",'数据-取费表'!B29,IF(G18="已全部缴纳",C19+C20,H18))</f>
        <v>0</v>
      </c>
      <c r="D18" s="1028"/>
      <c r="E18" s="24"/>
      <c r="F18" s="971"/>
      <c r="G18" s="2543" t="s">
        <v>3368</v>
      </c>
      <c r="H18" s="1572"/>
      <c r="I18" s="2544" t="s">
        <v>2487</v>
      </c>
      <c r="J18" s="974"/>
      <c r="K18" s="975"/>
    </row>
    <row r="19" spans="1:33" s="970" customFormat="1" ht="13.5" customHeight="1">
      <c r="A19" s="966" t="s">
        <v>805</v>
      </c>
      <c r="B19" s="967" t="s">
        <v>2488</v>
      </c>
      <c r="C19" s="24">
        <f ca="1">ROUND(D19*E19/10000,0)</f>
        <v>1795</v>
      </c>
      <c r="D19" s="1028">
        <f ca="1">IF(C1="",'数据-汇总表'!E5,IF(INDIRECT("'数据-取费表'!c"&amp;$K$1)="住宅",INDIRECT("'数据-取费表'!k"&amp;$K$1),0))</f>
        <v>112163.84999999999</v>
      </c>
      <c r="E19" s="24">
        <f>'数据-取费表'!B27</f>
        <v>160</v>
      </c>
      <c r="F19" s="971"/>
      <c r="G19" s="15"/>
      <c r="H19" s="1574"/>
      <c r="I19" s="976"/>
      <c r="J19" s="976"/>
      <c r="K19" s="977"/>
    </row>
    <row r="20" spans="1:33" s="970" customFormat="1" ht="13.5" customHeight="1">
      <c r="A20" s="966" t="s">
        <v>806</v>
      </c>
      <c r="B20" s="967" t="s">
        <v>2489</v>
      </c>
      <c r="C20" s="24">
        <f ca="1">ROUND(D20*E20/10000,0)</f>
        <v>2002</v>
      </c>
      <c r="D20" s="1028">
        <f ca="1">IF(C1="",'数据-汇总表'!E6,IF(INDIRECT("'数据-取费表'!c"&amp;$K$1)="住宅",INDIRECT("'数据-取费表'!s"&amp;$K$1),INDIRECT("'数据-取费表'!k"&amp;$K$1)+INDIRECT("'数据-取费表'!s"&amp;$K$1)))</f>
        <v>100100.95000000003</v>
      </c>
      <c r="E20" s="24">
        <f>'数据-取费表'!B28</f>
        <v>200</v>
      </c>
      <c r="F20" s="971"/>
      <c r="G20" s="15"/>
      <c r="H20" s="976"/>
      <c r="I20" s="976"/>
      <c r="J20" s="976"/>
      <c r="K20" s="977"/>
    </row>
    <row r="21" spans="1:33" s="970" customFormat="1" ht="13.5" customHeight="1">
      <c r="A21" s="956" t="s">
        <v>802</v>
      </c>
      <c r="B21" s="980" t="s">
        <v>2490</v>
      </c>
      <c r="C21" s="981">
        <f ca="1">C16+C17+C18</f>
        <v>45507</v>
      </c>
      <c r="D21" s="982"/>
      <c r="E21" s="320"/>
      <c r="F21" s="320"/>
      <c r="G21" s="135" t="s">
        <v>2491</v>
      </c>
      <c r="H21" s="974"/>
      <c r="I21" s="974"/>
      <c r="J21" s="974"/>
      <c r="K21" s="975"/>
    </row>
    <row r="22" spans="1:33" s="970" customFormat="1" ht="13.5" customHeight="1">
      <c r="A22" s="956" t="s">
        <v>2463</v>
      </c>
      <c r="B22" s="980" t="s">
        <v>2492</v>
      </c>
      <c r="C22" s="981">
        <f ca="1">ROUND(C21*F22,0)</f>
        <v>910</v>
      </c>
      <c r="D22" s="320"/>
      <c r="E22" s="320"/>
      <c r="F22" s="983">
        <f>'数据-取费表'!B37</f>
        <v>0.02</v>
      </c>
      <c r="G22" s="8" t="s">
        <v>2493</v>
      </c>
      <c r="H22" s="963"/>
      <c r="I22" s="963"/>
      <c r="J22" s="963"/>
      <c r="K22" s="964"/>
    </row>
    <row r="23" spans="1:33" s="970" customFormat="1" ht="13.5" customHeight="1">
      <c r="A23" s="956" t="s">
        <v>2465</v>
      </c>
      <c r="B23" s="980" t="s">
        <v>2494</v>
      </c>
      <c r="C23" s="981">
        <f ca="1">ROUND(C4*F23*F11,0)</f>
        <v>7194</v>
      </c>
      <c r="D23" s="320"/>
      <c r="E23" s="320"/>
      <c r="F23" s="983">
        <f>'数据-取费表'!B38</f>
        <v>0.02</v>
      </c>
      <c r="G23" s="8" t="s">
        <v>2495</v>
      </c>
      <c r="H23" s="963"/>
      <c r="I23" s="963"/>
      <c r="J23" s="963"/>
      <c r="K23" s="964"/>
    </row>
    <row r="24" spans="1:33" s="970" customFormat="1" ht="13.5" customHeight="1">
      <c r="A24" s="956" t="s">
        <v>2496</v>
      </c>
      <c r="B24" s="980" t="s">
        <v>2497</v>
      </c>
      <c r="C24" s="319">
        <f>ROUND(F24/(1+'数据-取费表'!C42),4)</f>
        <v>2.9000000000000001E-2</v>
      </c>
      <c r="D24" s="320" t="s">
        <v>15</v>
      </c>
      <c r="E24" s="320"/>
      <c r="F24" s="983">
        <f>IF(项目基本情况!B8="出让",0,'数据-取费表'!B48+'数据-取费表'!B49)</f>
        <v>3.0499999999999999E-2</v>
      </c>
      <c r="G24" s="8" t="s">
        <v>2498</v>
      </c>
      <c r="H24" s="985"/>
      <c r="I24" s="985"/>
      <c r="J24" s="985"/>
      <c r="K24" s="986"/>
    </row>
    <row r="25" spans="1:33" s="970" customFormat="1" ht="13.5" customHeight="1">
      <c r="A25" s="956" t="s">
        <v>2499</v>
      </c>
      <c r="B25" s="982" t="s">
        <v>2500</v>
      </c>
      <c r="C25" s="1351">
        <f ca="1">C27</f>
        <v>2494</v>
      </c>
      <c r="D25" s="319">
        <f ca="1">C26</f>
        <v>9.8000000000000004E-2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2501</v>
      </c>
      <c r="C26" s="1352">
        <f ca="1">ROUND(IF('数据-取费表'!B22&lt;=1,(1+C24)*F25*'数据-取费表'!B24,(1+C24)*(POWER((1+F25),'数据-取费表'!B24)-1)),4)</f>
        <v>9.8000000000000004E-2</v>
      </c>
      <c r="D26" s="323"/>
      <c r="E26" s="324"/>
      <c r="F26" s="325"/>
      <c r="G26" s="2545"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2502</v>
      </c>
      <c r="C27" s="1353">
        <f ca="1">ROUND(IF('数据-取费表'!B22&lt;=1,(C21+C22+C23)*F25*'数据-取费表'!B24/2,(C21+C22+C23)*(POWER((1+F25),'数据-取费表'!B24/2)-1)),0)</f>
        <v>2494</v>
      </c>
      <c r="D27" s="323"/>
      <c r="E27" s="324"/>
      <c r="F27" s="325"/>
      <c r="G27" s="2545" t="str">
        <f>IF('数据-取费表'!B22&lt;=1,"（1）-（3）项×年利率×建设期÷2","（1）-（3）项×((1+年利率)^(建设期÷2)-1)")</f>
        <v>（1）-（3）项×((1+年利率)^(建设期÷2)-1)</v>
      </c>
      <c r="H27" s="974"/>
      <c r="I27" s="974"/>
      <c r="J27" s="974"/>
      <c r="K27" s="975"/>
    </row>
    <row r="28" spans="1:33" s="328" customFormat="1" ht="13.5" customHeight="1">
      <c r="A28" s="956" t="s">
        <v>2503</v>
      </c>
      <c r="B28" s="2546" t="s">
        <v>2504</v>
      </c>
      <c r="C28" s="326">
        <f ca="1">C30</f>
        <v>6433</v>
      </c>
      <c r="D28" s="319">
        <f ca="1">C29</f>
        <v>9.6799999999999997E-2</v>
      </c>
      <c r="E28" s="321" t="s">
        <v>15</v>
      </c>
      <c r="F28" s="327">
        <f ca="1">IF(C1="",'数据-取费表'!Q16,INDIRECT("'数据-取费表'!q"&amp;$K$1))</f>
        <v>0.12</v>
      </c>
      <c r="G28" s="984"/>
      <c r="H28" s="985"/>
      <c r="I28" s="985"/>
      <c r="J28" s="985"/>
      <c r="K28" s="986"/>
    </row>
    <row r="29" spans="1:33" s="330" customFormat="1" ht="13.5" customHeight="1">
      <c r="A29" s="966" t="s">
        <v>803</v>
      </c>
      <c r="B29" s="989" t="s">
        <v>2505</v>
      </c>
      <c r="C29" s="323">
        <f ca="1">ROUND((1+C24)*F28*'数据-取费表'!B24/'数据-取费表'!B20,4)</f>
        <v>9.6799999999999997E-2</v>
      </c>
      <c r="D29" s="323"/>
      <c r="E29" s="324"/>
      <c r="F29" s="329"/>
      <c r="G29" s="135" t="s">
        <v>2506</v>
      </c>
      <c r="H29" s="974"/>
      <c r="I29" s="974"/>
      <c r="J29" s="974"/>
      <c r="K29" s="975"/>
    </row>
    <row r="30" spans="1:33" s="330" customFormat="1" ht="13.5" customHeight="1">
      <c r="A30" s="966" t="s">
        <v>804</v>
      </c>
      <c r="B30" s="989" t="s">
        <v>2507</v>
      </c>
      <c r="C30" s="331">
        <f ca="1">ROUND((C21+C22+C23)*F28,0)</f>
        <v>6433</v>
      </c>
      <c r="D30" s="323"/>
      <c r="E30" s="324"/>
      <c r="F30" s="329"/>
      <c r="G30" s="135"/>
      <c r="H30" s="974"/>
      <c r="I30" s="974"/>
      <c r="J30" s="974"/>
      <c r="K30" s="975"/>
    </row>
    <row r="31" spans="1:33" s="970" customFormat="1" ht="13.5" customHeight="1" thickBot="1">
      <c r="A31" s="2547" t="s">
        <v>2508</v>
      </c>
      <c r="B31" s="1000" t="s">
        <v>2509</v>
      </c>
      <c r="C31" s="1001">
        <f ca="1">ROUND(C4*F31/(1+'数据-取费表'!C42),0)</f>
        <v>24064</v>
      </c>
      <c r="D31" s="1002"/>
      <c r="E31" s="1003"/>
      <c r="F31" s="1004">
        <f>'数据-取费表'!B41</f>
        <v>5.5000000000000007E-2</v>
      </c>
      <c r="G31" s="1005" t="s">
        <v>2510</v>
      </c>
      <c r="H31" s="1006"/>
      <c r="I31" s="1006"/>
      <c r="J31" s="1006"/>
      <c r="K31" s="1007"/>
    </row>
    <row r="32" spans="1:33" s="965" customFormat="1" ht="13.5" customHeight="1" thickBot="1">
      <c r="A32" s="995" t="s">
        <v>2511</v>
      </c>
      <c r="B32" s="996"/>
      <c r="C32" s="997">
        <f ca="1">ROUND((C4-C21-C22-C23-C25-C28-C31)/(1+C24+D25+D28),0)</f>
        <v>304619</v>
      </c>
      <c r="D32" s="996"/>
      <c r="E32" s="996"/>
      <c r="F32" s="996"/>
      <c r="G32" s="998" t="s">
        <v>2512</v>
      </c>
      <c r="H32" s="996"/>
      <c r="I32" s="996"/>
      <c r="J32" s="996"/>
      <c r="K32" s="99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398" customWidth="1"/>
    <col min="2" max="2" width="15.90625" style="398" customWidth="1"/>
    <col min="3" max="3" width="15.08984375" style="398" customWidth="1"/>
    <col min="4" max="4" width="12.08984375" style="398" customWidth="1"/>
    <col min="5" max="5" width="15.6328125" style="398" customWidth="1"/>
    <col min="6" max="6" width="12.08984375" style="398" customWidth="1"/>
    <col min="7" max="7" width="16" style="398" customWidth="1"/>
    <col min="8" max="8" width="12.08984375" style="398" customWidth="1"/>
    <col min="9" max="9" width="16" style="398" customWidth="1"/>
    <col min="10" max="10" width="12.08984375" style="398" customWidth="1"/>
    <col min="11" max="11" width="12.08984375" style="490" customWidth="1"/>
    <col min="12" max="12" width="12.08984375" style="491" customWidth="1"/>
    <col min="13" max="15" width="12.08984375" style="398" customWidth="1"/>
    <col min="16" max="16" width="4.90625" style="2610"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2522</v>
      </c>
      <c r="B1" s="2569" t="s">
        <v>2523</v>
      </c>
      <c r="C1" s="1629" t="s">
        <v>2524</v>
      </c>
      <c r="D1" s="1616" t="s">
        <v>3080</v>
      </c>
      <c r="E1" s="2570"/>
      <c r="F1" s="2571" t="s">
        <v>2525</v>
      </c>
      <c r="G1" s="1626" t="s">
        <v>2526</v>
      </c>
      <c r="H1" s="1625"/>
      <c r="I1" s="1625"/>
      <c r="J1" s="1625"/>
      <c r="K1" s="1627"/>
      <c r="L1" s="1628"/>
      <c r="M1" s="1629"/>
      <c r="N1" s="1629"/>
      <c r="O1" s="1629"/>
      <c r="P1" s="2572"/>
      <c r="Q1" s="1615"/>
      <c r="R1" s="1615"/>
      <c r="S1" s="1615"/>
      <c r="T1" s="1615"/>
      <c r="U1" s="1615"/>
      <c r="V1" s="1615"/>
      <c r="W1" s="1615"/>
      <c r="X1" s="1615"/>
      <c r="Y1" s="1615"/>
      <c r="Z1" s="1615"/>
      <c r="AA1" s="1615"/>
      <c r="AB1" s="1615"/>
      <c r="AC1" s="1623"/>
    </row>
    <row r="2" spans="1:29" s="388" customFormat="1" ht="28.5" customHeight="1" thickTop="1">
      <c r="A2" s="1612" t="s">
        <v>1388</v>
      </c>
      <c r="B2" s="1413">
        <f>IF(C2="——",ROUND(C49*D3/10000,0),ROUND(C49*D3/10000,0)-D2)</f>
        <v>324571</v>
      </c>
      <c r="C2" s="2573" t="s">
        <v>70</v>
      </c>
      <c r="D2" s="1360" t="e">
        <f ca="1">SUMIF(INDIRECT("'"&amp;F2&amp;"'"&amp;"!A:A"),"承租人权益价值",INDIRECT("'"&amp;F2&amp;"'"&amp;"!c:c"))</f>
        <v>#REF!</v>
      </c>
      <c r="E2" s="2574" t="s">
        <v>2527</v>
      </c>
      <c r="F2" s="2575"/>
      <c r="G2" s="1119"/>
      <c r="H2" s="1119"/>
      <c r="I2" s="1119"/>
      <c r="J2" s="1119"/>
      <c r="K2" s="2576"/>
      <c r="L2" s="2577"/>
      <c r="M2" s="2578"/>
      <c r="N2" s="2578"/>
      <c r="O2" s="2578"/>
      <c r="P2" s="2579"/>
      <c r="Q2" s="2580"/>
      <c r="R2" s="2580"/>
      <c r="S2" s="2580"/>
      <c r="T2" s="2580"/>
      <c r="U2" s="2580"/>
      <c r="V2" s="2580"/>
      <c r="W2" s="2580"/>
      <c r="X2" s="2580"/>
      <c r="Y2" s="2580"/>
      <c r="Z2" s="2580"/>
      <c r="AA2" s="2580"/>
      <c r="AB2" s="2580"/>
      <c r="AC2" s="2581"/>
    </row>
    <row r="3" spans="1:29" s="388" customFormat="1" ht="28.5" customHeight="1" thickBot="1">
      <c r="A3" s="242" t="s">
        <v>1389</v>
      </c>
      <c r="B3" s="394">
        <f>IF(C2="——",C49,ROUND(B2*10000/D3,0))</f>
        <v>35545</v>
      </c>
      <c r="C3" s="395" t="s">
        <v>2528</v>
      </c>
      <c r="D3" s="394">
        <f>IF(D1="",'数据-汇总表'!E3,SUMIF('数据-汇总表'!$C19:$C33,D1,'数据-汇总表'!$E19:$E33))</f>
        <v>91312.59</v>
      </c>
      <c r="E3" s="1119"/>
      <c r="F3" s="2582"/>
      <c r="G3" s="1119"/>
      <c r="H3" s="1119"/>
      <c r="I3" s="1119"/>
      <c r="J3" s="1119"/>
      <c r="K3" s="2576"/>
      <c r="L3" s="2577"/>
      <c r="M3" s="2578"/>
      <c r="N3" s="2578"/>
      <c r="O3" s="2578"/>
      <c r="P3" s="2579"/>
      <c r="Q3" s="2580"/>
      <c r="R3" s="2580"/>
      <c r="S3" s="2580"/>
      <c r="T3" s="2580"/>
      <c r="U3" s="2580"/>
      <c r="V3" s="2580"/>
      <c r="W3" s="2580"/>
      <c r="X3" s="2580"/>
      <c r="Y3" s="2580"/>
      <c r="Z3" s="2580"/>
      <c r="AA3" s="2580"/>
      <c r="AB3" s="2580"/>
      <c r="AC3" s="1277"/>
    </row>
    <row r="4" spans="1:29">
      <c r="A4" s="396" t="s">
        <v>2529</v>
      </c>
      <c r="B4" s="397"/>
      <c r="C4" s="3234" t="s">
        <v>2530</v>
      </c>
      <c r="D4" s="3247"/>
      <c r="E4" s="3248" t="s">
        <v>2531</v>
      </c>
      <c r="F4" s="3249"/>
      <c r="G4" s="3234" t="s">
        <v>2532</v>
      </c>
      <c r="H4" s="3247"/>
      <c r="I4" s="3234" t="s">
        <v>2533</v>
      </c>
      <c r="J4" s="3247"/>
      <c r="K4" s="2583" t="s">
        <v>2534</v>
      </c>
      <c r="L4" s="1125"/>
      <c r="M4" s="1126"/>
      <c r="N4" s="1126"/>
      <c r="O4" s="1126"/>
      <c r="P4" s="3250" t="s">
        <v>2535</v>
      </c>
      <c r="Q4" s="3251"/>
      <c r="R4" s="3256" t="s">
        <v>2531</v>
      </c>
      <c r="S4" s="3257"/>
      <c r="T4" s="3256" t="s">
        <v>2532</v>
      </c>
      <c r="U4" s="3257"/>
      <c r="V4" s="3243" t="s">
        <v>2533</v>
      </c>
      <c r="W4" s="3243"/>
      <c r="X4" s="1808"/>
      <c r="Y4" s="3256" t="s">
        <v>2535</v>
      </c>
      <c r="Z4" s="3257"/>
      <c r="AA4" s="3244" t="s">
        <v>2531</v>
      </c>
      <c r="AB4" s="3244" t="s">
        <v>2532</v>
      </c>
      <c r="AC4" s="3244" t="s">
        <v>2533</v>
      </c>
    </row>
    <row r="5" spans="1:29">
      <c r="A5" s="399"/>
      <c r="B5" s="400"/>
      <c r="C5" s="3264" t="s">
        <v>2536</v>
      </c>
      <c r="D5" s="3265"/>
      <c r="E5" s="3282" t="s">
        <v>3280</v>
      </c>
      <c r="F5" s="3272"/>
      <c r="G5" s="3281" t="s">
        <v>3281</v>
      </c>
      <c r="H5" s="3265"/>
      <c r="I5" s="3281" t="s">
        <v>3282</v>
      </c>
      <c r="J5" s="3265"/>
      <c r="K5" s="2584"/>
      <c r="L5" s="1125"/>
      <c r="M5" s="1126"/>
      <c r="N5" s="1126"/>
      <c r="O5" s="1126"/>
      <c r="P5" s="3252"/>
      <c r="Q5" s="3253"/>
      <c r="R5" s="3258"/>
      <c r="S5" s="3259"/>
      <c r="T5" s="3258"/>
      <c r="U5" s="3259"/>
      <c r="V5" s="3243"/>
      <c r="W5" s="3243"/>
      <c r="X5" s="1808"/>
      <c r="Y5" s="3258"/>
      <c r="Z5" s="3259"/>
      <c r="AA5" s="3245"/>
      <c r="AB5" s="3245"/>
      <c r="AC5" s="3245"/>
    </row>
    <row r="6" spans="1:29" ht="15" thickBot="1">
      <c r="A6" s="401"/>
      <c r="B6" s="402"/>
      <c r="C6" s="3262" t="s">
        <v>2540</v>
      </c>
      <c r="D6" s="3263"/>
      <c r="E6" s="3269" t="s">
        <v>2540</v>
      </c>
      <c r="F6" s="3270"/>
      <c r="G6" s="3262" t="s">
        <v>2540</v>
      </c>
      <c r="H6" s="3263"/>
      <c r="I6" s="3262" t="s">
        <v>2540</v>
      </c>
      <c r="J6" s="3263"/>
      <c r="K6" s="2584" t="s">
        <v>2541</v>
      </c>
      <c r="L6" s="1125"/>
      <c r="M6" s="1126"/>
      <c r="N6" s="1126"/>
      <c r="O6" s="1126"/>
      <c r="P6" s="3254"/>
      <c r="Q6" s="3255"/>
      <c r="R6" s="3258"/>
      <c r="S6" s="3259"/>
      <c r="T6" s="3260"/>
      <c r="U6" s="3261"/>
      <c r="V6" s="3243"/>
      <c r="W6" s="3243"/>
      <c r="X6" s="1808"/>
      <c r="Y6" s="3260"/>
      <c r="Z6" s="3261"/>
      <c r="AA6" s="3246"/>
      <c r="AB6" s="3246"/>
      <c r="AC6" s="3246"/>
    </row>
    <row r="7" spans="1:29" s="114" customFormat="1" ht="14.5" thickBot="1">
      <c r="A7" s="403" t="s">
        <v>2542</v>
      </c>
      <c r="B7" s="404"/>
      <c r="C7" s="405">
        <f>'数据-取费表'!B2</f>
        <v>43903</v>
      </c>
      <c r="D7" s="406">
        <v>100</v>
      </c>
      <c r="E7" s="407">
        <f>C7</f>
        <v>43903</v>
      </c>
      <c r="F7" s="408">
        <f>SUMIF(58:58,YEAR(E7)&amp;"-"&amp;MONTH(E7),59:59)</f>
        <v>100</v>
      </c>
      <c r="G7" s="407">
        <f>C7</f>
        <v>43903</v>
      </c>
      <c r="H7" s="406">
        <f>SUMIF(58:58,YEAR(G7)&amp;"-"&amp;MONTH(G7),59:59)</f>
        <v>100</v>
      </c>
      <c r="I7" s="407">
        <f>C7</f>
        <v>43903</v>
      </c>
      <c r="J7" s="406">
        <f>SUMIF(58:58,YEAR(I7)&amp;"-"&amp;MONTH(I7),59:59)</f>
        <v>100</v>
      </c>
      <c r="K7" s="2585"/>
      <c r="L7" s="1127"/>
      <c r="M7" s="1128"/>
      <c r="N7" s="1128"/>
      <c r="O7" s="1128"/>
      <c r="P7" s="3266" t="s">
        <v>2543</v>
      </c>
      <c r="Q7" s="3268"/>
      <c r="R7" s="765" t="s">
        <v>23</v>
      </c>
      <c r="S7" s="766">
        <f t="shared" ref="S7:S15" si="0">F7</f>
        <v>100</v>
      </c>
      <c r="T7" s="765" t="s">
        <v>23</v>
      </c>
      <c r="U7" s="766">
        <f t="shared" ref="U7:U15" si="1">H7</f>
        <v>100</v>
      </c>
      <c r="V7" s="765" t="s">
        <v>23</v>
      </c>
      <c r="W7" s="766">
        <f t="shared" ref="W7:W15" si="2">J7</f>
        <v>100</v>
      </c>
      <c r="X7" s="767"/>
      <c r="Y7" s="3266" t="s">
        <v>2543</v>
      </c>
      <c r="Z7" s="3267"/>
      <c r="AA7" s="768">
        <f>D7/F7</f>
        <v>1</v>
      </c>
      <c r="AB7" s="768">
        <f>D7/H7</f>
        <v>1</v>
      </c>
      <c r="AC7" s="768">
        <f>D7/J7</f>
        <v>1</v>
      </c>
    </row>
    <row r="8" spans="1:29" s="114" customFormat="1" ht="14.5" thickBot="1">
      <c r="A8" s="403" t="s">
        <v>2544</v>
      </c>
      <c r="B8" s="404"/>
      <c r="C8" s="409" t="s">
        <v>2545</v>
      </c>
      <c r="D8" s="406">
        <v>100</v>
      </c>
      <c r="E8" s="2586" t="s">
        <v>3110</v>
      </c>
      <c r="F8" s="408">
        <f>SUMIF(61:61,E8,62:62)-SUMIF(61:61,C8,62:62)+100</f>
        <v>100</v>
      </c>
      <c r="G8" s="409" t="s">
        <v>3110</v>
      </c>
      <c r="H8" s="406">
        <f>SUMIF(61:61,G8,62:62)-SUMIF(61:61,C8,62:62)+100</f>
        <v>100</v>
      </c>
      <c r="I8" s="2586" t="s">
        <v>3110</v>
      </c>
      <c r="J8" s="406">
        <f>SUMIF(61:61,I8,62:62)-SUMIF(61:61,C8,62:62)+100</f>
        <v>100</v>
      </c>
      <c r="K8" s="2585"/>
      <c r="L8" s="1127"/>
      <c r="M8" s="1128"/>
      <c r="N8" s="1128"/>
      <c r="O8" s="1128"/>
      <c r="P8" s="3266" t="s">
        <v>2546</v>
      </c>
      <c r="Q8" s="3267"/>
      <c r="R8" s="765" t="s">
        <v>23</v>
      </c>
      <c r="S8" s="766">
        <f t="shared" si="0"/>
        <v>100</v>
      </c>
      <c r="T8" s="765" t="s">
        <v>23</v>
      </c>
      <c r="U8" s="766">
        <f t="shared" si="1"/>
        <v>100</v>
      </c>
      <c r="V8" s="765" t="s">
        <v>23</v>
      </c>
      <c r="W8" s="766">
        <f t="shared" si="2"/>
        <v>100</v>
      </c>
      <c r="X8" s="767"/>
      <c r="Y8" s="3266" t="s">
        <v>2546</v>
      </c>
      <c r="Z8" s="3267"/>
      <c r="AA8" s="768">
        <f t="shared" ref="AA8:AA19" si="3">D8/F8</f>
        <v>1</v>
      </c>
      <c r="AB8" s="768">
        <f t="shared" ref="AB8:AB19" si="4">D8/H8</f>
        <v>1</v>
      </c>
      <c r="AC8" s="768">
        <f t="shared" ref="AC8:AC19" si="5">D8/J8</f>
        <v>1</v>
      </c>
    </row>
    <row r="9" spans="1:29" s="114" customFormat="1">
      <c r="A9" s="410" t="s">
        <v>2547</v>
      </c>
      <c r="B9" s="68" t="s">
        <v>2548</v>
      </c>
      <c r="C9" s="2975" t="s">
        <v>3283</v>
      </c>
      <c r="D9" s="130">
        <v>100</v>
      </c>
      <c r="E9" s="412" t="s">
        <v>3071</v>
      </c>
      <c r="F9" s="413">
        <f>SUMIF(63:63,E9,64:64)-SUMIF(63:63,C9,64:64)+100</f>
        <v>100</v>
      </c>
      <c r="G9" s="414" t="s">
        <v>3071</v>
      </c>
      <c r="H9" s="130">
        <f>SUMIF(63:63,G9,64:64)-SUMIF(63:63,C9,64:64)+100</f>
        <v>100</v>
      </c>
      <c r="I9" s="414" t="s">
        <v>3071</v>
      </c>
      <c r="J9" s="130">
        <f>SUMIF(63:63,I9,64:64)-SUMIF(63:63,C9,64:64)+100</f>
        <v>100</v>
      </c>
      <c r="K9" s="2585"/>
      <c r="L9" s="1127"/>
      <c r="M9" s="1128"/>
      <c r="N9" s="1128"/>
      <c r="O9" s="1128"/>
      <c r="P9" s="3236" t="s">
        <v>2549</v>
      </c>
      <c r="Q9" s="1790" t="str">
        <f t="shared" ref="Q9:Q15" si="6">B9</f>
        <v>用途</v>
      </c>
      <c r="R9" s="765" t="s">
        <v>17</v>
      </c>
      <c r="S9" s="766">
        <f t="shared" si="0"/>
        <v>100</v>
      </c>
      <c r="T9" s="765" t="s">
        <v>17</v>
      </c>
      <c r="U9" s="766">
        <f t="shared" si="1"/>
        <v>100</v>
      </c>
      <c r="V9" s="765" t="s">
        <v>17</v>
      </c>
      <c r="W9" s="766">
        <f t="shared" si="2"/>
        <v>100</v>
      </c>
      <c r="X9" s="767"/>
      <c r="Y9" s="3085" t="s">
        <v>2550</v>
      </c>
      <c r="Z9" s="52" t="str">
        <f t="shared" ref="Z9:Z15" si="7">Q9</f>
        <v>用途</v>
      </c>
      <c r="AA9" s="768">
        <f t="shared" si="3"/>
        <v>1</v>
      </c>
      <c r="AB9" s="768">
        <f t="shared" si="4"/>
        <v>1</v>
      </c>
      <c r="AC9" s="768">
        <f t="shared" si="5"/>
        <v>1</v>
      </c>
    </row>
    <row r="10" spans="1:29" s="422" customFormat="1" ht="28">
      <c r="A10" s="416"/>
      <c r="B10" s="417" t="s">
        <v>2551</v>
      </c>
      <c r="C10" s="418" t="s">
        <v>3284</v>
      </c>
      <c r="D10" s="131">
        <v>100</v>
      </c>
      <c r="E10" s="419" t="s">
        <v>3284</v>
      </c>
      <c r="F10" s="420">
        <f>SUMIF(65:65,E10,66:66)-SUMIF(65:65,C10,66:66)+100</f>
        <v>100</v>
      </c>
      <c r="G10" s="418" t="s">
        <v>3284</v>
      </c>
      <c r="H10" s="131">
        <f>SUMIF(65:65,G10,66:66)-SUMIF(65:65,C10,66:66)+100</f>
        <v>100</v>
      </c>
      <c r="I10" s="418" t="s">
        <v>3284</v>
      </c>
      <c r="J10" s="131">
        <f>SUMIF(65:65,I10,66:66)-SUMIF(65:65,C10,66:66)+100</f>
        <v>100</v>
      </c>
      <c r="K10" s="421">
        <v>2</v>
      </c>
      <c r="L10" s="1130"/>
      <c r="M10" s="1131"/>
      <c r="N10" s="1131"/>
      <c r="O10" s="1131"/>
      <c r="P10" s="3236"/>
      <c r="Q10" s="1790" t="str">
        <f t="shared" si="6"/>
        <v>土地使用年限（年）</v>
      </c>
      <c r="R10" s="765" t="s">
        <v>17</v>
      </c>
      <c r="S10" s="766">
        <f t="shared" si="0"/>
        <v>100</v>
      </c>
      <c r="T10" s="765" t="s">
        <v>17</v>
      </c>
      <c r="U10" s="766">
        <f t="shared" si="1"/>
        <v>100</v>
      </c>
      <c r="V10" s="765" t="s">
        <v>17</v>
      </c>
      <c r="W10" s="766">
        <f t="shared" si="2"/>
        <v>100</v>
      </c>
      <c r="X10" s="767"/>
      <c r="Y10" s="3085"/>
      <c r="Z10" s="52" t="str">
        <f t="shared" si="7"/>
        <v>土地使用年限（年）</v>
      </c>
      <c r="AA10" s="768">
        <f t="shared" si="3"/>
        <v>1</v>
      </c>
      <c r="AB10" s="768">
        <f t="shared" si="4"/>
        <v>1</v>
      </c>
      <c r="AC10" s="768">
        <f t="shared" si="5"/>
        <v>1</v>
      </c>
    </row>
    <row r="11" spans="1:29" ht="16" thickBot="1">
      <c r="A11" s="423"/>
      <c r="B11" s="417" t="s">
        <v>2552</v>
      </c>
      <c r="C11" s="424">
        <f>'数据-汇总表'!I4</f>
        <v>1.18</v>
      </c>
      <c r="D11" s="131">
        <v>100</v>
      </c>
      <c r="E11" s="425">
        <v>1.2</v>
      </c>
      <c r="F11" s="420">
        <f>LOOKUP(E11,68:68,69:69)-LOOKUP(C11,68:68,69:69)+100</f>
        <v>100</v>
      </c>
      <c r="G11" s="424">
        <v>2.6</v>
      </c>
      <c r="H11" s="131">
        <f>LOOKUP(G11,68:68,69:69)-LOOKUP(C11,68:68,69:69)+100</f>
        <v>98</v>
      </c>
      <c r="I11" s="424">
        <v>2.4700000000000002</v>
      </c>
      <c r="J11" s="131">
        <f>LOOKUP(I11,68:68,69:69)-LOOKUP(C11,68:68,69:69)+100</f>
        <v>98</v>
      </c>
      <c r="K11" s="421">
        <v>2</v>
      </c>
      <c r="L11" s="1133"/>
      <c r="M11" s="1126"/>
      <c r="N11" s="1126"/>
      <c r="O11" s="1126"/>
      <c r="P11" s="3236"/>
      <c r="Q11" s="1790" t="str">
        <f t="shared" si="6"/>
        <v>容积率</v>
      </c>
      <c r="R11" s="765" t="s">
        <v>21</v>
      </c>
      <c r="S11" s="766">
        <f t="shared" si="0"/>
        <v>100</v>
      </c>
      <c r="T11" s="765" t="s">
        <v>21</v>
      </c>
      <c r="U11" s="766">
        <f t="shared" si="1"/>
        <v>98</v>
      </c>
      <c r="V11" s="765" t="s">
        <v>21</v>
      </c>
      <c r="W11" s="766">
        <f t="shared" si="2"/>
        <v>98</v>
      </c>
      <c r="X11" s="767"/>
      <c r="Y11" s="3085"/>
      <c r="Z11" s="52" t="str">
        <f t="shared" si="7"/>
        <v>容积率</v>
      </c>
      <c r="AA11" s="768">
        <f t="shared" si="3"/>
        <v>1</v>
      </c>
      <c r="AB11" s="768">
        <f t="shared" si="4"/>
        <v>1.0204081632653061</v>
      </c>
      <c r="AC11" s="768">
        <f t="shared" si="5"/>
        <v>1.0204081632653061</v>
      </c>
    </row>
    <row r="12" spans="1:29" s="114" customFormat="1" ht="15.5" hidden="1">
      <c r="A12" s="426"/>
      <c r="B12" s="2587">
        <v>111</v>
      </c>
      <c r="C12" s="427"/>
      <c r="D12" s="428">
        <v>100</v>
      </c>
      <c r="E12" s="427"/>
      <c r="F12" s="420">
        <f>SUMIF(70:70,E12,71:71)-SUMIF(70:70,C12,71:71)+100</f>
        <v>100</v>
      </c>
      <c r="G12" s="427"/>
      <c r="H12" s="131">
        <f>SUMIF(70:70,G12,71:71)-SUMIF(70:70,C12,71:71)+100</f>
        <v>100</v>
      </c>
      <c r="I12" s="427"/>
      <c r="J12" s="131">
        <f>SUMIF(70:70,I12,71:71)-SUMIF(70:70,C12,71:71)+100</f>
        <v>100</v>
      </c>
      <c r="K12" s="2588"/>
      <c r="L12" s="1127"/>
      <c r="M12" s="1128"/>
      <c r="N12" s="1128"/>
      <c r="O12" s="1128"/>
      <c r="P12" s="3236"/>
      <c r="Q12" s="1790">
        <f t="shared" si="6"/>
        <v>111</v>
      </c>
      <c r="R12" s="765" t="s">
        <v>21</v>
      </c>
      <c r="S12" s="766">
        <f t="shared" si="0"/>
        <v>100</v>
      </c>
      <c r="T12" s="765" t="s">
        <v>21</v>
      </c>
      <c r="U12" s="766">
        <f t="shared" si="1"/>
        <v>100</v>
      </c>
      <c r="V12" s="765" t="s">
        <v>21</v>
      </c>
      <c r="W12" s="766">
        <f t="shared" si="2"/>
        <v>100</v>
      </c>
      <c r="X12" s="767"/>
      <c r="Y12" s="3085"/>
      <c r="Z12" s="52">
        <f t="shared" si="7"/>
        <v>111</v>
      </c>
      <c r="AA12" s="768">
        <f>D12/F12</f>
        <v>1</v>
      </c>
      <c r="AB12" s="768">
        <f>D12/H12</f>
        <v>1</v>
      </c>
      <c r="AC12" s="768">
        <f>D12/J12</f>
        <v>1</v>
      </c>
    </row>
    <row r="13" spans="1:29" ht="15.5" hidden="1">
      <c r="A13" s="423"/>
      <c r="B13" s="2587">
        <v>111</v>
      </c>
      <c r="C13" s="429"/>
      <c r="D13" s="430">
        <v>100</v>
      </c>
      <c r="E13" s="429"/>
      <c r="F13" s="420">
        <f>SUMIF(72:72,E13,73:73)-SUMIF(72:72,C13,73:73)+100</f>
        <v>100</v>
      </c>
      <c r="G13" s="429"/>
      <c r="H13" s="430">
        <f>SUMIF(72:72,G13,73:73)-SUMIF(72:72,C13,73:73)+100</f>
        <v>100</v>
      </c>
      <c r="I13" s="429"/>
      <c r="J13" s="430">
        <f>SUMIF(72:72,I13,73:73)-SUMIF(72:72,C13,73:73)+100</f>
        <v>100</v>
      </c>
      <c r="K13" s="2588"/>
      <c r="L13" s="1135"/>
      <c r="M13" s="1126"/>
      <c r="N13" s="1126"/>
      <c r="O13" s="1126"/>
      <c r="P13" s="3236"/>
      <c r="Q13" s="1790">
        <f t="shared" si="6"/>
        <v>111</v>
      </c>
      <c r="R13" s="765" t="s">
        <v>21</v>
      </c>
      <c r="S13" s="766">
        <f t="shared" si="0"/>
        <v>100</v>
      </c>
      <c r="T13" s="765" t="s">
        <v>21</v>
      </c>
      <c r="U13" s="766">
        <f t="shared" si="1"/>
        <v>100</v>
      </c>
      <c r="V13" s="765" t="s">
        <v>21</v>
      </c>
      <c r="W13" s="766">
        <f t="shared" si="2"/>
        <v>100</v>
      </c>
      <c r="X13" s="767"/>
      <c r="Y13" s="3085"/>
      <c r="Z13" s="52">
        <f t="shared" si="7"/>
        <v>111</v>
      </c>
      <c r="AA13" s="768">
        <f t="shared" si="3"/>
        <v>1</v>
      </c>
      <c r="AB13" s="768">
        <f t="shared" si="4"/>
        <v>1</v>
      </c>
      <c r="AC13" s="768">
        <f t="shared" si="5"/>
        <v>1</v>
      </c>
    </row>
    <row r="14" spans="1:29" ht="16" hidden="1" thickBot="1">
      <c r="A14" s="431"/>
      <c r="B14" s="2589">
        <v>111</v>
      </c>
      <c r="C14" s="432"/>
      <c r="D14" s="433">
        <v>100</v>
      </c>
      <c r="E14" s="432"/>
      <c r="F14" s="434">
        <f>SUMIF(74:74,E14,75:75)-SUMIF(74:74,C14,75:75)+100</f>
        <v>100</v>
      </c>
      <c r="G14" s="432"/>
      <c r="H14" s="433">
        <f>SUMIF(74:74,G14,75:75)-SUMIF(74:74,C14,75:75)+100</f>
        <v>100</v>
      </c>
      <c r="I14" s="432"/>
      <c r="J14" s="433">
        <f>SUMIF(74:74,I14,75:75)-SUMIF(74:74,C14,75:75)+100</f>
        <v>100</v>
      </c>
      <c r="K14" s="2588"/>
      <c r="L14" s="1135"/>
      <c r="M14" s="1126"/>
      <c r="N14" s="1126"/>
      <c r="O14" s="1126"/>
      <c r="P14" s="3236"/>
      <c r="Q14" s="1790">
        <f t="shared" si="6"/>
        <v>111</v>
      </c>
      <c r="R14" s="765" t="s">
        <v>21</v>
      </c>
      <c r="S14" s="766">
        <f t="shared" si="0"/>
        <v>100</v>
      </c>
      <c r="T14" s="765" t="s">
        <v>21</v>
      </c>
      <c r="U14" s="766">
        <f t="shared" si="1"/>
        <v>100</v>
      </c>
      <c r="V14" s="765" t="s">
        <v>21</v>
      </c>
      <c r="W14" s="766">
        <f t="shared" si="2"/>
        <v>100</v>
      </c>
      <c r="X14" s="767"/>
      <c r="Y14" s="3085"/>
      <c r="Z14" s="52">
        <f t="shared" si="7"/>
        <v>111</v>
      </c>
      <c r="AA14" s="768">
        <f t="shared" si="3"/>
        <v>1</v>
      </c>
      <c r="AB14" s="768">
        <f t="shared" si="4"/>
        <v>1</v>
      </c>
      <c r="AC14" s="768">
        <f t="shared" si="5"/>
        <v>1</v>
      </c>
    </row>
    <row r="15" spans="1:29" ht="98">
      <c r="A15" s="435" t="s">
        <v>2553</v>
      </c>
      <c r="B15" s="66" t="s">
        <v>2083</v>
      </c>
      <c r="C15" s="2590"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103</v>
      </c>
      <c r="I15" s="437"/>
      <c r="J15" s="436">
        <f>SUMIF(76:76,I16,77:77)-SUMIF(76:76,C16,77:77)+100</f>
        <v>103</v>
      </c>
      <c r="K15" s="440">
        <v>3</v>
      </c>
      <c r="L15" s="1135"/>
      <c r="M15" s="1126"/>
      <c r="N15" s="1126"/>
      <c r="O15" s="1126"/>
      <c r="P15" s="3279" t="s">
        <v>2554</v>
      </c>
      <c r="Q15" s="1805" t="str">
        <f t="shared" si="6"/>
        <v>居住社区成熟度</v>
      </c>
      <c r="R15" s="769" t="s">
        <v>21</v>
      </c>
      <c r="S15" s="770">
        <f t="shared" si="0"/>
        <v>100</v>
      </c>
      <c r="T15" s="769" t="s">
        <v>21</v>
      </c>
      <c r="U15" s="770">
        <f t="shared" si="1"/>
        <v>103</v>
      </c>
      <c r="V15" s="769" t="s">
        <v>21</v>
      </c>
      <c r="W15" s="770">
        <f t="shared" si="2"/>
        <v>103</v>
      </c>
      <c r="X15" s="1808"/>
      <c r="Y15" s="3239" t="s">
        <v>2554</v>
      </c>
      <c r="Z15" s="1809" t="str">
        <f t="shared" si="7"/>
        <v>居住社区成熟度</v>
      </c>
      <c r="AA15" s="1806">
        <f t="shared" si="3"/>
        <v>1</v>
      </c>
      <c r="AB15" s="1806">
        <f t="shared" si="4"/>
        <v>0.970873786407767</v>
      </c>
      <c r="AC15" s="1806">
        <f t="shared" si="5"/>
        <v>0.970873786407767</v>
      </c>
    </row>
    <row r="16" spans="1:29" ht="15.5">
      <c r="A16" s="423"/>
      <c r="B16" s="441"/>
      <c r="C16" s="442" t="s">
        <v>3255</v>
      </c>
      <c r="D16" s="443"/>
      <c r="E16" s="2591" t="s">
        <v>3255</v>
      </c>
      <c r="F16" s="443"/>
      <c r="G16" s="2592" t="s">
        <v>3256</v>
      </c>
      <c r="H16" s="445"/>
      <c r="I16" s="2592" t="s">
        <v>3256</v>
      </c>
      <c r="J16" s="443"/>
      <c r="K16" s="2593"/>
      <c r="L16" s="1135"/>
      <c r="M16" s="1126"/>
      <c r="N16" s="1126"/>
      <c r="O16" s="1126"/>
      <c r="P16" s="3280"/>
      <c r="Q16" s="1805"/>
      <c r="R16" s="769"/>
      <c r="S16" s="770"/>
      <c r="T16" s="769"/>
      <c r="U16" s="770"/>
      <c r="V16" s="769"/>
      <c r="W16" s="770"/>
      <c r="X16" s="1808"/>
      <c r="Y16" s="3240"/>
      <c r="Z16" s="1809"/>
      <c r="AA16" s="1806">
        <v>1</v>
      </c>
      <c r="AB16" s="1806">
        <v>1</v>
      </c>
      <c r="AC16" s="1806">
        <v>1</v>
      </c>
    </row>
    <row r="17" spans="1:29" ht="84">
      <c r="A17" s="423"/>
      <c r="B17" s="446" t="s">
        <v>2095</v>
      </c>
      <c r="C17" s="2594"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103</v>
      </c>
      <c r="I17" s="447"/>
      <c r="J17" s="450">
        <f>SUMIF(78:78,I18,79:79)-SUMIF(78:78,C18,79:79)+100</f>
        <v>103</v>
      </c>
      <c r="K17" s="440">
        <v>3</v>
      </c>
      <c r="L17" s="1135"/>
      <c r="M17" s="1126"/>
      <c r="N17" s="1126"/>
      <c r="O17" s="1126"/>
      <c r="P17" s="3280"/>
      <c r="Q17" s="1805" t="str">
        <f>B17</f>
        <v>交通便捷度</v>
      </c>
      <c r="R17" s="769" t="s">
        <v>21</v>
      </c>
      <c r="S17" s="770">
        <f>F17</f>
        <v>100</v>
      </c>
      <c r="T17" s="769" t="s">
        <v>21</v>
      </c>
      <c r="U17" s="770">
        <f>H17</f>
        <v>103</v>
      </c>
      <c r="V17" s="769" t="s">
        <v>21</v>
      </c>
      <c r="W17" s="770">
        <f>J17</f>
        <v>103</v>
      </c>
      <c r="X17" s="1808"/>
      <c r="Y17" s="3240"/>
      <c r="Z17" s="1809" t="str">
        <f>Q17</f>
        <v>交通便捷度</v>
      </c>
      <c r="AA17" s="1806">
        <f t="shared" si="3"/>
        <v>1</v>
      </c>
      <c r="AB17" s="1806">
        <f t="shared" si="4"/>
        <v>0.970873786407767</v>
      </c>
      <c r="AC17" s="1806">
        <f t="shared" si="5"/>
        <v>0.970873786407767</v>
      </c>
    </row>
    <row r="18" spans="1:29" ht="15.5">
      <c r="A18" s="423"/>
      <c r="B18" s="451"/>
      <c r="C18" s="2595" t="s">
        <v>3255</v>
      </c>
      <c r="D18" s="445"/>
      <c r="E18" s="2596" t="s">
        <v>3255</v>
      </c>
      <c r="F18" s="445"/>
      <c r="G18" s="2597" t="s">
        <v>3256</v>
      </c>
      <c r="H18" s="443"/>
      <c r="I18" s="2597" t="s">
        <v>3256</v>
      </c>
      <c r="J18" s="443"/>
      <c r="K18" s="2593"/>
      <c r="L18" s="1135"/>
      <c r="M18" s="1126"/>
      <c r="N18" s="1126"/>
      <c r="O18" s="1126"/>
      <c r="P18" s="3280"/>
      <c r="Q18" s="1805"/>
      <c r="R18" s="769"/>
      <c r="S18" s="770"/>
      <c r="T18" s="769"/>
      <c r="U18" s="770"/>
      <c r="V18" s="769"/>
      <c r="W18" s="770"/>
      <c r="X18" s="1808"/>
      <c r="Y18" s="3240"/>
      <c r="Z18" s="1809"/>
      <c r="AA18" s="1806">
        <v>1</v>
      </c>
      <c r="AB18" s="1806">
        <v>1</v>
      </c>
      <c r="AC18" s="1806">
        <v>1</v>
      </c>
    </row>
    <row r="19" spans="1:29" ht="42">
      <c r="A19" s="423"/>
      <c r="B19" s="446" t="s">
        <v>2093</v>
      </c>
      <c r="C19" s="2594" t="str">
        <f>估价对象房地状况!C7</f>
        <v>估价对象所在区域公共配套设施齐备情况</v>
      </c>
      <c r="D19" s="450">
        <v>100</v>
      </c>
      <c r="E19" s="454"/>
      <c r="F19" s="450">
        <f>SUMIF(80:80,E20,81:81)-SUMIF(80:80,C20,81:81)+100</f>
        <v>100</v>
      </c>
      <c r="G19" s="452"/>
      <c r="H19" s="445">
        <f>SUMIF(80:80,G20,81:81)-SUMIF(80:80,C20,81:81)+100</f>
        <v>103</v>
      </c>
      <c r="I19" s="452"/>
      <c r="J19" s="445">
        <f>SUMIF(80:80,I20,81:81)-SUMIF(80:80,C20,81:81)+100</f>
        <v>103</v>
      </c>
      <c r="K19" s="440">
        <v>3</v>
      </c>
      <c r="L19" s="1135"/>
      <c r="M19" s="1126"/>
      <c r="N19" s="1126"/>
      <c r="O19" s="1126"/>
      <c r="P19" s="3280"/>
      <c r="Q19" s="1805" t="str">
        <f>B19</f>
        <v>公共配套设施</v>
      </c>
      <c r="R19" s="769" t="s">
        <v>21</v>
      </c>
      <c r="S19" s="770">
        <f>F19</f>
        <v>100</v>
      </c>
      <c r="T19" s="769" t="s">
        <v>21</v>
      </c>
      <c r="U19" s="770">
        <f>H19</f>
        <v>103</v>
      </c>
      <c r="V19" s="769" t="s">
        <v>21</v>
      </c>
      <c r="W19" s="770">
        <f>J19</f>
        <v>103</v>
      </c>
      <c r="X19" s="1808"/>
      <c r="Y19" s="3240"/>
      <c r="Z19" s="1809" t="str">
        <f>Q19</f>
        <v>公共配套设施</v>
      </c>
      <c r="AA19" s="1806">
        <f t="shared" si="3"/>
        <v>1</v>
      </c>
      <c r="AB19" s="1806">
        <f t="shared" si="4"/>
        <v>0.970873786407767</v>
      </c>
      <c r="AC19" s="1806">
        <f t="shared" si="5"/>
        <v>0.970873786407767</v>
      </c>
    </row>
    <row r="20" spans="1:29" ht="15.5">
      <c r="A20" s="423"/>
      <c r="B20" s="451"/>
      <c r="C20" s="442" t="s">
        <v>3255</v>
      </c>
      <c r="D20" s="443"/>
      <c r="E20" s="2591" t="s">
        <v>3255</v>
      </c>
      <c r="F20" s="443"/>
      <c r="G20" s="2592" t="s">
        <v>3256</v>
      </c>
      <c r="H20" s="443"/>
      <c r="I20" s="2592" t="s">
        <v>3256</v>
      </c>
      <c r="J20" s="443"/>
      <c r="K20" s="2593"/>
      <c r="L20" s="1135"/>
      <c r="M20" s="1126"/>
      <c r="N20" s="1126"/>
      <c r="O20" s="1126"/>
      <c r="P20" s="3280"/>
      <c r="Q20" s="1805"/>
      <c r="R20" s="769"/>
      <c r="S20" s="770"/>
      <c r="T20" s="769"/>
      <c r="U20" s="770"/>
      <c r="V20" s="769"/>
      <c r="W20" s="770"/>
      <c r="X20" s="1808"/>
      <c r="Y20" s="3240"/>
      <c r="Z20" s="1809"/>
      <c r="AA20" s="1806">
        <v>1</v>
      </c>
      <c r="AB20" s="1806">
        <v>1</v>
      </c>
      <c r="AC20" s="1806">
        <v>1</v>
      </c>
    </row>
    <row r="21" spans="1:29" ht="28">
      <c r="A21" s="423"/>
      <c r="B21" s="1379" t="s">
        <v>2096</v>
      </c>
      <c r="C21" s="2594"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5"/>
      <c r="M21" s="1126"/>
      <c r="N21" s="1126"/>
      <c r="O21" s="1126"/>
      <c r="P21" s="3280"/>
      <c r="Q21" s="1805" t="str">
        <f>B21</f>
        <v>基础设施水平</v>
      </c>
      <c r="R21" s="769" t="s">
        <v>17</v>
      </c>
      <c r="S21" s="770">
        <f>F21</f>
        <v>100</v>
      </c>
      <c r="T21" s="769" t="s">
        <v>17</v>
      </c>
      <c r="U21" s="770">
        <f>H21</f>
        <v>100</v>
      </c>
      <c r="V21" s="769" t="s">
        <v>17</v>
      </c>
      <c r="W21" s="770">
        <f>J21</f>
        <v>100</v>
      </c>
      <c r="X21" s="1808"/>
      <c r="Y21" s="3240"/>
      <c r="Z21" s="1809" t="str">
        <f>Q21</f>
        <v>基础设施水平</v>
      </c>
      <c r="AA21" s="1806">
        <f t="shared" ref="AA21" si="8">D21/F21</f>
        <v>1</v>
      </c>
      <c r="AB21" s="1806">
        <f t="shared" ref="AB21" si="9">D21/H21</f>
        <v>1</v>
      </c>
      <c r="AC21" s="1806">
        <f t="shared" ref="AC21" si="10">D21/J21</f>
        <v>1</v>
      </c>
    </row>
    <row r="22" spans="1:29" ht="15.5">
      <c r="A22" s="423"/>
      <c r="B22" s="1379"/>
      <c r="C22" s="2595" t="s">
        <v>3257</v>
      </c>
      <c r="D22" s="443"/>
      <c r="E22" s="442" t="s">
        <v>3257</v>
      </c>
      <c r="F22" s="443"/>
      <c r="G22" s="2598" t="s">
        <v>3257</v>
      </c>
      <c r="H22" s="443"/>
      <c r="I22" s="442" t="s">
        <v>3257</v>
      </c>
      <c r="J22" s="443"/>
      <c r="K22" s="2599"/>
      <c r="L22" s="1135"/>
      <c r="M22" s="1126"/>
      <c r="N22" s="1126"/>
      <c r="O22" s="1126"/>
      <c r="P22" s="3280"/>
      <c r="Q22" s="1805"/>
      <c r="R22" s="769"/>
      <c r="S22" s="770"/>
      <c r="T22" s="769"/>
      <c r="U22" s="770"/>
      <c r="V22" s="769"/>
      <c r="W22" s="770"/>
      <c r="X22" s="1808"/>
      <c r="Y22" s="3240"/>
      <c r="Z22" s="1809"/>
      <c r="AA22" s="1806">
        <v>1</v>
      </c>
      <c r="AB22" s="1806">
        <v>1</v>
      </c>
      <c r="AC22" s="1806">
        <v>1</v>
      </c>
    </row>
    <row r="23" spans="1:29" ht="56">
      <c r="A23" s="423"/>
      <c r="B23" s="446" t="s">
        <v>2100</v>
      </c>
      <c r="C23" s="2594" t="str">
        <f>估价对象房地状况!C9</f>
        <v>区域自然环境：；人文环境；综合评价环境状况一般</v>
      </c>
      <c r="D23" s="445">
        <v>100</v>
      </c>
      <c r="E23" s="449"/>
      <c r="F23" s="445">
        <f>SUMIF(84:84,E24,85:85)-SUMIF(84:84,C24,85:85)+100</f>
        <v>100</v>
      </c>
      <c r="G23" s="447"/>
      <c r="H23" s="445">
        <f>SUMIF(84:84,G24,85:85)-SUMIF(84:84,C24,85:85)+100</f>
        <v>100</v>
      </c>
      <c r="I23" s="447"/>
      <c r="J23" s="445">
        <f>SUMIF(84:84,I24,85:85)-SUMIF(84:84,C24,85:85)+100</f>
        <v>100</v>
      </c>
      <c r="K23" s="440">
        <v>2</v>
      </c>
      <c r="L23" s="1135"/>
      <c r="M23" s="1126"/>
      <c r="N23" s="1126"/>
      <c r="O23" s="1126"/>
      <c r="P23" s="3280"/>
      <c r="Q23" s="1805" t="str">
        <f>B23</f>
        <v>自然及人文环境</v>
      </c>
      <c r="R23" s="769" t="s">
        <v>21</v>
      </c>
      <c r="S23" s="770">
        <f>F23</f>
        <v>100</v>
      </c>
      <c r="T23" s="769" t="s">
        <v>21</v>
      </c>
      <c r="U23" s="770">
        <f>H23</f>
        <v>100</v>
      </c>
      <c r="V23" s="769" t="s">
        <v>21</v>
      </c>
      <c r="W23" s="770">
        <f>J23</f>
        <v>100</v>
      </c>
      <c r="X23" s="1808"/>
      <c r="Y23" s="3240"/>
      <c r="Z23" s="1809" t="str">
        <f>Q23</f>
        <v>自然及人文环境</v>
      </c>
      <c r="AA23" s="1806">
        <f>D23/F23</f>
        <v>1</v>
      </c>
      <c r="AB23" s="1806">
        <f>D23/H23</f>
        <v>1</v>
      </c>
      <c r="AC23" s="1806">
        <f>D23/J23</f>
        <v>1</v>
      </c>
    </row>
    <row r="24" spans="1:29" ht="16" thickBot="1">
      <c r="A24" s="423"/>
      <c r="B24" s="451"/>
      <c r="C24" s="442" t="s">
        <v>3256</v>
      </c>
      <c r="D24" s="443"/>
      <c r="E24" s="2591" t="s">
        <v>3256</v>
      </c>
      <c r="F24" s="443"/>
      <c r="G24" s="2592" t="s">
        <v>3256</v>
      </c>
      <c r="H24" s="443"/>
      <c r="I24" s="2592" t="s">
        <v>3256</v>
      </c>
      <c r="J24" s="443"/>
      <c r="K24" s="2593"/>
      <c r="L24" s="1135"/>
      <c r="M24" s="1126"/>
      <c r="N24" s="1126"/>
      <c r="O24" s="1126"/>
      <c r="P24" s="3280"/>
      <c r="Q24" s="1805"/>
      <c r="R24" s="769"/>
      <c r="S24" s="770"/>
      <c r="T24" s="769"/>
      <c r="U24" s="770"/>
      <c r="V24" s="769"/>
      <c r="W24" s="770"/>
      <c r="X24" s="1808"/>
      <c r="Y24" s="3240"/>
      <c r="Z24" s="1809"/>
      <c r="AA24" s="1806">
        <v>1</v>
      </c>
      <c r="AB24" s="1806">
        <v>1</v>
      </c>
      <c r="AC24" s="1806">
        <v>1</v>
      </c>
    </row>
    <row r="25" spans="1:29" ht="15.5" hidden="1">
      <c r="A25" s="423"/>
      <c r="B25" s="417" t="s">
        <v>2555</v>
      </c>
      <c r="C25" s="455"/>
      <c r="D25" s="430">
        <v>100</v>
      </c>
      <c r="E25" s="2600"/>
      <c r="F25" s="430">
        <f>SUMIF(86:86,E25,87:87)-SUMIF(86:86,C25,87:87)+100</f>
        <v>100</v>
      </c>
      <c r="G25" s="2601"/>
      <c r="H25" s="430">
        <f>SUMIF(86:86,G25,87:87)-SUMIF(86:86,C25,87:87)+100</f>
        <v>100</v>
      </c>
      <c r="I25" s="2601"/>
      <c r="J25" s="430">
        <f>SUMIF(86:86,I25,87:87)-SUMIF(86:86,C25,87:87)+100</f>
        <v>100</v>
      </c>
      <c r="K25" s="421"/>
      <c r="L25" s="1135"/>
      <c r="M25" s="1126"/>
      <c r="N25" s="1126"/>
      <c r="O25" s="1126"/>
      <c r="P25" s="3280"/>
      <c r="Q25" s="1805" t="str">
        <f t="shared" ref="Q25:Q46" si="11">B25</f>
        <v>楼层-1</v>
      </c>
      <c r="R25" s="769" t="s">
        <v>21</v>
      </c>
      <c r="S25" s="770">
        <f t="shared" ref="S25:S46" si="12">F25</f>
        <v>100</v>
      </c>
      <c r="T25" s="769" t="s">
        <v>21</v>
      </c>
      <c r="U25" s="770">
        <f t="shared" ref="U25:U46" si="13">H25</f>
        <v>100</v>
      </c>
      <c r="V25" s="769" t="s">
        <v>21</v>
      </c>
      <c r="W25" s="770">
        <f t="shared" ref="W25:W46" si="14">J25</f>
        <v>100</v>
      </c>
      <c r="X25" s="1808"/>
      <c r="Y25" s="3240"/>
      <c r="Z25" s="1809" t="str">
        <f>Q25</f>
        <v>楼层-1</v>
      </c>
      <c r="AA25" s="1806">
        <f t="shared" ref="AA25:AA46" si="15">D25/F25</f>
        <v>1</v>
      </c>
      <c r="AB25" s="1806">
        <f t="shared" ref="AB25:AB46" si="16">D25/H25</f>
        <v>1</v>
      </c>
      <c r="AC25" s="1806">
        <f t="shared" ref="AC25:AC46" si="17">D25/J25</f>
        <v>1</v>
      </c>
    </row>
    <row r="26" spans="1:29" ht="15.5" hidden="1">
      <c r="A26" s="423"/>
      <c r="B26" s="417" t="s">
        <v>2556</v>
      </c>
      <c r="C26" s="455"/>
      <c r="D26" s="430">
        <v>100</v>
      </c>
      <c r="E26" s="2600"/>
      <c r="F26" s="430">
        <f>SUMIF(88:88,E26,89:89)-SUMIF(88:88,C26,89:89)+100</f>
        <v>100</v>
      </c>
      <c r="G26" s="2601"/>
      <c r="H26" s="430">
        <f>SUMIF(88:88,G26,89:89)-SUMIF(88:88,C26,89:89)+100</f>
        <v>100</v>
      </c>
      <c r="I26" s="2601"/>
      <c r="J26" s="430">
        <f>SUMIF(88:88,I26,89:89)-SUMIF(88:88,C26,89:89)+100</f>
        <v>100</v>
      </c>
      <c r="K26" s="421"/>
      <c r="L26" s="1135"/>
      <c r="M26" s="1126"/>
      <c r="N26" s="1126"/>
      <c r="O26" s="1126"/>
      <c r="P26" s="3280"/>
      <c r="Q26" s="1805" t="str">
        <f t="shared" si="11"/>
        <v>朝向</v>
      </c>
      <c r="R26" s="769" t="s">
        <v>21</v>
      </c>
      <c r="S26" s="770">
        <f t="shared" si="12"/>
        <v>100</v>
      </c>
      <c r="T26" s="769" t="s">
        <v>21</v>
      </c>
      <c r="U26" s="770">
        <f t="shared" si="13"/>
        <v>100</v>
      </c>
      <c r="V26" s="769" t="s">
        <v>21</v>
      </c>
      <c r="W26" s="770">
        <f t="shared" si="14"/>
        <v>100</v>
      </c>
      <c r="X26" s="1808"/>
      <c r="Y26" s="3240"/>
      <c r="Z26" s="1809" t="str">
        <f>Q26</f>
        <v>朝向</v>
      </c>
      <c r="AA26" s="1806">
        <f t="shared" si="15"/>
        <v>1</v>
      </c>
      <c r="AB26" s="1806">
        <f t="shared" si="16"/>
        <v>1</v>
      </c>
      <c r="AC26" s="1806">
        <f t="shared" si="17"/>
        <v>1</v>
      </c>
    </row>
    <row r="27" spans="1:29" s="114" customFormat="1" ht="15.5" hidden="1">
      <c r="A27" s="426"/>
      <c r="B27" s="1381">
        <v>111</v>
      </c>
      <c r="C27" s="427"/>
      <c r="D27" s="457">
        <v>100</v>
      </c>
      <c r="E27" s="460"/>
      <c r="F27" s="457">
        <f>SUMIF(90:90,E27,91:91)-SUMIF(90:90,C27,91:91)+100</f>
        <v>100</v>
      </c>
      <c r="G27" s="458"/>
      <c r="H27" s="457">
        <f>SUMIF(90:90,G27,91:91)-SUMIF(90:90,C27,91:91)+100</f>
        <v>100</v>
      </c>
      <c r="I27" s="458"/>
      <c r="J27" s="457">
        <f>SUMIF(90:90,I27,91:91)-SUMIF(90:90,C27,91:91)+100</f>
        <v>100</v>
      </c>
      <c r="K27" s="2588"/>
      <c r="L27" s="1127"/>
      <c r="M27" s="1128"/>
      <c r="N27" s="1128"/>
      <c r="O27" s="1128"/>
      <c r="P27" s="3280"/>
      <c r="Q27" s="1790">
        <f t="shared" si="11"/>
        <v>111</v>
      </c>
      <c r="R27" s="765" t="s">
        <v>21</v>
      </c>
      <c r="S27" s="766">
        <f t="shared" si="12"/>
        <v>100</v>
      </c>
      <c r="T27" s="765" t="s">
        <v>21</v>
      </c>
      <c r="U27" s="766">
        <f t="shared" si="13"/>
        <v>100</v>
      </c>
      <c r="V27" s="765" t="s">
        <v>21</v>
      </c>
      <c r="W27" s="766">
        <f t="shared" si="14"/>
        <v>100</v>
      </c>
      <c r="X27" s="767"/>
      <c r="Y27" s="3240"/>
      <c r="Z27" s="52">
        <f>Q27</f>
        <v>111</v>
      </c>
      <c r="AA27" s="1806">
        <f t="shared" si="15"/>
        <v>1</v>
      </c>
      <c r="AB27" s="1806">
        <f t="shared" si="16"/>
        <v>1</v>
      </c>
      <c r="AC27" s="1806">
        <f t="shared" si="17"/>
        <v>1</v>
      </c>
    </row>
    <row r="28" spans="1:29" ht="15.5" hidden="1">
      <c r="A28" s="423"/>
      <c r="B28" s="1381">
        <v>111</v>
      </c>
      <c r="C28" s="429"/>
      <c r="D28" s="430">
        <v>100</v>
      </c>
      <c r="E28" s="429"/>
      <c r="F28" s="430">
        <f>SUMIF(92:92,E28,93:93)-SUMIF(92:92,C28,93:93)+100</f>
        <v>100</v>
      </c>
      <c r="G28" s="2602"/>
      <c r="H28" s="430">
        <f>SUMIF(92:92,G28,93:93)-SUMIF(92:92,C28,93:93)+100</f>
        <v>100</v>
      </c>
      <c r="I28" s="429"/>
      <c r="J28" s="430">
        <f>SUMIF(92:92,I28,93:93)-SUMIF(92:92,C28,93:93)+100</f>
        <v>100</v>
      </c>
      <c r="K28" s="2588"/>
      <c r="L28" s="1135"/>
      <c r="M28" s="1126"/>
      <c r="N28" s="1126"/>
      <c r="O28" s="1126"/>
      <c r="P28" s="3280"/>
      <c r="Q28" s="1805">
        <f t="shared" si="11"/>
        <v>111</v>
      </c>
      <c r="R28" s="769" t="s">
        <v>21</v>
      </c>
      <c r="S28" s="770">
        <f t="shared" si="12"/>
        <v>100</v>
      </c>
      <c r="T28" s="769" t="s">
        <v>21</v>
      </c>
      <c r="U28" s="770">
        <f t="shared" si="13"/>
        <v>100</v>
      </c>
      <c r="V28" s="769" t="s">
        <v>21</v>
      </c>
      <c r="W28" s="770">
        <f t="shared" si="14"/>
        <v>100</v>
      </c>
      <c r="X28" s="1808"/>
      <c r="Y28" s="3240"/>
      <c r="Z28" s="1809">
        <f t="shared" ref="Z28:Z46" si="18">Q28</f>
        <v>111</v>
      </c>
      <c r="AA28" s="1806">
        <f t="shared" si="15"/>
        <v>1</v>
      </c>
      <c r="AB28" s="1806">
        <f t="shared" si="16"/>
        <v>1</v>
      </c>
      <c r="AC28" s="1806">
        <f t="shared" si="17"/>
        <v>1</v>
      </c>
    </row>
    <row r="29" spans="1:29" ht="15.5" hidden="1">
      <c r="A29" s="423"/>
      <c r="B29" s="1381">
        <v>111</v>
      </c>
      <c r="C29" s="429"/>
      <c r="D29" s="430">
        <v>100</v>
      </c>
      <c r="E29" s="429"/>
      <c r="F29" s="430">
        <f>SUMIF(94:94,E29,95:95)-SUMIF(94:94,C29,95:95)+100</f>
        <v>100</v>
      </c>
      <c r="G29" s="2602"/>
      <c r="H29" s="430">
        <f>SUMIF(94:94,G29,95:95)-SUMIF(94:94,C29,95:95)+100</f>
        <v>100</v>
      </c>
      <c r="I29" s="429"/>
      <c r="J29" s="430">
        <f>SUMIF(94:94,I29,95:95)-SUMIF(94:94,C29,95:95)+100</f>
        <v>100</v>
      </c>
      <c r="K29" s="2588"/>
      <c r="L29" s="1135"/>
      <c r="M29" s="1126"/>
      <c r="N29" s="1126"/>
      <c r="O29" s="1126"/>
      <c r="P29" s="3280"/>
      <c r="Q29" s="1805">
        <f t="shared" si="11"/>
        <v>111</v>
      </c>
      <c r="R29" s="769" t="s">
        <v>21</v>
      </c>
      <c r="S29" s="770">
        <f t="shared" si="12"/>
        <v>100</v>
      </c>
      <c r="T29" s="769" t="s">
        <v>21</v>
      </c>
      <c r="U29" s="770">
        <f t="shared" si="13"/>
        <v>100</v>
      </c>
      <c r="V29" s="769" t="s">
        <v>21</v>
      </c>
      <c r="W29" s="770">
        <f t="shared" si="14"/>
        <v>100</v>
      </c>
      <c r="X29" s="1808"/>
      <c r="Y29" s="3240"/>
      <c r="Z29" s="1809">
        <f t="shared" si="18"/>
        <v>111</v>
      </c>
      <c r="AA29" s="1806">
        <f t="shared" si="15"/>
        <v>1</v>
      </c>
      <c r="AB29" s="1806">
        <f t="shared" si="16"/>
        <v>1</v>
      </c>
      <c r="AC29" s="1806">
        <f t="shared" si="17"/>
        <v>1</v>
      </c>
    </row>
    <row r="30" spans="1:29" ht="15.5" hidden="1">
      <c r="A30" s="423"/>
      <c r="B30" s="1381">
        <v>111</v>
      </c>
      <c r="C30" s="429"/>
      <c r="D30" s="430">
        <v>100</v>
      </c>
      <c r="E30" s="429"/>
      <c r="F30" s="430">
        <f>SUMIF(96:96,E30,97:97)-SUMIF(96:96,C30,97:97)+100</f>
        <v>100</v>
      </c>
      <c r="G30" s="2602"/>
      <c r="H30" s="430">
        <f>SUMIF(96:96,G30,97:97)-SUMIF(96:96,C30,97:97)+100</f>
        <v>100</v>
      </c>
      <c r="I30" s="429"/>
      <c r="J30" s="430">
        <f>SUMIF(96:96,I30,97:97)-SUMIF(96:96,C30,97:97)+100</f>
        <v>100</v>
      </c>
      <c r="K30" s="2588"/>
      <c r="L30" s="1135"/>
      <c r="M30" s="1126"/>
      <c r="N30" s="1126"/>
      <c r="O30" s="1126"/>
      <c r="P30" s="3280"/>
      <c r="Q30" s="1805">
        <f t="shared" si="11"/>
        <v>111</v>
      </c>
      <c r="R30" s="769" t="s">
        <v>21</v>
      </c>
      <c r="S30" s="770">
        <f t="shared" si="12"/>
        <v>100</v>
      </c>
      <c r="T30" s="769" t="s">
        <v>21</v>
      </c>
      <c r="U30" s="770">
        <f t="shared" si="13"/>
        <v>100</v>
      </c>
      <c r="V30" s="769" t="s">
        <v>21</v>
      </c>
      <c r="W30" s="770">
        <f t="shared" si="14"/>
        <v>100</v>
      </c>
      <c r="X30" s="1808"/>
      <c r="Y30" s="3240"/>
      <c r="Z30" s="1809">
        <f t="shared" si="18"/>
        <v>111</v>
      </c>
      <c r="AA30" s="1806">
        <f t="shared" si="15"/>
        <v>1</v>
      </c>
      <c r="AB30" s="1806">
        <f t="shared" si="16"/>
        <v>1</v>
      </c>
      <c r="AC30" s="1806">
        <f t="shared" si="17"/>
        <v>1</v>
      </c>
    </row>
    <row r="31" spans="1:29" ht="16" hidden="1" thickBot="1">
      <c r="A31" s="431"/>
      <c r="B31" s="1381">
        <v>111</v>
      </c>
      <c r="C31" s="432"/>
      <c r="D31" s="433">
        <v>100</v>
      </c>
      <c r="E31" s="432"/>
      <c r="F31" s="433">
        <f>SUMIF(98:98,E31,99:99)-SUMIF(98:98,C31,99:99)+100</f>
        <v>100</v>
      </c>
      <c r="G31" s="2603"/>
      <c r="H31" s="433">
        <f>SUMIF(98:98,G31,99:99)-SUMIF(98:98,C31,99:99)+100</f>
        <v>100</v>
      </c>
      <c r="I31" s="432"/>
      <c r="J31" s="433">
        <f>SUMIF(98:98,I31,99:99)-SUMIF(98:98,C31,99:99)+100</f>
        <v>100</v>
      </c>
      <c r="K31" s="2588"/>
      <c r="L31" s="1135"/>
      <c r="M31" s="1126"/>
      <c r="N31" s="1126"/>
      <c r="O31" s="1126"/>
      <c r="P31" s="3280"/>
      <c r="Q31" s="1805">
        <f t="shared" si="11"/>
        <v>111</v>
      </c>
      <c r="R31" s="769" t="s">
        <v>21</v>
      </c>
      <c r="S31" s="770">
        <f t="shared" si="12"/>
        <v>100</v>
      </c>
      <c r="T31" s="769" t="s">
        <v>21</v>
      </c>
      <c r="U31" s="770">
        <f t="shared" si="13"/>
        <v>100</v>
      </c>
      <c r="V31" s="769" t="s">
        <v>21</v>
      </c>
      <c r="W31" s="770">
        <f t="shared" si="14"/>
        <v>100</v>
      </c>
      <c r="X31" s="1808"/>
      <c r="Y31" s="3240"/>
      <c r="Z31" s="1809">
        <f t="shared" si="18"/>
        <v>111</v>
      </c>
      <c r="AA31" s="1806">
        <f t="shared" si="15"/>
        <v>1</v>
      </c>
      <c r="AB31" s="1806">
        <f t="shared" si="16"/>
        <v>1</v>
      </c>
      <c r="AC31" s="1806">
        <f t="shared" si="17"/>
        <v>1</v>
      </c>
    </row>
    <row r="32" spans="1:29" ht="15.5">
      <c r="A32" s="435" t="s">
        <v>2557</v>
      </c>
      <c r="B32" s="68" t="s">
        <v>2558</v>
      </c>
      <c r="C32" s="2604" t="s">
        <v>3080</v>
      </c>
      <c r="D32" s="462">
        <v>100</v>
      </c>
      <c r="E32" s="2605" t="s">
        <v>3080</v>
      </c>
      <c r="F32" s="456">
        <f>SUMIF(100:100,E32,101:101)-SUMIF(100:100,C32,101:101)+100</f>
        <v>100</v>
      </c>
      <c r="G32" s="2604" t="s">
        <v>3288</v>
      </c>
      <c r="H32" s="462">
        <f>SUMIF(100:100,G32,101:101)-SUMIF(100:100,C32,101:101)+100</f>
        <v>98</v>
      </c>
      <c r="I32" s="2605" t="s">
        <v>3286</v>
      </c>
      <c r="J32" s="430">
        <f>SUMIF(100:100,I32,101:101)-SUMIF(100:100,C32,101:101)+100</f>
        <v>99</v>
      </c>
      <c r="K32" s="421">
        <v>1</v>
      </c>
      <c r="L32" s="1135"/>
      <c r="M32" s="1126"/>
      <c r="N32" s="1126"/>
      <c r="O32" s="1126"/>
      <c r="P32" s="3275" t="s">
        <v>2559</v>
      </c>
      <c r="Q32" s="1805" t="str">
        <f t="shared" si="11"/>
        <v>建筑类型</v>
      </c>
      <c r="R32" s="769" t="s">
        <v>21</v>
      </c>
      <c r="S32" s="770">
        <f t="shared" si="12"/>
        <v>100</v>
      </c>
      <c r="T32" s="769" t="s">
        <v>21</v>
      </c>
      <c r="U32" s="770">
        <f t="shared" si="13"/>
        <v>98</v>
      </c>
      <c r="V32" s="769" t="s">
        <v>21</v>
      </c>
      <c r="W32" s="770">
        <f t="shared" si="14"/>
        <v>99</v>
      </c>
      <c r="X32" s="1808"/>
      <c r="Y32" s="3242" t="s">
        <v>2559</v>
      </c>
      <c r="Z32" s="1809" t="str">
        <f t="shared" si="18"/>
        <v>建筑类型</v>
      </c>
      <c r="AA32" s="1806">
        <f t="shared" si="15"/>
        <v>1</v>
      </c>
      <c r="AB32" s="1806">
        <f t="shared" si="16"/>
        <v>1.0204081632653061</v>
      </c>
      <c r="AC32" s="1806">
        <f t="shared" si="17"/>
        <v>1.0101010101010102</v>
      </c>
    </row>
    <row r="33" spans="1:29" s="466" customFormat="1" ht="15.5">
      <c r="A33" s="463"/>
      <c r="B33" s="417" t="s">
        <v>2560</v>
      </c>
      <c r="C33" s="464">
        <f>'数据-基础表'!B3</f>
        <v>247289.11000000004</v>
      </c>
      <c r="D33" s="131">
        <v>100</v>
      </c>
      <c r="E33" s="425">
        <v>296116</v>
      </c>
      <c r="F33" s="420">
        <f>LOOKUP(E33,103:103,104:104)-LOOKUP(C33,103:103,104:104)+100</f>
        <v>100</v>
      </c>
      <c r="G33" s="424">
        <v>280000</v>
      </c>
      <c r="H33" s="131">
        <f>LOOKUP(G33,103:103,104:104)-LOOKUP(C33,103:103,104:104)+100</f>
        <v>100</v>
      </c>
      <c r="I33" s="425">
        <v>155000</v>
      </c>
      <c r="J33" s="131">
        <f>LOOKUP(I33,103:103,104:104)-LOOKUP(C33,103:103,104:104)+100</f>
        <v>99</v>
      </c>
      <c r="K33" s="2588"/>
      <c r="L33" s="1133"/>
      <c r="M33" s="1136"/>
      <c r="N33" s="1136"/>
      <c r="O33" s="1136"/>
      <c r="P33" s="3276"/>
      <c r="Q33" s="771" t="str">
        <f t="shared" si="11"/>
        <v>项目建筑规模</v>
      </c>
      <c r="R33" s="772" t="s">
        <v>21</v>
      </c>
      <c r="S33" s="773">
        <f t="shared" si="12"/>
        <v>100</v>
      </c>
      <c r="T33" s="772" t="s">
        <v>21</v>
      </c>
      <c r="U33" s="773">
        <f t="shared" si="13"/>
        <v>100</v>
      </c>
      <c r="V33" s="772" t="s">
        <v>21</v>
      </c>
      <c r="W33" s="773">
        <f t="shared" si="14"/>
        <v>99</v>
      </c>
      <c r="X33" s="774"/>
      <c r="Y33" s="3242"/>
      <c r="Z33" s="775" t="str">
        <f t="shared" si="18"/>
        <v>项目建筑规模</v>
      </c>
      <c r="AA33" s="1806">
        <f t="shared" si="15"/>
        <v>1</v>
      </c>
      <c r="AB33" s="1806">
        <f t="shared" si="16"/>
        <v>1</v>
      </c>
      <c r="AC33" s="1806">
        <f t="shared" si="17"/>
        <v>1.0101010101010102</v>
      </c>
    </row>
    <row r="34" spans="1:29" ht="15.5">
      <c r="A34" s="467"/>
      <c r="B34" s="417" t="s">
        <v>2561</v>
      </c>
      <c r="C34" s="2606" t="s">
        <v>3277</v>
      </c>
      <c r="D34" s="430">
        <v>100</v>
      </c>
      <c r="E34" s="2606" t="s">
        <v>3277</v>
      </c>
      <c r="F34" s="456">
        <f>SUMIF(105:105,E34,106:106)-SUMIF(105:105,C34,106:106)+100</f>
        <v>100</v>
      </c>
      <c r="G34" s="2606" t="s">
        <v>3277</v>
      </c>
      <c r="H34" s="430">
        <f>SUMIF(105:105,G34,106:106)-SUMIF(105:105,C34,106:106)+100</f>
        <v>100</v>
      </c>
      <c r="I34" s="2606" t="s">
        <v>3277</v>
      </c>
      <c r="J34" s="430">
        <f>SUMIF(105:105,I34,106:106)-SUMIF(105:105,C34,106:106)+100</f>
        <v>100</v>
      </c>
      <c r="K34" s="421">
        <v>1</v>
      </c>
      <c r="L34" s="1135"/>
      <c r="M34" s="1126"/>
      <c r="N34" s="1126"/>
      <c r="O34" s="1126"/>
      <c r="P34" s="3276"/>
      <c r="Q34" s="1805" t="str">
        <f t="shared" si="11"/>
        <v>建筑结构</v>
      </c>
      <c r="R34" s="769" t="s">
        <v>21</v>
      </c>
      <c r="S34" s="770">
        <f t="shared" si="12"/>
        <v>100</v>
      </c>
      <c r="T34" s="769" t="s">
        <v>21</v>
      </c>
      <c r="U34" s="770">
        <f t="shared" si="13"/>
        <v>100</v>
      </c>
      <c r="V34" s="769" t="s">
        <v>21</v>
      </c>
      <c r="W34" s="770">
        <f t="shared" si="14"/>
        <v>100</v>
      </c>
      <c r="X34" s="1808"/>
      <c r="Y34" s="3242"/>
      <c r="Z34" s="1809" t="str">
        <f t="shared" si="18"/>
        <v>建筑结构</v>
      </c>
      <c r="AA34" s="1806">
        <f t="shared" si="15"/>
        <v>1</v>
      </c>
      <c r="AB34" s="1806">
        <f t="shared" si="16"/>
        <v>1</v>
      </c>
      <c r="AC34" s="1806">
        <f t="shared" si="17"/>
        <v>1</v>
      </c>
    </row>
    <row r="35" spans="1:29" ht="15.5">
      <c r="A35" s="467"/>
      <c r="B35" s="417" t="s">
        <v>2562</v>
      </c>
      <c r="C35" s="2600" t="s">
        <v>3291</v>
      </c>
      <c r="D35" s="430">
        <v>100</v>
      </c>
      <c r="E35" s="2600" t="s">
        <v>3291</v>
      </c>
      <c r="F35" s="456">
        <f>SUMIF(107:107,E35,108:108)-SUMIF(107:107,C35,108:108)+100</f>
        <v>100</v>
      </c>
      <c r="G35" s="2600" t="s">
        <v>3291</v>
      </c>
      <c r="H35" s="430">
        <f>SUMIF(107:107,G35,108:108)-SUMIF(107:107,C35,108:108)+100</f>
        <v>100</v>
      </c>
      <c r="I35" s="2600" t="s">
        <v>3291</v>
      </c>
      <c r="J35" s="430">
        <f>SUMIF(107:107,I35,108:108)-SUMIF(107:107,C35,108:108)+100</f>
        <v>100</v>
      </c>
      <c r="K35" s="421">
        <v>2</v>
      </c>
      <c r="L35" s="1135"/>
      <c r="M35" s="1126"/>
      <c r="N35" s="1126"/>
      <c r="O35" s="1126"/>
      <c r="P35" s="3276"/>
      <c r="Q35" s="1805" t="str">
        <f t="shared" si="11"/>
        <v>建筑品质</v>
      </c>
      <c r="R35" s="769" t="s">
        <v>21</v>
      </c>
      <c r="S35" s="770">
        <f t="shared" si="12"/>
        <v>100</v>
      </c>
      <c r="T35" s="769" t="s">
        <v>21</v>
      </c>
      <c r="U35" s="770">
        <f t="shared" si="13"/>
        <v>100</v>
      </c>
      <c r="V35" s="769" t="s">
        <v>21</v>
      </c>
      <c r="W35" s="770">
        <f t="shared" si="14"/>
        <v>100</v>
      </c>
      <c r="X35" s="1808"/>
      <c r="Y35" s="3242"/>
      <c r="Z35" s="1809" t="str">
        <f t="shared" si="18"/>
        <v>建筑品质</v>
      </c>
      <c r="AA35" s="1806">
        <f t="shared" si="15"/>
        <v>1</v>
      </c>
      <c r="AB35" s="1806">
        <f t="shared" si="16"/>
        <v>1</v>
      </c>
      <c r="AC35" s="1806">
        <f t="shared" si="17"/>
        <v>1</v>
      </c>
    </row>
    <row r="36" spans="1:29" ht="15.5">
      <c r="A36" s="467"/>
      <c r="B36" s="417" t="s">
        <v>2563</v>
      </c>
      <c r="C36" s="2600" t="s">
        <v>3298</v>
      </c>
      <c r="D36" s="430">
        <v>100</v>
      </c>
      <c r="E36" s="2600" t="s">
        <v>3298</v>
      </c>
      <c r="F36" s="456">
        <f>SUMIF(109:109,E36,110:110)-SUMIF(109:109,C36,110:110)+100</f>
        <v>100</v>
      </c>
      <c r="G36" s="2600" t="s">
        <v>3298</v>
      </c>
      <c r="H36" s="430">
        <f>SUMIF(109:109,G36,110:110)-SUMIF(109:109,C36,110:110)+100</f>
        <v>100</v>
      </c>
      <c r="I36" s="2600" t="s">
        <v>3298</v>
      </c>
      <c r="J36" s="430">
        <f>SUMIF(109:109,I36,110:110)-SUMIF(109:109,C36,110:110)+100</f>
        <v>100</v>
      </c>
      <c r="K36" s="421">
        <v>0.5</v>
      </c>
      <c r="L36" s="1135"/>
      <c r="M36" s="1126"/>
      <c r="N36" s="1126"/>
      <c r="O36" s="1126"/>
      <c r="P36" s="3276"/>
      <c r="Q36" s="1805" t="str">
        <f t="shared" si="11"/>
        <v>公共部分装修</v>
      </c>
      <c r="R36" s="769" t="s">
        <v>21</v>
      </c>
      <c r="S36" s="770">
        <f t="shared" si="12"/>
        <v>100</v>
      </c>
      <c r="T36" s="769" t="s">
        <v>21</v>
      </c>
      <c r="U36" s="770">
        <f t="shared" si="13"/>
        <v>100</v>
      </c>
      <c r="V36" s="769" t="s">
        <v>21</v>
      </c>
      <c r="W36" s="770">
        <f t="shared" si="14"/>
        <v>100</v>
      </c>
      <c r="X36" s="1808"/>
      <c r="Y36" s="3242"/>
      <c r="Z36" s="1809" t="str">
        <f t="shared" si="18"/>
        <v>公共部分装修</v>
      </c>
      <c r="AA36" s="1806">
        <f t="shared" si="15"/>
        <v>1</v>
      </c>
      <c r="AB36" s="1806">
        <f t="shared" si="16"/>
        <v>1</v>
      </c>
      <c r="AC36" s="1806">
        <f t="shared" si="17"/>
        <v>1</v>
      </c>
    </row>
    <row r="37" spans="1:29" s="114" customFormat="1" ht="15.5">
      <c r="A37" s="468"/>
      <c r="B37" s="417" t="s">
        <v>2564</v>
      </c>
      <c r="C37" s="469">
        <v>1</v>
      </c>
      <c r="D37" s="131">
        <v>100</v>
      </c>
      <c r="E37" s="469">
        <f>ROUND(1-(2020-2015)/60,2)</f>
        <v>0.92</v>
      </c>
      <c r="F37" s="420">
        <f>LOOKUP(E37,112:112,113:113)-LOOKUP(C37,112:112,113:113)+100</f>
        <v>100</v>
      </c>
      <c r="G37" s="469">
        <f>ROUND(1-(2020-2012)/60,2)</f>
        <v>0.87</v>
      </c>
      <c r="H37" s="131">
        <f>LOOKUP(G37,112:112,113:113)-LOOKUP(C37,112:112,113:113)+100</f>
        <v>99</v>
      </c>
      <c r="I37" s="469">
        <f>ROUND(1-(2020-2013)/60,2)</f>
        <v>0.88</v>
      </c>
      <c r="J37" s="131">
        <f>LOOKUP(I37,112:112,113:113)-LOOKUP(C37,112:112,113:113)+100</f>
        <v>99</v>
      </c>
      <c r="K37" s="421">
        <v>1</v>
      </c>
      <c r="L37" s="1127"/>
      <c r="M37" s="1128"/>
      <c r="N37" s="1128"/>
      <c r="O37" s="1128"/>
      <c r="P37" s="3276"/>
      <c r="Q37" s="1790" t="str">
        <f t="shared" si="11"/>
        <v>成新度</v>
      </c>
      <c r="R37" s="765" t="s">
        <v>21</v>
      </c>
      <c r="S37" s="766">
        <f t="shared" si="12"/>
        <v>100</v>
      </c>
      <c r="T37" s="765" t="s">
        <v>21</v>
      </c>
      <c r="U37" s="766">
        <f t="shared" si="13"/>
        <v>99</v>
      </c>
      <c r="V37" s="765" t="s">
        <v>21</v>
      </c>
      <c r="W37" s="766">
        <f t="shared" si="14"/>
        <v>99</v>
      </c>
      <c r="X37" s="767"/>
      <c r="Y37" s="3242"/>
      <c r="Z37" s="52" t="str">
        <f t="shared" si="18"/>
        <v>成新度</v>
      </c>
      <c r="AA37" s="768">
        <f t="shared" si="15"/>
        <v>1</v>
      </c>
      <c r="AB37" s="768">
        <f t="shared" si="16"/>
        <v>1.0101010101010102</v>
      </c>
      <c r="AC37" s="768">
        <f t="shared" si="17"/>
        <v>1.0101010101010102</v>
      </c>
    </row>
    <row r="38" spans="1:29" ht="15.5">
      <c r="A38" s="467"/>
      <c r="B38" s="417" t="s">
        <v>2565</v>
      </c>
      <c r="C38" s="2600" t="s">
        <v>3293</v>
      </c>
      <c r="D38" s="430">
        <v>100</v>
      </c>
      <c r="E38" s="2600" t="s">
        <v>3293</v>
      </c>
      <c r="F38" s="456">
        <f>SUMIF(114:114,E38,115:115)-SUMIF(114:114,C38,115:115)+100</f>
        <v>100</v>
      </c>
      <c r="G38" s="2600" t="s">
        <v>3293</v>
      </c>
      <c r="H38" s="430">
        <f>SUMIF(114:114,G38,115:115)-SUMIF(114:114,C38,115:115)+100</f>
        <v>100</v>
      </c>
      <c r="I38" s="2600" t="s">
        <v>3293</v>
      </c>
      <c r="J38" s="430">
        <f>SUMIF(114:114,I38,115:115)-SUMIF(114:114,C38,115:115)+100</f>
        <v>100</v>
      </c>
      <c r="K38" s="421">
        <v>2</v>
      </c>
      <c r="L38" s="1135"/>
      <c r="M38" s="1126"/>
      <c r="N38" s="1126"/>
      <c r="O38" s="1126"/>
      <c r="P38" s="3276" t="s">
        <v>2559</v>
      </c>
      <c r="Q38" s="1805" t="str">
        <f t="shared" si="11"/>
        <v>物业管理</v>
      </c>
      <c r="R38" s="769" t="s">
        <v>21</v>
      </c>
      <c r="S38" s="770">
        <f t="shared" si="12"/>
        <v>100</v>
      </c>
      <c r="T38" s="769" t="s">
        <v>21</v>
      </c>
      <c r="U38" s="770">
        <f t="shared" si="13"/>
        <v>100</v>
      </c>
      <c r="V38" s="769" t="s">
        <v>21</v>
      </c>
      <c r="W38" s="770">
        <f t="shared" si="14"/>
        <v>100</v>
      </c>
      <c r="X38" s="1808"/>
      <c r="Y38" s="3242" t="s">
        <v>2559</v>
      </c>
      <c r="Z38" s="1809" t="str">
        <f t="shared" si="18"/>
        <v>物业管理</v>
      </c>
      <c r="AA38" s="1806">
        <f t="shared" si="15"/>
        <v>1</v>
      </c>
      <c r="AB38" s="1806">
        <f t="shared" si="16"/>
        <v>1</v>
      </c>
      <c r="AC38" s="1806">
        <f t="shared" si="17"/>
        <v>1</v>
      </c>
    </row>
    <row r="39" spans="1:29" ht="15.5">
      <c r="A39" s="467"/>
      <c r="B39" s="417" t="s">
        <v>2566</v>
      </c>
      <c r="C39" s="2600" t="s">
        <v>3257</v>
      </c>
      <c r="D39" s="430">
        <v>100</v>
      </c>
      <c r="E39" s="2600" t="s">
        <v>3257</v>
      </c>
      <c r="F39" s="456">
        <f>SUMIF(116:116,E39,117:117)-SUMIF(116:116,C39,117:117)+100</f>
        <v>100</v>
      </c>
      <c r="G39" s="2600" t="s">
        <v>3257</v>
      </c>
      <c r="H39" s="430">
        <f>SUMIF(116:116,G39,117:117)-SUMIF(116:116,C39,117:117)+100</f>
        <v>100</v>
      </c>
      <c r="I39" s="2600" t="s">
        <v>3257</v>
      </c>
      <c r="J39" s="430">
        <f>SUMIF(116:116,I39,117:117)-SUMIF(116:116,C39,117:117)+100</f>
        <v>100</v>
      </c>
      <c r="K39" s="421">
        <v>1</v>
      </c>
      <c r="L39" s="1135"/>
      <c r="M39" s="1126"/>
      <c r="N39" s="1126"/>
      <c r="O39" s="1126"/>
      <c r="P39" s="3276"/>
      <c r="Q39" s="1805" t="str">
        <f t="shared" si="11"/>
        <v>市政基础设施</v>
      </c>
      <c r="R39" s="769" t="s">
        <v>21</v>
      </c>
      <c r="S39" s="770">
        <f t="shared" si="12"/>
        <v>100</v>
      </c>
      <c r="T39" s="769" t="s">
        <v>21</v>
      </c>
      <c r="U39" s="770">
        <f t="shared" si="13"/>
        <v>100</v>
      </c>
      <c r="V39" s="769" t="s">
        <v>21</v>
      </c>
      <c r="W39" s="770">
        <f t="shared" si="14"/>
        <v>100</v>
      </c>
      <c r="X39" s="1808"/>
      <c r="Y39" s="3242"/>
      <c r="Z39" s="1809" t="str">
        <f t="shared" si="18"/>
        <v>市政基础设施</v>
      </c>
      <c r="AA39" s="1806">
        <f t="shared" si="15"/>
        <v>1</v>
      </c>
      <c r="AB39" s="1806">
        <f t="shared" si="16"/>
        <v>1</v>
      </c>
      <c r="AC39" s="1806">
        <f t="shared" si="17"/>
        <v>1</v>
      </c>
    </row>
    <row r="40" spans="1:29" ht="15.5" hidden="1">
      <c r="A40" s="467"/>
      <c r="B40" s="417" t="s">
        <v>2567</v>
      </c>
      <c r="C40" s="2600"/>
      <c r="D40" s="430">
        <v>100</v>
      </c>
      <c r="E40" s="2601"/>
      <c r="F40" s="456">
        <f>SUMIF(118:118,E40,119:119)-SUMIF(118:118,C40,119:119)+100</f>
        <v>100</v>
      </c>
      <c r="G40" s="2600"/>
      <c r="H40" s="430">
        <f>SUMIF(118:118,G40,119:119)-SUMIF(118:118,C40,119:119)+100</f>
        <v>100</v>
      </c>
      <c r="I40" s="2601"/>
      <c r="J40" s="430">
        <f>SUMIF(118:118,I40,119:119)-SUMIF(118:118,C40,119:119)+100</f>
        <v>100</v>
      </c>
      <c r="K40" s="421"/>
      <c r="L40" s="1135"/>
      <c r="M40" s="1126"/>
      <c r="N40" s="1126"/>
      <c r="O40" s="1126"/>
      <c r="P40" s="3276"/>
      <c r="Q40" s="1805" t="str">
        <f t="shared" si="11"/>
        <v>房型</v>
      </c>
      <c r="R40" s="769" t="s">
        <v>21</v>
      </c>
      <c r="S40" s="770">
        <f t="shared" si="12"/>
        <v>100</v>
      </c>
      <c r="T40" s="769" t="s">
        <v>21</v>
      </c>
      <c r="U40" s="770">
        <f t="shared" si="13"/>
        <v>100</v>
      </c>
      <c r="V40" s="769" t="s">
        <v>21</v>
      </c>
      <c r="W40" s="770">
        <f t="shared" si="14"/>
        <v>100</v>
      </c>
      <c r="X40" s="1808"/>
      <c r="Y40" s="3242"/>
      <c r="Z40" s="1809" t="str">
        <f t="shared" si="18"/>
        <v>房型</v>
      </c>
      <c r="AA40" s="1806">
        <f t="shared" si="15"/>
        <v>1</v>
      </c>
      <c r="AB40" s="1806">
        <f t="shared" si="16"/>
        <v>1</v>
      </c>
      <c r="AC40" s="1806">
        <f t="shared" si="17"/>
        <v>1</v>
      </c>
    </row>
    <row r="41" spans="1:29" s="466" customFormat="1" ht="28.5">
      <c r="A41" s="463"/>
      <c r="B41" s="417" t="s">
        <v>2568</v>
      </c>
      <c r="C41" s="464" t="s">
        <v>3350</v>
      </c>
      <c r="D41" s="131">
        <v>100</v>
      </c>
      <c r="E41" s="425">
        <v>88</v>
      </c>
      <c r="F41" s="420">
        <f>SUMIF(120:120,E41,121:121)-SUMIF(120:120,C41,121:121)+100</f>
        <v>100</v>
      </c>
      <c r="G41" s="424">
        <v>82</v>
      </c>
      <c r="H41" s="131">
        <f>SUMIF(120:120,G41,121:121)-SUMIF(120:120,C41,121:121)+100</f>
        <v>100</v>
      </c>
      <c r="I41" s="472">
        <v>95</v>
      </c>
      <c r="J41" s="430">
        <f>SUMIF(120:120,I41,121:121)-SUMIF(120:120,C41,121:121)+100</f>
        <v>100</v>
      </c>
      <c r="K41" s="2588"/>
      <c r="L41" s="1133"/>
      <c r="M41" s="1136"/>
      <c r="N41" s="1136"/>
      <c r="O41" s="1136"/>
      <c r="P41" s="3276"/>
      <c r="Q41" s="771" t="str">
        <f t="shared" si="11"/>
        <v>单套/主力户型建筑面积</v>
      </c>
      <c r="R41" s="772" t="s">
        <v>21</v>
      </c>
      <c r="S41" s="773">
        <f t="shared" si="12"/>
        <v>100</v>
      </c>
      <c r="T41" s="772" t="s">
        <v>21</v>
      </c>
      <c r="U41" s="773">
        <f t="shared" si="13"/>
        <v>100</v>
      </c>
      <c r="V41" s="772" t="s">
        <v>21</v>
      </c>
      <c r="W41" s="773">
        <f t="shared" si="14"/>
        <v>100</v>
      </c>
      <c r="X41" s="774"/>
      <c r="Y41" s="3242"/>
      <c r="Z41" s="775" t="str">
        <f t="shared" si="18"/>
        <v>单套/主力户型建筑面积</v>
      </c>
      <c r="AA41" s="1806">
        <f t="shared" si="15"/>
        <v>1</v>
      </c>
      <c r="AB41" s="1806">
        <f t="shared" si="16"/>
        <v>1</v>
      </c>
      <c r="AC41" s="1806">
        <f t="shared" si="17"/>
        <v>1</v>
      </c>
    </row>
    <row r="42" spans="1:29" ht="16" thickBot="1">
      <c r="A42" s="467"/>
      <c r="B42" s="417" t="s">
        <v>2569</v>
      </c>
      <c r="C42" s="2600" t="s">
        <v>3296</v>
      </c>
      <c r="D42" s="430">
        <v>100</v>
      </c>
      <c r="E42" s="2601" t="s">
        <v>3298</v>
      </c>
      <c r="F42" s="456">
        <f>SUMIF(122:122,E42,123:123)-SUMIF(122:122,C42,123:123)+100</f>
        <v>101.5</v>
      </c>
      <c r="G42" s="2600" t="s">
        <v>3298</v>
      </c>
      <c r="H42" s="430">
        <f>SUMIF(122:122,G42,123:123)-SUMIF(122:122,C42,123:123)+100</f>
        <v>101.5</v>
      </c>
      <c r="I42" s="2601" t="s">
        <v>3298</v>
      </c>
      <c r="J42" s="430">
        <f>SUMIF(122:122,I42,123:123)-SUMIF(122:122,C42,123:123)+100</f>
        <v>101.5</v>
      </c>
      <c r="K42" s="421">
        <v>0.5</v>
      </c>
      <c r="L42" s="1135"/>
      <c r="M42" s="1126"/>
      <c r="N42" s="1126"/>
      <c r="O42" s="1126"/>
      <c r="P42" s="3276"/>
      <c r="Q42" s="1805" t="str">
        <f t="shared" si="11"/>
        <v>内部装修</v>
      </c>
      <c r="R42" s="769" t="s">
        <v>21</v>
      </c>
      <c r="S42" s="770">
        <f t="shared" si="12"/>
        <v>101.5</v>
      </c>
      <c r="T42" s="769" t="s">
        <v>21</v>
      </c>
      <c r="U42" s="770">
        <f t="shared" si="13"/>
        <v>101.5</v>
      </c>
      <c r="V42" s="769" t="s">
        <v>21</v>
      </c>
      <c r="W42" s="770">
        <f t="shared" si="14"/>
        <v>101.5</v>
      </c>
      <c r="X42" s="1808"/>
      <c r="Y42" s="3242"/>
      <c r="Z42" s="1809" t="str">
        <f t="shared" si="18"/>
        <v>内部装修</v>
      </c>
      <c r="AA42" s="1806">
        <f t="shared" si="15"/>
        <v>0.98522167487684731</v>
      </c>
      <c r="AB42" s="1806">
        <f t="shared" si="16"/>
        <v>0.98522167487684731</v>
      </c>
      <c r="AC42" s="1806">
        <f t="shared" si="17"/>
        <v>0.98522167487684731</v>
      </c>
    </row>
    <row r="43" spans="1:29" ht="28" hidden="1">
      <c r="A43" s="467"/>
      <c r="B43" s="417" t="s">
        <v>2570</v>
      </c>
      <c r="C43" s="2600"/>
      <c r="D43" s="430">
        <v>100</v>
      </c>
      <c r="E43" s="2601"/>
      <c r="F43" s="456">
        <f>SUMIF(124:124,E43,125:125)-SUMIF(124:124,C43,125:125)+100</f>
        <v>100</v>
      </c>
      <c r="G43" s="2600"/>
      <c r="H43" s="430">
        <f>SUMIF(124:124,G43,125:125)-SUMIF(124:124,C43,125:125)+100</f>
        <v>100</v>
      </c>
      <c r="I43" s="2601"/>
      <c r="J43" s="430">
        <f>SUMIF(124:124,I43,125:125)-SUMIF(124:124,C43,125:125)+100</f>
        <v>100</v>
      </c>
      <c r="K43" s="421"/>
      <c r="L43" s="1135"/>
      <c r="M43" s="1126"/>
      <c r="N43" s="1126"/>
      <c r="O43" s="1126"/>
      <c r="P43" s="3276"/>
      <c r="Q43" s="1805" t="str">
        <f t="shared" si="11"/>
        <v>内部装修维护情况</v>
      </c>
      <c r="R43" s="769" t="s">
        <v>21</v>
      </c>
      <c r="S43" s="770">
        <f t="shared" si="12"/>
        <v>100</v>
      </c>
      <c r="T43" s="769" t="s">
        <v>21</v>
      </c>
      <c r="U43" s="770">
        <f t="shared" si="13"/>
        <v>100</v>
      </c>
      <c r="V43" s="769" t="s">
        <v>21</v>
      </c>
      <c r="W43" s="770">
        <f t="shared" si="14"/>
        <v>100</v>
      </c>
      <c r="X43" s="1808"/>
      <c r="Y43" s="3242"/>
      <c r="Z43" s="1809" t="str">
        <f t="shared" si="18"/>
        <v>内部装修维护情况</v>
      </c>
      <c r="AA43" s="1806">
        <f t="shared" si="15"/>
        <v>1</v>
      </c>
      <c r="AB43" s="1806">
        <f t="shared" si="16"/>
        <v>1</v>
      </c>
      <c r="AC43" s="1806">
        <f t="shared" si="17"/>
        <v>1</v>
      </c>
    </row>
    <row r="44" spans="1:29" s="114" customFormat="1" ht="15.5" hidden="1">
      <c r="A44" s="468"/>
      <c r="B44" s="1381">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88"/>
      <c r="L44" s="1127"/>
      <c r="M44" s="1128"/>
      <c r="N44" s="1128"/>
      <c r="O44" s="1128"/>
      <c r="P44" s="3276"/>
      <c r="Q44" s="1790">
        <f t="shared" si="11"/>
        <v>111</v>
      </c>
      <c r="R44" s="765" t="s">
        <v>21</v>
      </c>
      <c r="S44" s="766">
        <f t="shared" si="12"/>
        <v>100</v>
      </c>
      <c r="T44" s="765" t="s">
        <v>21</v>
      </c>
      <c r="U44" s="766">
        <f t="shared" si="13"/>
        <v>100</v>
      </c>
      <c r="V44" s="765" t="s">
        <v>21</v>
      </c>
      <c r="W44" s="766">
        <f t="shared" si="14"/>
        <v>100</v>
      </c>
      <c r="X44" s="767"/>
      <c r="Y44" s="3242"/>
      <c r="Z44" s="52">
        <f t="shared" si="18"/>
        <v>111</v>
      </c>
      <c r="AA44" s="768">
        <f t="shared" si="15"/>
        <v>1</v>
      </c>
      <c r="AB44" s="768">
        <f t="shared" si="16"/>
        <v>1</v>
      </c>
      <c r="AC44" s="768">
        <f t="shared" si="17"/>
        <v>1</v>
      </c>
    </row>
    <row r="45" spans="1:29" ht="15.5" hidden="1">
      <c r="A45" s="467"/>
      <c r="B45" s="1381">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88"/>
      <c r="L45" s="1135"/>
      <c r="M45" s="1126"/>
      <c r="N45" s="1126"/>
      <c r="O45" s="1126"/>
      <c r="P45" s="3276"/>
      <c r="Q45" s="1805">
        <f t="shared" si="11"/>
        <v>111</v>
      </c>
      <c r="R45" s="769" t="s">
        <v>21</v>
      </c>
      <c r="S45" s="770">
        <f t="shared" si="12"/>
        <v>100</v>
      </c>
      <c r="T45" s="769" t="s">
        <v>21</v>
      </c>
      <c r="U45" s="770">
        <f t="shared" si="13"/>
        <v>100</v>
      </c>
      <c r="V45" s="769" t="s">
        <v>21</v>
      </c>
      <c r="W45" s="770">
        <f t="shared" si="14"/>
        <v>100</v>
      </c>
      <c r="X45" s="1808"/>
      <c r="Y45" s="3242"/>
      <c r="Z45" s="1809">
        <f t="shared" si="18"/>
        <v>111</v>
      </c>
      <c r="AA45" s="1806">
        <f t="shared" si="15"/>
        <v>1</v>
      </c>
      <c r="AB45" s="1806">
        <f t="shared" si="16"/>
        <v>1</v>
      </c>
      <c r="AC45" s="1806">
        <f t="shared" si="17"/>
        <v>1</v>
      </c>
    </row>
    <row r="46" spans="1:29" ht="16" hidden="1" thickBot="1">
      <c r="A46" s="473"/>
      <c r="B46" s="2589">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88"/>
      <c r="L46" s="1135"/>
      <c r="M46" s="1126"/>
      <c r="N46" s="1126"/>
      <c r="O46" s="1126"/>
      <c r="P46" s="3277"/>
      <c r="Q46" s="1805">
        <f t="shared" si="11"/>
        <v>111</v>
      </c>
      <c r="R46" s="769" t="s">
        <v>20</v>
      </c>
      <c r="S46" s="770">
        <f t="shared" si="12"/>
        <v>100</v>
      </c>
      <c r="T46" s="769" t="s">
        <v>20</v>
      </c>
      <c r="U46" s="770">
        <f t="shared" si="13"/>
        <v>100</v>
      </c>
      <c r="V46" s="769" t="s">
        <v>20</v>
      </c>
      <c r="W46" s="770">
        <f t="shared" si="14"/>
        <v>100</v>
      </c>
      <c r="X46" s="1808"/>
      <c r="Y46" s="3278"/>
      <c r="Z46" s="1809">
        <f t="shared" si="18"/>
        <v>111</v>
      </c>
      <c r="AA46" s="1806">
        <f t="shared" si="15"/>
        <v>1</v>
      </c>
      <c r="AB46" s="1806">
        <f t="shared" si="16"/>
        <v>1</v>
      </c>
      <c r="AC46" s="1806">
        <f t="shared" si="17"/>
        <v>1</v>
      </c>
    </row>
    <row r="47" spans="1:29">
      <c r="A47" s="474" t="s">
        <v>2571</v>
      </c>
      <c r="B47" s="475"/>
      <c r="C47" s="1402" t="s">
        <v>19</v>
      </c>
      <c r="D47" s="1403"/>
      <c r="E47" s="1404">
        <f>ROUND(37472*L47,0)</f>
        <v>35598</v>
      </c>
      <c r="F47" s="1405"/>
      <c r="G47" s="1406">
        <f>ROUND(41454*L47,0)</f>
        <v>39381</v>
      </c>
      <c r="H47" s="1407"/>
      <c r="I47" s="1404">
        <f>ROUND(37987*L47,0)</f>
        <v>36088</v>
      </c>
      <c r="J47" s="1407"/>
      <c r="K47" s="2607"/>
      <c r="L47" s="1138">
        <v>0.95</v>
      </c>
      <c r="M47" s="1139"/>
      <c r="N47" s="1126"/>
      <c r="O47" s="1139"/>
      <c r="P47" s="3237" t="str">
        <f>A47</f>
        <v>成交单价（元/平方米）</v>
      </c>
      <c r="Q47" s="3237"/>
      <c r="R47" s="3274">
        <f>E47</f>
        <v>35598</v>
      </c>
      <c r="S47" s="3274"/>
      <c r="T47" s="3274">
        <f>G47</f>
        <v>39381</v>
      </c>
      <c r="U47" s="3274"/>
      <c r="V47" s="3274">
        <f>I47</f>
        <v>36088</v>
      </c>
      <c r="W47" s="3274"/>
      <c r="X47" s="754"/>
      <c r="Y47" s="776"/>
      <c r="Z47" s="754"/>
      <c r="AA47" s="754"/>
      <c r="AB47" s="754"/>
      <c r="AC47" s="754"/>
    </row>
    <row r="48" spans="1:29" ht="14.5" thickBot="1">
      <c r="A48" s="481" t="s">
        <v>2572</v>
      </c>
      <c r="B48" s="482"/>
      <c r="C48" s="1408">
        <f>R49</f>
        <v>35545</v>
      </c>
      <c r="D48" s="1409"/>
      <c r="E48" s="1410">
        <f>R48</f>
        <v>35072</v>
      </c>
      <c r="F48" s="1410"/>
      <c r="G48" s="1408">
        <f>T48</f>
        <v>37344</v>
      </c>
      <c r="H48" s="1409"/>
      <c r="I48" s="1410">
        <f>V48</f>
        <v>34218</v>
      </c>
      <c r="J48" s="1409"/>
      <c r="K48" s="2608"/>
      <c r="L48" s="1138"/>
      <c r="M48" s="1139"/>
      <c r="N48" s="1139"/>
      <c r="O48" s="1139"/>
      <c r="P48" s="3237" t="str">
        <f>A48</f>
        <v>比较价值（元/平方米）</v>
      </c>
      <c r="Q48" s="3237"/>
      <c r="R48" s="3274">
        <f>IF(F1="售价",ROUND(PRODUCT(R47,AA7:AA46),0),ROUND(PRODUCT(R47,AA7:AA46),1))</f>
        <v>35072</v>
      </c>
      <c r="S48" s="3274"/>
      <c r="T48" s="3274">
        <f>IF(F1="售价",ROUND(PRODUCT(T47,AB7:AB46),0),ROUND(PRODUCT(T47,AB7:AB46),1))</f>
        <v>37344</v>
      </c>
      <c r="U48" s="3274"/>
      <c r="V48" s="3274">
        <f>IF(F1="售价",ROUND(PRODUCT(V47,AC7:AC46),0),ROUND(PRODUCT(V47,AC7:AC46),1))</f>
        <v>34218</v>
      </c>
      <c r="W48" s="3274"/>
      <c r="X48" s="754"/>
      <c r="Y48" s="754"/>
      <c r="Z48" s="754"/>
      <c r="AA48" s="754"/>
      <c r="AB48" s="754"/>
      <c r="AC48" s="754"/>
    </row>
    <row r="49" spans="1:29" ht="14.5" thickBot="1">
      <c r="A49" s="487" t="s">
        <v>2573</v>
      </c>
      <c r="B49" s="488"/>
      <c r="C49" s="1411">
        <f>R49</f>
        <v>35545</v>
      </c>
      <c r="D49" s="1412"/>
      <c r="E49" s="1412"/>
      <c r="F49" s="1412"/>
      <c r="G49" s="1412"/>
      <c r="H49" s="1412"/>
      <c r="I49" s="1412"/>
      <c r="J49" s="1412"/>
      <c r="K49" s="2609"/>
      <c r="L49" s="1138"/>
      <c r="M49" s="1139"/>
      <c r="N49" s="1139"/>
      <c r="O49" s="1139"/>
      <c r="P49" s="3231" t="str">
        <f>A49</f>
        <v>估价对象XX用房的比较价值（楼面单价，元/平方米）</v>
      </c>
      <c r="Q49" s="3232"/>
      <c r="R49" s="3273">
        <f>IF(F1="售价",ROUND(AVERAGE(R48:V48),0),ROUND(AVERAGE(R48:V48),1))</f>
        <v>35545</v>
      </c>
      <c r="S49" s="3273"/>
      <c r="T49" s="3273"/>
      <c r="U49" s="3273"/>
      <c r="V49" s="3273"/>
      <c r="W49" s="3273"/>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2" t="s">
        <v>2574</v>
      </c>
      <c r="D52" s="493"/>
      <c r="E52" s="494">
        <f>IF(E47&lt;E48,E48/E47-1,E47/E48-1)</f>
        <v>1.4997718978102093E-2</v>
      </c>
      <c r="F52" s="495" t="str">
        <f>IF(OR(E52&gt;=0.3,E52&lt;=-0.3),"超过30%","")</f>
        <v/>
      </c>
      <c r="G52" s="494">
        <f>IF(G47&lt;G48,G48/G47-1,G47/G48-1)</f>
        <v>5.45469151670952E-2</v>
      </c>
      <c r="H52" s="495" t="str">
        <f>IF(OR(G52&gt;=0.3,G52&lt;=-0.3),"超过30%","")</f>
        <v/>
      </c>
      <c r="I52" s="494">
        <f>IF(I47&lt;I48,I48/I47-1,I47/I48-1)</f>
        <v>5.4649599625927969E-2</v>
      </c>
      <c r="J52" s="495" t="str">
        <f>IF(OR(I52&gt;=0.3,I52&lt;=-0.3),"超过30%","")</f>
        <v/>
      </c>
      <c r="K52" s="1100"/>
      <c r="L52" s="1101"/>
      <c r="M52" s="1139"/>
      <c r="N52" s="1139"/>
      <c r="O52" s="1139"/>
    </row>
    <row r="53" spans="1:29" ht="13.5" customHeight="1">
      <c r="A53" s="1139"/>
      <c r="B53" s="1139"/>
      <c r="C53" s="492" t="s">
        <v>2575</v>
      </c>
      <c r="D53" s="496"/>
      <c r="E53" s="494">
        <f>IF(E48&lt;G48,G48/E48-1,E48/G48-1)</f>
        <v>6.4781021897810209E-2</v>
      </c>
      <c r="F53" s="495" t="str">
        <f>IF(OR(E53&gt;=0.2,E53&lt;=-0.2),"超过20%","")</f>
        <v/>
      </c>
      <c r="G53" s="494">
        <f>IF(G48&lt;I48,I48/G48-1,G48/I48-1)</f>
        <v>9.1355426968262377E-2</v>
      </c>
      <c r="H53" s="495" t="str">
        <f>IF(OR(G53&gt;=0.2,G53&lt;=-0.2),"超过20%","")</f>
        <v/>
      </c>
      <c r="I53" s="494">
        <f>IF(I48&lt;E48,E48/I48-1,I48/E48-1)</f>
        <v>2.4957624642001353E-2</v>
      </c>
      <c r="J53" s="495" t="str">
        <f>IF(OR(I53&gt;=0.2,I53&lt;=-0.2),"超过20%","")</f>
        <v/>
      </c>
      <c r="K53" s="1100"/>
      <c r="L53" s="1101"/>
      <c r="M53" s="1139"/>
      <c r="N53" s="1139"/>
      <c r="O53" s="1139"/>
    </row>
    <row r="54" spans="1:29" s="497" customFormat="1" ht="13.5" customHeight="1">
      <c r="A54" s="1140"/>
      <c r="B54" s="1140"/>
      <c r="C54" s="492" t="s">
        <v>2576</v>
      </c>
      <c r="D54" s="496"/>
      <c r="E54" s="494">
        <f>IF(E47&lt;G47,G47/E47-1,E47/G47-1)</f>
        <v>0.10627001516939161</v>
      </c>
      <c r="F54" s="495" t="str">
        <f>IF(OR(E54&gt;=0.3,E54&lt;=-0.3),"超过30%","")</f>
        <v/>
      </c>
      <c r="G54" s="494">
        <f>IF(G47&lt;I47,I47/G47-1,G47/I47-1)</f>
        <v>9.1249168698736449E-2</v>
      </c>
      <c r="H54" s="495" t="str">
        <f>IF(OR(G54&gt;=0.3,G54&lt;=-0.3),"超过30%","")</f>
        <v/>
      </c>
      <c r="I54" s="494">
        <f>IF(I47&lt;E47,E47/I47-1,I47/E47-1)</f>
        <v>1.3764818248216182E-2</v>
      </c>
      <c r="J54" s="495" t="str">
        <f>IF(OR(I54&gt;=0.3,I54&lt;=-0.3),"超过30%","")</f>
        <v/>
      </c>
      <c r="K54" s="1143"/>
      <c r="L54" s="1144"/>
      <c r="M54" s="1140"/>
      <c r="N54" s="1140"/>
      <c r="O54" s="1140"/>
      <c r="P54" s="2611"/>
    </row>
    <row r="55" spans="1:29" s="497" customFormat="1">
      <c r="A55" s="1140"/>
      <c r="B55" s="1141"/>
      <c r="C55" s="1145"/>
      <c r="D55" s="1140"/>
      <c r="E55" s="1140"/>
      <c r="F55" s="1140"/>
      <c r="G55" s="1140"/>
      <c r="H55" s="1140"/>
      <c r="I55" s="1140"/>
      <c r="J55" s="1140"/>
      <c r="K55" s="1143"/>
      <c r="L55" s="1144"/>
      <c r="M55" s="1140"/>
      <c r="N55" s="1140"/>
      <c r="O55" s="1140"/>
      <c r="P55" s="2611"/>
    </row>
    <row r="56" spans="1:29">
      <c r="A56" s="1139"/>
      <c r="B56" s="1141"/>
      <c r="C56" s="1145"/>
      <c r="D56" s="1139"/>
      <c r="E56" s="1139"/>
      <c r="F56" s="1139"/>
      <c r="G56" s="1139"/>
      <c r="H56" s="1139"/>
      <c r="I56" s="1139"/>
      <c r="J56" s="1139"/>
      <c r="K56" s="1100"/>
      <c r="L56" s="1101"/>
      <c r="M56" s="1139"/>
      <c r="N56" s="1139"/>
      <c r="O56" s="1139"/>
    </row>
    <row r="57" spans="1:29" ht="21.5" thickBot="1">
      <c r="A57" s="758" t="s">
        <v>2577</v>
      </c>
      <c r="B57" s="754"/>
      <c r="C57" s="759"/>
      <c r="D57" s="759"/>
      <c r="E57" s="759"/>
      <c r="F57" s="760"/>
      <c r="G57" s="760"/>
      <c r="H57" s="759"/>
      <c r="I57" s="759"/>
      <c r="J57" s="759"/>
      <c r="K57" s="1155"/>
      <c r="L57" s="1156"/>
      <c r="M57" s="1154"/>
      <c r="N57" s="1154"/>
      <c r="O57" s="1154"/>
      <c r="P57" s="2612"/>
      <c r="Q57" s="499"/>
    </row>
    <row r="58" spans="1:29" s="503" customFormat="1">
      <c r="A58" s="500" t="s">
        <v>2578</v>
      </c>
      <c r="B58" s="501"/>
      <c r="C58" s="1571" t="str">
        <f>YEAR(C7)&amp;"-"&amp;MONTH(C7)</f>
        <v>2020-3</v>
      </c>
      <c r="D58" s="1570">
        <f>EDATE(C58,-1)</f>
        <v>43862</v>
      </c>
      <c r="E58" s="1570">
        <f>EDATE(D58,-1)</f>
        <v>43831</v>
      </c>
      <c r="F58" s="1570">
        <f t="shared" ref="F58:O58" si="19">EDATE(E58,-1)</f>
        <v>43800</v>
      </c>
      <c r="G58" s="1570">
        <f t="shared" si="19"/>
        <v>43770</v>
      </c>
      <c r="H58" s="1570">
        <f t="shared" si="19"/>
        <v>43739</v>
      </c>
      <c r="I58" s="1570">
        <f t="shared" si="19"/>
        <v>43709</v>
      </c>
      <c r="J58" s="1570">
        <f t="shared" si="19"/>
        <v>43678</v>
      </c>
      <c r="K58" s="1570">
        <f t="shared" si="19"/>
        <v>43647</v>
      </c>
      <c r="L58" s="1570">
        <f t="shared" si="19"/>
        <v>43617</v>
      </c>
      <c r="M58" s="1570">
        <f t="shared" si="19"/>
        <v>43586</v>
      </c>
      <c r="N58" s="1570">
        <f t="shared" si="19"/>
        <v>43556</v>
      </c>
      <c r="O58" s="1570">
        <f t="shared" si="19"/>
        <v>43525</v>
      </c>
      <c r="P58" s="1565"/>
    </row>
    <row r="59" spans="1:29" s="114" customFormat="1">
      <c r="A59" s="504"/>
      <c r="B59" s="2613"/>
      <c r="C59" s="1568">
        <v>100</v>
      </c>
      <c r="D59" s="506"/>
      <c r="E59" s="507"/>
      <c r="F59" s="507"/>
      <c r="G59" s="507"/>
      <c r="H59" s="507"/>
      <c r="I59" s="507"/>
      <c r="J59" s="507"/>
      <c r="K59" s="507"/>
      <c r="L59" s="507"/>
      <c r="M59" s="508"/>
      <c r="N59" s="507"/>
      <c r="O59" s="508"/>
      <c r="P59" s="2614"/>
    </row>
    <row r="60" spans="1:29" s="114" customFormat="1" ht="14.5" thickBot="1">
      <c r="A60" s="510" t="s">
        <v>2579</v>
      </c>
      <c r="B60" s="511"/>
      <c r="C60" s="512"/>
      <c r="D60" s="513"/>
      <c r="E60" s="513"/>
      <c r="F60" s="513"/>
      <c r="G60" s="513"/>
      <c r="H60" s="513"/>
      <c r="I60" s="513"/>
      <c r="J60" s="513"/>
      <c r="K60" s="513"/>
      <c r="L60" s="513"/>
      <c r="M60" s="514"/>
      <c r="N60" s="513"/>
      <c r="O60" s="514"/>
      <c r="P60" s="2614"/>
      <c r="Q60" s="499"/>
    </row>
    <row r="61" spans="1:29" s="114" customFormat="1">
      <c r="A61" s="516" t="s">
        <v>2580</v>
      </c>
      <c r="B61" s="505"/>
      <c r="C61" s="517" t="s">
        <v>2581</v>
      </c>
      <c r="D61" s="518"/>
      <c r="E61" s="518"/>
      <c r="F61" s="518"/>
      <c r="G61" s="518"/>
      <c r="H61" s="518"/>
      <c r="I61" s="518"/>
      <c r="J61" s="518"/>
      <c r="K61" s="518"/>
      <c r="L61" s="519"/>
      <c r="M61" s="520"/>
      <c r="N61" s="1146"/>
      <c r="O61" s="1146"/>
      <c r="P61" s="2615"/>
      <c r="Q61" s="499"/>
    </row>
    <row r="62" spans="1:29" s="114" customFormat="1" ht="14.5" thickBot="1">
      <c r="A62" s="516"/>
      <c r="B62" s="505"/>
      <c r="C62" s="506">
        <v>100</v>
      </c>
      <c r="D62" s="507"/>
      <c r="E62" s="507"/>
      <c r="F62" s="507"/>
      <c r="G62" s="507"/>
      <c r="H62" s="507"/>
      <c r="I62" s="507"/>
      <c r="J62" s="507"/>
      <c r="K62" s="507"/>
      <c r="L62" s="507"/>
      <c r="M62" s="509"/>
      <c r="N62" s="1146"/>
      <c r="O62" s="1146"/>
      <c r="P62" s="2614"/>
      <c r="Q62" s="499"/>
    </row>
    <row r="63" spans="1:29">
      <c r="A63" s="522" t="s">
        <v>2582</v>
      </c>
      <c r="B63" s="523" t="s">
        <v>2548</v>
      </c>
      <c r="C63" s="524" t="str">
        <f>C9</f>
        <v>住宅</v>
      </c>
      <c r="D63" s="525"/>
      <c r="E63" s="525"/>
      <c r="F63" s="525"/>
      <c r="G63" s="525"/>
      <c r="H63" s="525"/>
      <c r="I63" s="525"/>
      <c r="J63" s="525"/>
      <c r="K63" s="526"/>
      <c r="L63" s="527"/>
      <c r="M63" s="528"/>
      <c r="N63" s="1147"/>
      <c r="O63" s="1147"/>
      <c r="P63" s="2616"/>
      <c r="Q63" s="499"/>
    </row>
    <row r="64" spans="1:29" ht="14.5" thickBot="1">
      <c r="A64" s="529"/>
      <c r="B64" s="530"/>
      <c r="C64" s="531">
        <v>100</v>
      </c>
      <c r="D64" s="531"/>
      <c r="E64" s="531"/>
      <c r="F64" s="531"/>
      <c r="G64" s="531"/>
      <c r="H64" s="531"/>
      <c r="I64" s="531"/>
      <c r="J64" s="531"/>
      <c r="K64" s="531"/>
      <c r="L64" s="531"/>
      <c r="M64" s="532"/>
      <c r="N64" s="1148"/>
      <c r="O64" s="1148"/>
      <c r="P64" s="2616"/>
      <c r="Q64" s="499"/>
    </row>
    <row r="65" spans="1:17" ht="28.5" thickTop="1">
      <c r="A65" s="529"/>
      <c r="B65" s="533" t="s">
        <v>2551</v>
      </c>
      <c r="C65" s="534" t="s">
        <v>2583</v>
      </c>
      <c r="D65" s="534" t="s">
        <v>2584</v>
      </c>
      <c r="E65" s="534" t="s">
        <v>2585</v>
      </c>
      <c r="F65" s="534" t="s">
        <v>2586</v>
      </c>
      <c r="G65" s="534" t="s">
        <v>2587</v>
      </c>
      <c r="H65" s="534" t="s">
        <v>2588</v>
      </c>
      <c r="I65" s="534" t="s">
        <v>2589</v>
      </c>
      <c r="J65" s="534"/>
      <c r="K65" s="535"/>
      <c r="L65" s="536"/>
      <c r="M65" s="537"/>
      <c r="N65" s="1147"/>
      <c r="O65" s="1147"/>
      <c r="P65" s="2616"/>
      <c r="Q65" s="499"/>
    </row>
    <row r="66" spans="1:17" ht="14.5" thickBot="1">
      <c r="A66" s="529"/>
      <c r="B66" s="538"/>
      <c r="C66" s="539">
        <v>100</v>
      </c>
      <c r="D66" s="539">
        <f t="shared" ref="D66:I66" si="20">C66-$K10</f>
        <v>98</v>
      </c>
      <c r="E66" s="539">
        <f t="shared" si="20"/>
        <v>96</v>
      </c>
      <c r="F66" s="539">
        <f t="shared" si="20"/>
        <v>94</v>
      </c>
      <c r="G66" s="539">
        <f t="shared" si="20"/>
        <v>92</v>
      </c>
      <c r="H66" s="539">
        <f t="shared" si="20"/>
        <v>90</v>
      </c>
      <c r="I66" s="539">
        <f t="shared" si="20"/>
        <v>88</v>
      </c>
      <c r="J66" s="539"/>
      <c r="K66" s="539"/>
      <c r="L66" s="539"/>
      <c r="M66" s="540"/>
      <c r="N66" s="1148"/>
      <c r="O66" s="1148"/>
      <c r="P66" s="2616"/>
      <c r="Q66" s="499"/>
    </row>
    <row r="67" spans="1:17" ht="14.5" thickTop="1">
      <c r="A67" s="529"/>
      <c r="B67" s="541" t="s">
        <v>2552</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v>
      </c>
      <c r="I67" s="542" t="str">
        <f t="shared" si="21"/>
        <v>（含）-</v>
      </c>
      <c r="J67" s="542" t="str">
        <f t="shared" si="21"/>
        <v>（含）-</v>
      </c>
      <c r="K67" s="542" t="str">
        <f>K68&amp;"（含）"&amp;"-"&amp;L68</f>
        <v>（含）-</v>
      </c>
      <c r="L67" s="542" t="str">
        <f t="shared" si="21"/>
        <v>（含）-</v>
      </c>
      <c r="M67" s="443" t="str">
        <f>M68&amp;"（含）"&amp;"-"&amp;P68</f>
        <v>（含）-</v>
      </c>
      <c r="N67" s="1148"/>
      <c r="O67" s="1148"/>
      <c r="P67" s="2616"/>
      <c r="Q67" s="499"/>
    </row>
    <row r="68" spans="1:17">
      <c r="A68" s="529"/>
      <c r="B68" s="543"/>
      <c r="C68" s="544">
        <v>0</v>
      </c>
      <c r="D68" s="544">
        <v>1</v>
      </c>
      <c r="E68" s="544">
        <v>2</v>
      </c>
      <c r="F68" s="544">
        <v>3</v>
      </c>
      <c r="G68" s="544">
        <v>4</v>
      </c>
      <c r="H68" s="544">
        <v>5</v>
      </c>
      <c r="I68" s="544"/>
      <c r="J68" s="544"/>
      <c r="K68" s="545"/>
      <c r="L68" s="546"/>
      <c r="M68" s="547"/>
      <c r="N68" s="1147"/>
      <c r="O68" s="1147"/>
      <c r="P68" s="2616"/>
      <c r="Q68" s="499"/>
    </row>
    <row r="69" spans="1:17" ht="14.5"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8"/>
      <c r="O69" s="1148"/>
      <c r="P69" s="2616"/>
      <c r="Q69" s="499"/>
    </row>
    <row r="70" spans="1:17" s="466" customFormat="1" ht="14.5" thickTop="1">
      <c r="A70" s="548"/>
      <c r="B70" s="533">
        <f>B12</f>
        <v>111</v>
      </c>
      <c r="C70" s="549"/>
      <c r="D70" s="549"/>
      <c r="E70" s="549"/>
      <c r="F70" s="549"/>
      <c r="G70" s="549"/>
      <c r="H70" s="550"/>
      <c r="I70" s="550"/>
      <c r="J70" s="550"/>
      <c r="K70" s="550"/>
      <c r="L70" s="551"/>
      <c r="M70" s="552"/>
      <c r="N70" s="1149"/>
      <c r="O70" s="1149"/>
      <c r="P70" s="2617"/>
      <c r="Q70" s="554"/>
    </row>
    <row r="71" spans="1:17" s="466" customFormat="1" ht="14.5" thickBot="1">
      <c r="A71" s="548"/>
      <c r="B71" s="538"/>
      <c r="C71" s="555"/>
      <c r="D71" s="531"/>
      <c r="E71" s="531"/>
      <c r="F71" s="531"/>
      <c r="G71" s="531"/>
      <c r="H71" s="531"/>
      <c r="I71" s="531"/>
      <c r="J71" s="531"/>
      <c r="K71" s="531"/>
      <c r="L71" s="531"/>
      <c r="M71" s="532"/>
      <c r="N71" s="1148"/>
      <c r="O71" s="1148"/>
      <c r="P71" s="2617"/>
      <c r="Q71" s="554"/>
    </row>
    <row r="72" spans="1:17" s="466" customFormat="1" ht="14.5" thickTop="1">
      <c r="A72" s="548"/>
      <c r="B72" s="533">
        <f>B13</f>
        <v>111</v>
      </c>
      <c r="C72" s="549"/>
      <c r="D72" s="549"/>
      <c r="E72" s="549"/>
      <c r="F72" s="549"/>
      <c r="G72" s="549"/>
      <c r="H72" s="550"/>
      <c r="I72" s="550"/>
      <c r="J72" s="550"/>
      <c r="K72" s="550"/>
      <c r="L72" s="551"/>
      <c r="M72" s="552"/>
      <c r="N72" s="1149"/>
      <c r="O72" s="1149"/>
      <c r="P72" s="2618"/>
      <c r="Q72" s="556"/>
    </row>
    <row r="73" spans="1:17" s="466" customFormat="1" ht="14.5" thickBot="1">
      <c r="A73" s="548"/>
      <c r="B73" s="538"/>
      <c r="C73" s="555"/>
      <c r="D73" s="555"/>
      <c r="E73" s="555"/>
      <c r="F73" s="555"/>
      <c r="G73" s="555"/>
      <c r="H73" s="557"/>
      <c r="I73" s="557"/>
      <c r="J73" s="557"/>
      <c r="K73" s="557"/>
      <c r="L73" s="557"/>
      <c r="M73" s="558"/>
      <c r="N73" s="1149"/>
      <c r="O73" s="1149"/>
      <c r="P73" s="2617"/>
      <c r="Q73" s="554"/>
    </row>
    <row r="74" spans="1:17" s="466" customFormat="1" ht="14.5" thickTop="1">
      <c r="A74" s="548"/>
      <c r="B74" s="541">
        <f>B14</f>
        <v>111</v>
      </c>
      <c r="C74" s="549"/>
      <c r="D74" s="549"/>
      <c r="E74" s="549"/>
      <c r="F74" s="549"/>
      <c r="G74" s="518"/>
      <c r="H74" s="559"/>
      <c r="I74" s="559"/>
      <c r="J74" s="559"/>
      <c r="K74" s="559"/>
      <c r="L74" s="560"/>
      <c r="M74" s="561"/>
      <c r="N74" s="1149"/>
      <c r="O74" s="1149"/>
      <c r="P74" s="2619"/>
      <c r="Q74" s="554"/>
    </row>
    <row r="75" spans="1:17" s="466" customFormat="1" ht="14.5" thickBot="1">
      <c r="A75" s="563"/>
      <c r="B75" s="564"/>
      <c r="C75" s="565"/>
      <c r="D75" s="565"/>
      <c r="E75" s="565"/>
      <c r="F75" s="565"/>
      <c r="G75" s="565"/>
      <c r="H75" s="566"/>
      <c r="I75" s="566"/>
      <c r="J75" s="566"/>
      <c r="K75" s="566"/>
      <c r="L75" s="566"/>
      <c r="M75" s="567"/>
      <c r="N75" s="1149"/>
      <c r="O75" s="1149"/>
      <c r="P75" s="2617"/>
      <c r="Q75" s="554"/>
    </row>
    <row r="76" spans="1:17">
      <c r="A76" s="522" t="s">
        <v>2553</v>
      </c>
      <c r="B76" s="523" t="s">
        <v>2590</v>
      </c>
      <c r="C76" s="568" t="s">
        <v>2591</v>
      </c>
      <c r="D76" s="568" t="s">
        <v>2592</v>
      </c>
      <c r="E76" s="568" t="s">
        <v>2593</v>
      </c>
      <c r="F76" s="568" t="s">
        <v>2594</v>
      </c>
      <c r="G76" s="568" t="s">
        <v>2595</v>
      </c>
      <c r="H76" s="524"/>
      <c r="I76" s="524"/>
      <c r="J76" s="524"/>
      <c r="K76" s="569"/>
      <c r="L76" s="570"/>
      <c r="M76" s="571"/>
      <c r="N76" s="1147"/>
      <c r="O76" s="1147"/>
      <c r="P76" s="2620"/>
      <c r="Q76" s="499"/>
    </row>
    <row r="77" spans="1:17" ht="14.5" thickBot="1">
      <c r="A77" s="529"/>
      <c r="B77" s="538"/>
      <c r="C77" s="539">
        <v>100</v>
      </c>
      <c r="D77" s="539">
        <f>C77-$K15</f>
        <v>97</v>
      </c>
      <c r="E77" s="539">
        <f>D77-$K15</f>
        <v>94</v>
      </c>
      <c r="F77" s="539">
        <f>E77-$K15</f>
        <v>91</v>
      </c>
      <c r="G77" s="539">
        <f>F77-$K15</f>
        <v>88</v>
      </c>
      <c r="H77" s="539"/>
      <c r="I77" s="539"/>
      <c r="J77" s="539"/>
      <c r="K77" s="539"/>
      <c r="L77" s="539"/>
      <c r="M77" s="540"/>
      <c r="N77" s="1148"/>
      <c r="O77" s="1148"/>
      <c r="P77" s="2616"/>
      <c r="Q77" s="499"/>
    </row>
    <row r="78" spans="1:17" ht="14.5" thickTop="1">
      <c r="A78" s="529"/>
      <c r="B78" s="533" t="s">
        <v>2596</v>
      </c>
      <c r="C78" s="573" t="s">
        <v>2591</v>
      </c>
      <c r="D78" s="573" t="s">
        <v>2592</v>
      </c>
      <c r="E78" s="573" t="s">
        <v>2593</v>
      </c>
      <c r="F78" s="573" t="s">
        <v>2594</v>
      </c>
      <c r="G78" s="573" t="s">
        <v>2595</v>
      </c>
      <c r="H78" s="534"/>
      <c r="I78" s="534"/>
      <c r="J78" s="534"/>
      <c r="K78" s="535"/>
      <c r="L78" s="536"/>
      <c r="M78" s="537"/>
      <c r="N78" s="1147"/>
      <c r="O78" s="1147"/>
      <c r="P78" s="2616"/>
      <c r="Q78" s="499"/>
    </row>
    <row r="79" spans="1:17" ht="14.5" thickBot="1">
      <c r="A79" s="529"/>
      <c r="B79" s="538"/>
      <c r="C79" s="539">
        <v>100</v>
      </c>
      <c r="D79" s="539">
        <f>C79-$K17</f>
        <v>97</v>
      </c>
      <c r="E79" s="539">
        <f>D79-$K17</f>
        <v>94</v>
      </c>
      <c r="F79" s="539">
        <f>E79-$K17</f>
        <v>91</v>
      </c>
      <c r="G79" s="539">
        <f>F79-$K17</f>
        <v>88</v>
      </c>
      <c r="H79" s="539"/>
      <c r="I79" s="539"/>
      <c r="J79" s="539"/>
      <c r="K79" s="539"/>
      <c r="L79" s="539"/>
      <c r="M79" s="540"/>
      <c r="N79" s="1148"/>
      <c r="O79" s="1148"/>
      <c r="P79" s="2616"/>
      <c r="Q79" s="499"/>
    </row>
    <row r="80" spans="1:17" ht="14.5" thickTop="1">
      <c r="A80" s="529"/>
      <c r="B80" s="533" t="s">
        <v>2597</v>
      </c>
      <c r="C80" s="573" t="s">
        <v>2591</v>
      </c>
      <c r="D80" s="573" t="s">
        <v>2592</v>
      </c>
      <c r="E80" s="573" t="s">
        <v>2593</v>
      </c>
      <c r="F80" s="573" t="s">
        <v>2594</v>
      </c>
      <c r="G80" s="573" t="s">
        <v>2595</v>
      </c>
      <c r="H80" s="534"/>
      <c r="I80" s="534"/>
      <c r="J80" s="534"/>
      <c r="K80" s="535"/>
      <c r="L80" s="536"/>
      <c r="M80" s="537"/>
      <c r="N80" s="1147"/>
      <c r="O80" s="1147"/>
      <c r="P80" s="2616"/>
      <c r="Q80" s="499"/>
    </row>
    <row r="81" spans="1:17" ht="14.5" thickBot="1">
      <c r="A81" s="529"/>
      <c r="B81" s="538"/>
      <c r="C81" s="539">
        <v>100</v>
      </c>
      <c r="D81" s="539">
        <f>C81-$K19</f>
        <v>97</v>
      </c>
      <c r="E81" s="539">
        <f>D81-$K19</f>
        <v>94</v>
      </c>
      <c r="F81" s="539">
        <f>E81-$K19</f>
        <v>91</v>
      </c>
      <c r="G81" s="539">
        <f>F81-$K19</f>
        <v>88</v>
      </c>
      <c r="H81" s="539"/>
      <c r="I81" s="539"/>
      <c r="J81" s="539"/>
      <c r="K81" s="539"/>
      <c r="L81" s="539"/>
      <c r="M81" s="540"/>
      <c r="N81" s="1148"/>
      <c r="O81" s="1148"/>
      <c r="P81" s="2616"/>
      <c r="Q81" s="499"/>
    </row>
    <row r="82" spans="1:17" ht="14.5" thickTop="1">
      <c r="A82" s="529"/>
      <c r="B82" s="541" t="s">
        <v>2096</v>
      </c>
      <c r="C82" s="534" t="s">
        <v>2598</v>
      </c>
      <c r="D82" s="534" t="s">
        <v>2599</v>
      </c>
      <c r="E82" s="534" t="s">
        <v>2600</v>
      </c>
      <c r="F82" s="534" t="s">
        <v>2601</v>
      </c>
      <c r="G82" s="534" t="s">
        <v>2602</v>
      </c>
      <c r="H82" s="534"/>
      <c r="I82" s="534"/>
      <c r="J82" s="534"/>
      <c r="K82" s="534"/>
      <c r="L82" s="534"/>
      <c r="M82" s="1377"/>
      <c r="N82" s="1148"/>
      <c r="O82" s="1148"/>
      <c r="P82" s="2616"/>
      <c r="Q82" s="499"/>
    </row>
    <row r="83" spans="1:17" ht="14.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8"/>
      <c r="O83" s="1148"/>
      <c r="P83" s="2616"/>
      <c r="Q83" s="499"/>
    </row>
    <row r="84" spans="1:17" ht="14.5" thickTop="1">
      <c r="A84" s="529"/>
      <c r="B84" s="533" t="s">
        <v>2603</v>
      </c>
      <c r="C84" s="573" t="s">
        <v>2591</v>
      </c>
      <c r="D84" s="573" t="s">
        <v>2592</v>
      </c>
      <c r="E84" s="573" t="s">
        <v>2593</v>
      </c>
      <c r="F84" s="573" t="s">
        <v>2594</v>
      </c>
      <c r="G84" s="573" t="s">
        <v>2595</v>
      </c>
      <c r="H84" s="534"/>
      <c r="I84" s="534"/>
      <c r="J84" s="534"/>
      <c r="K84" s="535"/>
      <c r="L84" s="536"/>
      <c r="M84" s="537"/>
      <c r="N84" s="1147"/>
      <c r="O84" s="1147"/>
      <c r="P84" s="2616"/>
      <c r="Q84" s="499"/>
    </row>
    <row r="85" spans="1:17" ht="14.5" thickBot="1">
      <c r="A85" s="529"/>
      <c r="B85" s="538"/>
      <c r="C85" s="539">
        <v>100</v>
      </c>
      <c r="D85" s="539">
        <f>C85-$K23</f>
        <v>98</v>
      </c>
      <c r="E85" s="539">
        <f>D85-$K23</f>
        <v>96</v>
      </c>
      <c r="F85" s="539">
        <f>E85-$K23</f>
        <v>94</v>
      </c>
      <c r="G85" s="539">
        <f>F85-$K23</f>
        <v>92</v>
      </c>
      <c r="H85" s="539"/>
      <c r="I85" s="539"/>
      <c r="J85" s="539"/>
      <c r="K85" s="539"/>
      <c r="L85" s="539"/>
      <c r="M85" s="540"/>
      <c r="N85" s="1148"/>
      <c r="O85" s="1148"/>
      <c r="P85" s="2616"/>
      <c r="Q85" s="499"/>
    </row>
    <row r="86" spans="1:17" s="114" customFormat="1" ht="15" thickTop="1">
      <c r="A86" s="574"/>
      <c r="B86" s="533" t="s">
        <v>2604</v>
      </c>
      <c r="C86" s="549"/>
      <c r="D86" s="549"/>
      <c r="E86" s="549"/>
      <c r="F86" s="549"/>
      <c r="G86" s="549"/>
      <c r="H86" s="549"/>
      <c r="I86" s="549"/>
      <c r="J86" s="549"/>
      <c r="K86" s="549"/>
      <c r="L86" s="575"/>
      <c r="M86" s="576"/>
      <c r="N86" s="1146"/>
      <c r="O86" s="1146"/>
      <c r="P86" s="2616"/>
      <c r="Q86" s="499"/>
    </row>
    <row r="87" spans="1:17" s="114" customFormat="1" ht="14.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8"/>
      <c r="O87" s="1148"/>
      <c r="P87" s="2616"/>
      <c r="Q87" s="499"/>
    </row>
    <row r="88" spans="1:17" s="114" customFormat="1" ht="14.5" thickTop="1">
      <c r="A88" s="574"/>
      <c r="B88" s="533" t="s">
        <v>2605</v>
      </c>
      <c r="C88" s="549"/>
      <c r="D88" s="549"/>
      <c r="E88" s="549"/>
      <c r="F88" s="2621"/>
      <c r="G88" s="549"/>
      <c r="H88" s="549"/>
      <c r="I88" s="549"/>
      <c r="J88" s="549"/>
      <c r="K88" s="549"/>
      <c r="L88" s="549"/>
      <c r="M88" s="576"/>
      <c r="N88" s="1146"/>
      <c r="O88" s="1146"/>
      <c r="P88" s="2616"/>
      <c r="Q88" s="499"/>
    </row>
    <row r="89" spans="1:17" s="114" customFormat="1" ht="14.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8"/>
      <c r="O89" s="1148"/>
      <c r="P89" s="2616"/>
      <c r="Q89" s="499"/>
    </row>
    <row r="90" spans="1:17" s="466" customFormat="1" ht="14.5" thickTop="1">
      <c r="A90" s="548"/>
      <c r="B90" s="533">
        <f>B27</f>
        <v>111</v>
      </c>
      <c r="C90" s="549"/>
      <c r="D90" s="549"/>
      <c r="E90" s="549"/>
      <c r="F90" s="549"/>
      <c r="G90" s="549"/>
      <c r="H90" s="550"/>
      <c r="I90" s="550"/>
      <c r="J90" s="550"/>
      <c r="K90" s="550"/>
      <c r="L90" s="551"/>
      <c r="M90" s="552"/>
      <c r="N90" s="1149"/>
      <c r="O90" s="1149"/>
      <c r="P90" s="2617"/>
      <c r="Q90" s="554"/>
    </row>
    <row r="91" spans="1:17" s="466" customFormat="1" ht="14.5" thickBot="1">
      <c r="A91" s="548"/>
      <c r="B91" s="538"/>
      <c r="C91" s="555"/>
      <c r="D91" s="555"/>
      <c r="E91" s="555"/>
      <c r="F91" s="555"/>
      <c r="G91" s="555"/>
      <c r="H91" s="557"/>
      <c r="I91" s="557"/>
      <c r="J91" s="557"/>
      <c r="K91" s="557"/>
      <c r="L91" s="557"/>
      <c r="M91" s="558"/>
      <c r="N91" s="1149"/>
      <c r="O91" s="1149"/>
      <c r="P91" s="2617"/>
      <c r="Q91" s="554"/>
    </row>
    <row r="92" spans="1:17" ht="14.5" thickTop="1">
      <c r="A92" s="529"/>
      <c r="B92" s="533">
        <f>B28</f>
        <v>111</v>
      </c>
      <c r="C92" s="549"/>
      <c r="D92" s="549"/>
      <c r="E92" s="549"/>
      <c r="F92" s="549"/>
      <c r="G92" s="578"/>
      <c r="H92" s="578"/>
      <c r="I92" s="578"/>
      <c r="J92" s="578"/>
      <c r="K92" s="579"/>
      <c r="L92" s="580"/>
      <c r="M92" s="581"/>
      <c r="N92" s="1147"/>
      <c r="O92" s="1147"/>
      <c r="P92" s="2616"/>
      <c r="Q92" s="499"/>
    </row>
    <row r="93" spans="1:17" ht="14.5" thickBot="1">
      <c r="A93" s="529"/>
      <c r="B93" s="538"/>
      <c r="C93" s="555"/>
      <c r="D93" s="531"/>
      <c r="E93" s="531"/>
      <c r="F93" s="531"/>
      <c r="G93" s="531"/>
      <c r="H93" s="531"/>
      <c r="I93" s="531"/>
      <c r="J93" s="531"/>
      <c r="K93" s="531"/>
      <c r="L93" s="531"/>
      <c r="M93" s="532"/>
      <c r="N93" s="1148"/>
      <c r="O93" s="1148"/>
      <c r="P93" s="2616"/>
      <c r="Q93" s="499"/>
    </row>
    <row r="94" spans="1:17" ht="14.5" thickTop="1">
      <c r="A94" s="529"/>
      <c r="B94" s="533">
        <f>B29</f>
        <v>111</v>
      </c>
      <c r="C94" s="549"/>
      <c r="D94" s="549"/>
      <c r="E94" s="549"/>
      <c r="F94" s="549"/>
      <c r="G94" s="578"/>
      <c r="H94" s="578"/>
      <c r="I94" s="578"/>
      <c r="J94" s="578"/>
      <c r="K94" s="579"/>
      <c r="L94" s="580"/>
      <c r="M94" s="581"/>
      <c r="N94" s="1147"/>
      <c r="O94" s="1147"/>
      <c r="P94" s="2616"/>
      <c r="Q94" s="499"/>
    </row>
    <row r="95" spans="1:17" ht="14.5" thickBot="1">
      <c r="A95" s="529"/>
      <c r="B95" s="538"/>
      <c r="C95" s="555"/>
      <c r="D95" s="555"/>
      <c r="E95" s="555"/>
      <c r="F95" s="555"/>
      <c r="G95" s="531"/>
      <c r="H95" s="531"/>
      <c r="I95" s="531"/>
      <c r="J95" s="531"/>
      <c r="K95" s="531"/>
      <c r="L95" s="531"/>
      <c r="M95" s="532"/>
      <c r="N95" s="1148"/>
      <c r="O95" s="1148"/>
      <c r="P95" s="2616"/>
      <c r="Q95" s="499"/>
    </row>
    <row r="96" spans="1:17" ht="14.5" thickTop="1">
      <c r="A96" s="529"/>
      <c r="B96" s="533">
        <f>B30</f>
        <v>111</v>
      </c>
      <c r="C96" s="549"/>
      <c r="D96" s="549"/>
      <c r="E96" s="549"/>
      <c r="F96" s="549"/>
      <c r="G96" s="578"/>
      <c r="H96" s="578"/>
      <c r="I96" s="578"/>
      <c r="J96" s="578"/>
      <c r="K96" s="579"/>
      <c r="L96" s="580"/>
      <c r="M96" s="581"/>
      <c r="N96" s="1147"/>
      <c r="O96" s="1147"/>
      <c r="P96" s="2616"/>
      <c r="Q96" s="499"/>
    </row>
    <row r="97" spans="1:17" ht="14.5" thickBot="1">
      <c r="A97" s="529"/>
      <c r="B97" s="538"/>
      <c r="C97" s="565"/>
      <c r="D97" s="565"/>
      <c r="E97" s="565"/>
      <c r="F97" s="565"/>
      <c r="G97" s="531"/>
      <c r="H97" s="531"/>
      <c r="I97" s="531"/>
      <c r="J97" s="531"/>
      <c r="K97" s="531"/>
      <c r="L97" s="531"/>
      <c r="M97" s="532"/>
      <c r="N97" s="1148"/>
      <c r="O97" s="1148"/>
      <c r="P97" s="2616"/>
      <c r="Q97" s="499"/>
    </row>
    <row r="98" spans="1:17" ht="14.5" thickTop="1">
      <c r="A98" s="529"/>
      <c r="B98" s="541">
        <f>B31</f>
        <v>111</v>
      </c>
      <c r="C98" s="582"/>
      <c r="D98" s="582"/>
      <c r="E98" s="582"/>
      <c r="F98" s="582"/>
      <c r="G98" s="582"/>
      <c r="H98" s="582"/>
      <c r="I98" s="582"/>
      <c r="J98" s="582"/>
      <c r="K98" s="583"/>
      <c r="L98" s="584"/>
      <c r="M98" s="585"/>
      <c r="N98" s="1147"/>
      <c r="O98" s="1147"/>
      <c r="P98" s="2616"/>
      <c r="Q98" s="499"/>
    </row>
    <row r="99" spans="1:17" ht="14.5" thickBot="1">
      <c r="A99" s="2622"/>
      <c r="B99" s="564"/>
      <c r="C99" s="586"/>
      <c r="D99" s="586"/>
      <c r="E99" s="586"/>
      <c r="F99" s="586"/>
      <c r="G99" s="586"/>
      <c r="H99" s="586"/>
      <c r="I99" s="586"/>
      <c r="J99" s="586"/>
      <c r="K99" s="586"/>
      <c r="L99" s="586"/>
      <c r="M99" s="587"/>
      <c r="N99" s="1148"/>
      <c r="O99" s="1148"/>
      <c r="P99" s="2616"/>
      <c r="Q99" s="499"/>
    </row>
    <row r="100" spans="1:17">
      <c r="A100" s="522" t="s">
        <v>2557</v>
      </c>
      <c r="B100" s="523" t="s">
        <v>2606</v>
      </c>
      <c r="C100" s="2972" t="s">
        <v>3285</v>
      </c>
      <c r="D100" s="2972" t="s">
        <v>3287</v>
      </c>
      <c r="E100" s="2972" t="s">
        <v>3289</v>
      </c>
      <c r="F100" s="525"/>
      <c r="G100" s="525"/>
      <c r="H100" s="525"/>
      <c r="I100" s="525"/>
      <c r="J100" s="525"/>
      <c r="K100" s="526"/>
      <c r="L100" s="527"/>
      <c r="M100" s="528"/>
      <c r="N100" s="1147"/>
      <c r="O100" s="1147"/>
      <c r="P100" s="2616"/>
      <c r="Q100" s="499"/>
    </row>
    <row r="101" spans="1:17" ht="14.5" thickBot="1">
      <c r="A101" s="529"/>
      <c r="B101" s="538"/>
      <c r="C101" s="539">
        <v>100</v>
      </c>
      <c r="D101" s="539">
        <f t="shared" ref="D101:M101" si="26">C101-$K32</f>
        <v>99</v>
      </c>
      <c r="E101" s="539">
        <f t="shared" si="26"/>
        <v>98</v>
      </c>
      <c r="F101" s="539">
        <f t="shared" si="26"/>
        <v>97</v>
      </c>
      <c r="G101" s="539">
        <f t="shared" si="26"/>
        <v>96</v>
      </c>
      <c r="H101" s="539">
        <f t="shared" si="26"/>
        <v>95</v>
      </c>
      <c r="I101" s="539">
        <f t="shared" si="26"/>
        <v>94</v>
      </c>
      <c r="J101" s="539">
        <f t="shared" si="26"/>
        <v>93</v>
      </c>
      <c r="K101" s="539">
        <f t="shared" si="26"/>
        <v>92</v>
      </c>
      <c r="L101" s="539">
        <f t="shared" si="26"/>
        <v>91</v>
      </c>
      <c r="M101" s="539">
        <f t="shared" si="26"/>
        <v>90</v>
      </c>
      <c r="N101" s="1148"/>
      <c r="O101" s="1148"/>
      <c r="P101" s="2616"/>
      <c r="Q101" s="499"/>
    </row>
    <row r="102" spans="1:17" ht="28.5" thickTop="1">
      <c r="A102" s="529"/>
      <c r="B102" s="533" t="s">
        <v>2607</v>
      </c>
      <c r="C102" s="573" t="str">
        <f>C103&amp;"(含)"&amp;"-"&amp;D103</f>
        <v>0(含)-100000</v>
      </c>
      <c r="D102" s="573" t="str">
        <f t="shared" ref="D102:L102" si="27">D103&amp;"(含)"&amp;"-"&amp;E103</f>
        <v>100000(含)-200000</v>
      </c>
      <c r="E102" s="573" t="str">
        <f t="shared" si="27"/>
        <v>200000(含)-300000</v>
      </c>
      <c r="F102" s="573" t="str">
        <f t="shared" si="27"/>
        <v>300000(含)-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6"/>
      <c r="O102" s="1146"/>
      <c r="P102" s="2616"/>
      <c r="Q102" s="499"/>
    </row>
    <row r="103" spans="1:17" s="466" customFormat="1">
      <c r="A103" s="588"/>
      <c r="B103" s="589"/>
      <c r="C103" s="590">
        <v>0</v>
      </c>
      <c r="D103" s="590">
        <v>100000</v>
      </c>
      <c r="E103" s="590">
        <v>200000</v>
      </c>
      <c r="F103" s="590">
        <v>300000</v>
      </c>
      <c r="G103" s="590"/>
      <c r="H103" s="590"/>
      <c r="I103" s="590"/>
      <c r="J103" s="591"/>
      <c r="K103" s="591"/>
      <c r="L103" s="592"/>
      <c r="M103" s="593"/>
      <c r="N103" s="1149"/>
      <c r="O103" s="1149"/>
      <c r="P103" s="2617"/>
      <c r="Q103" s="554"/>
    </row>
    <row r="104" spans="1:17" s="466" customFormat="1" ht="14.5" thickBot="1">
      <c r="A104" s="548"/>
      <c r="B104" s="538"/>
      <c r="C104" s="555">
        <v>100</v>
      </c>
      <c r="D104" s="531">
        <v>101</v>
      </c>
      <c r="E104" s="531">
        <v>102</v>
      </c>
      <c r="F104" s="531">
        <v>103</v>
      </c>
      <c r="G104" s="531"/>
      <c r="H104" s="531"/>
      <c r="I104" s="531"/>
      <c r="J104" s="531"/>
      <c r="K104" s="531"/>
      <c r="L104" s="531"/>
      <c r="M104" s="531"/>
      <c r="N104" s="1148"/>
      <c r="O104" s="1148"/>
      <c r="P104" s="2617"/>
      <c r="Q104" s="554"/>
    </row>
    <row r="105" spans="1:17" ht="14.5" thickTop="1">
      <c r="A105" s="594"/>
      <c r="B105" s="533" t="s">
        <v>2608</v>
      </c>
      <c r="C105" s="2974" t="s">
        <v>3290</v>
      </c>
      <c r="D105" s="549"/>
      <c r="E105" s="578"/>
      <c r="F105" s="578"/>
      <c r="G105" s="578"/>
      <c r="H105" s="578"/>
      <c r="I105" s="578"/>
      <c r="J105" s="578"/>
      <c r="K105" s="579"/>
      <c r="L105" s="580"/>
      <c r="M105" s="581"/>
      <c r="N105" s="1147"/>
      <c r="O105" s="1147"/>
      <c r="P105" s="2616"/>
      <c r="Q105" s="499"/>
    </row>
    <row r="106" spans="1:17" ht="14.5" thickBot="1">
      <c r="A106" s="529"/>
      <c r="B106" s="538"/>
      <c r="C106" s="539">
        <v>100</v>
      </c>
      <c r="D106" s="539">
        <f t="shared" ref="D106:M106" si="28">C106-$K34</f>
        <v>99</v>
      </c>
      <c r="E106" s="539">
        <f t="shared" si="28"/>
        <v>98</v>
      </c>
      <c r="F106" s="539">
        <f t="shared" si="28"/>
        <v>97</v>
      </c>
      <c r="G106" s="539">
        <f t="shared" si="28"/>
        <v>96</v>
      </c>
      <c r="H106" s="539">
        <f t="shared" si="28"/>
        <v>95</v>
      </c>
      <c r="I106" s="539">
        <f t="shared" si="28"/>
        <v>94</v>
      </c>
      <c r="J106" s="539">
        <f t="shared" si="28"/>
        <v>93</v>
      </c>
      <c r="K106" s="539">
        <f t="shared" si="28"/>
        <v>92</v>
      </c>
      <c r="L106" s="539">
        <f t="shared" si="28"/>
        <v>91</v>
      </c>
      <c r="M106" s="539">
        <f t="shared" si="28"/>
        <v>90</v>
      </c>
      <c r="N106" s="1148"/>
      <c r="O106" s="1148"/>
      <c r="P106" s="2616"/>
      <c r="Q106" s="499"/>
    </row>
    <row r="107" spans="1:17" ht="14.5" thickTop="1">
      <c r="A107" s="594"/>
      <c r="B107" s="533" t="s">
        <v>2609</v>
      </c>
      <c r="C107" s="2973" t="s">
        <v>3292</v>
      </c>
      <c r="D107" s="578"/>
      <c r="E107" s="578"/>
      <c r="F107" s="578"/>
      <c r="G107" s="578"/>
      <c r="H107" s="578"/>
      <c r="I107" s="578"/>
      <c r="J107" s="578"/>
      <c r="K107" s="579"/>
      <c r="L107" s="580"/>
      <c r="M107" s="581"/>
      <c r="N107" s="1147"/>
      <c r="O107" s="1147"/>
      <c r="P107" s="2616"/>
      <c r="Q107" s="499"/>
    </row>
    <row r="108" spans="1:17" ht="14.5" thickBot="1">
      <c r="A108" s="529"/>
      <c r="B108" s="538"/>
      <c r="C108" s="539">
        <v>100</v>
      </c>
      <c r="D108" s="539">
        <f t="shared" ref="D108:M108" si="29">C108-$K35</f>
        <v>98</v>
      </c>
      <c r="E108" s="539">
        <f t="shared" si="29"/>
        <v>96</v>
      </c>
      <c r="F108" s="539">
        <f t="shared" si="29"/>
        <v>94</v>
      </c>
      <c r="G108" s="539">
        <f t="shared" si="29"/>
        <v>92</v>
      </c>
      <c r="H108" s="539">
        <f t="shared" si="29"/>
        <v>90</v>
      </c>
      <c r="I108" s="539">
        <f t="shared" si="29"/>
        <v>88</v>
      </c>
      <c r="J108" s="539">
        <f t="shared" si="29"/>
        <v>86</v>
      </c>
      <c r="K108" s="539">
        <f t="shared" si="29"/>
        <v>84</v>
      </c>
      <c r="L108" s="539">
        <f t="shared" si="29"/>
        <v>82</v>
      </c>
      <c r="M108" s="539">
        <f t="shared" si="29"/>
        <v>80</v>
      </c>
      <c r="N108" s="1148"/>
      <c r="O108" s="1148"/>
      <c r="P108" s="2616"/>
      <c r="Q108" s="499"/>
    </row>
    <row r="109" spans="1:17" ht="14.5" thickTop="1">
      <c r="A109" s="594"/>
      <c r="B109" s="533" t="s">
        <v>2610</v>
      </c>
      <c r="C109" s="2974" t="s">
        <v>3299</v>
      </c>
      <c r="D109" s="549"/>
      <c r="E109" s="549"/>
      <c r="F109" s="578"/>
      <c r="G109" s="578"/>
      <c r="H109" s="578"/>
      <c r="I109" s="578"/>
      <c r="J109" s="578"/>
      <c r="K109" s="579"/>
      <c r="L109" s="580"/>
      <c r="M109" s="581"/>
      <c r="N109" s="1147"/>
      <c r="O109" s="1147"/>
      <c r="P109" s="2616"/>
      <c r="Q109" s="499"/>
    </row>
    <row r="110" spans="1:17" ht="14.5" thickBot="1">
      <c r="A110" s="529"/>
      <c r="B110" s="538"/>
      <c r="C110" s="539">
        <v>100</v>
      </c>
      <c r="D110" s="539">
        <f t="shared" ref="D110:M110" si="30">C110-$K36</f>
        <v>99.5</v>
      </c>
      <c r="E110" s="539">
        <f t="shared" si="30"/>
        <v>99</v>
      </c>
      <c r="F110" s="539">
        <f t="shared" si="30"/>
        <v>98.5</v>
      </c>
      <c r="G110" s="539">
        <f t="shared" si="30"/>
        <v>98</v>
      </c>
      <c r="H110" s="539">
        <f t="shared" si="30"/>
        <v>97.5</v>
      </c>
      <c r="I110" s="539">
        <f t="shared" si="30"/>
        <v>97</v>
      </c>
      <c r="J110" s="539">
        <f t="shared" si="30"/>
        <v>96.5</v>
      </c>
      <c r="K110" s="539">
        <f t="shared" si="30"/>
        <v>96</v>
      </c>
      <c r="L110" s="539">
        <f t="shared" si="30"/>
        <v>95.5</v>
      </c>
      <c r="M110" s="539">
        <f t="shared" si="30"/>
        <v>95</v>
      </c>
      <c r="N110" s="1148"/>
      <c r="O110" s="1148"/>
      <c r="P110" s="2616"/>
      <c r="Q110" s="499"/>
    </row>
    <row r="111" spans="1:17" s="466" customFormat="1" ht="14.5" thickTop="1">
      <c r="A111" s="588"/>
      <c r="B111" s="533" t="s">
        <v>1993</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9"/>
      <c r="O111" s="1149"/>
      <c r="P111" s="2617"/>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9"/>
      <c r="O112" s="1149"/>
      <c r="P112" s="2617"/>
      <c r="Q112" s="554"/>
    </row>
    <row r="113" spans="1:17" s="466" customFormat="1" ht="14.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9"/>
      <c r="O113" s="1149"/>
      <c r="P113" s="2617"/>
      <c r="Q113" s="554"/>
    </row>
    <row r="114" spans="1:17" ht="14.5" thickTop="1">
      <c r="A114" s="594"/>
      <c r="B114" s="533" t="s">
        <v>2611</v>
      </c>
      <c r="C114" s="2974" t="s">
        <v>3294</v>
      </c>
      <c r="D114" s="549"/>
      <c r="E114" s="578"/>
      <c r="F114" s="578"/>
      <c r="G114" s="578"/>
      <c r="H114" s="578"/>
      <c r="I114" s="578"/>
      <c r="J114" s="578"/>
      <c r="K114" s="579"/>
      <c r="L114" s="580"/>
      <c r="M114" s="581"/>
      <c r="N114" s="1147"/>
      <c r="O114" s="1147"/>
      <c r="P114" s="2616"/>
      <c r="Q114" s="499"/>
    </row>
    <row r="115" spans="1:17" ht="14.5" thickBot="1">
      <c r="A115" s="529"/>
      <c r="B115" s="538"/>
      <c r="C115" s="539">
        <v>100</v>
      </c>
      <c r="D115" s="539">
        <f t="shared" ref="D115:M115" si="31">C115-$K38</f>
        <v>98</v>
      </c>
      <c r="E115" s="539">
        <f t="shared" si="31"/>
        <v>96</v>
      </c>
      <c r="F115" s="539">
        <f t="shared" si="31"/>
        <v>94</v>
      </c>
      <c r="G115" s="539">
        <f t="shared" si="31"/>
        <v>92</v>
      </c>
      <c r="H115" s="539">
        <f t="shared" si="31"/>
        <v>90</v>
      </c>
      <c r="I115" s="539">
        <f t="shared" si="31"/>
        <v>88</v>
      </c>
      <c r="J115" s="539">
        <f t="shared" si="31"/>
        <v>86</v>
      </c>
      <c r="K115" s="539">
        <f t="shared" si="31"/>
        <v>84</v>
      </c>
      <c r="L115" s="539">
        <f t="shared" si="31"/>
        <v>82</v>
      </c>
      <c r="M115" s="539">
        <f t="shared" si="31"/>
        <v>80</v>
      </c>
      <c r="N115" s="1148"/>
      <c r="O115" s="1148"/>
      <c r="P115" s="2616"/>
      <c r="Q115" s="499"/>
    </row>
    <row r="116" spans="1:17" ht="14.5" thickTop="1">
      <c r="A116" s="594"/>
      <c r="B116" s="533" t="s">
        <v>2612</v>
      </c>
      <c r="C116" s="2974" t="s">
        <v>3295</v>
      </c>
      <c r="D116" s="549"/>
      <c r="E116" s="549"/>
      <c r="F116" s="549"/>
      <c r="G116" s="549"/>
      <c r="H116" s="578"/>
      <c r="I116" s="578"/>
      <c r="J116" s="578"/>
      <c r="K116" s="579"/>
      <c r="L116" s="580"/>
      <c r="M116" s="581"/>
      <c r="N116" s="1147"/>
      <c r="O116" s="1147"/>
      <c r="P116" s="2616"/>
      <c r="Q116" s="499"/>
    </row>
    <row r="117" spans="1:17" ht="14.5" thickBot="1">
      <c r="A117" s="529"/>
      <c r="B117" s="538"/>
      <c r="C117" s="539">
        <v>100</v>
      </c>
      <c r="D117" s="539">
        <f>C117-$K39</f>
        <v>99</v>
      </c>
      <c r="E117" s="539">
        <f>D117-$K39</f>
        <v>98</v>
      </c>
      <c r="F117" s="539">
        <f>E117-$K39</f>
        <v>97</v>
      </c>
      <c r="G117" s="539">
        <f>F117-$K39</f>
        <v>96</v>
      </c>
      <c r="H117" s="539"/>
      <c r="I117" s="539"/>
      <c r="J117" s="539"/>
      <c r="K117" s="539"/>
      <c r="L117" s="539"/>
      <c r="M117" s="540"/>
      <c r="N117" s="1148"/>
      <c r="O117" s="1148"/>
      <c r="P117" s="2616"/>
      <c r="Q117" s="499"/>
    </row>
    <row r="118" spans="1:17" ht="14.5" thickTop="1">
      <c r="A118" s="594"/>
      <c r="B118" s="533" t="s">
        <v>2613</v>
      </c>
      <c r="C118" s="578"/>
      <c r="D118" s="578"/>
      <c r="E118" s="578"/>
      <c r="F118" s="578"/>
      <c r="G118" s="578"/>
      <c r="H118" s="578"/>
      <c r="I118" s="578"/>
      <c r="J118" s="578"/>
      <c r="K118" s="579"/>
      <c r="L118" s="580"/>
      <c r="M118" s="581"/>
      <c r="N118" s="1147"/>
      <c r="O118" s="1147"/>
      <c r="P118" s="2616"/>
      <c r="Q118" s="499"/>
    </row>
    <row r="119" spans="1:17" ht="14.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48"/>
      <c r="O119" s="1148"/>
      <c r="P119" s="2616"/>
      <c r="Q119" s="499"/>
    </row>
    <row r="120" spans="1:17" s="466" customFormat="1" ht="29" thickTop="1">
      <c r="A120" s="588"/>
      <c r="B120" s="533" t="s">
        <v>2568</v>
      </c>
      <c r="C120" s="549"/>
      <c r="D120" s="549"/>
      <c r="E120" s="549"/>
      <c r="F120" s="549"/>
      <c r="G120" s="549"/>
      <c r="H120" s="549"/>
      <c r="I120" s="549"/>
      <c r="J120" s="549"/>
      <c r="K120" s="549"/>
      <c r="L120" s="575"/>
      <c r="M120" s="576"/>
      <c r="N120" s="1149"/>
      <c r="O120" s="1149"/>
      <c r="P120" s="2617"/>
      <c r="Q120" s="554"/>
    </row>
    <row r="121" spans="1:17" s="466" customFormat="1" ht="14.5" thickBot="1">
      <c r="A121" s="548"/>
      <c r="B121" s="530"/>
      <c r="C121" s="555"/>
      <c r="D121" s="531"/>
      <c r="E121" s="531"/>
      <c r="F121" s="531"/>
      <c r="G121" s="531"/>
      <c r="H121" s="531"/>
      <c r="I121" s="531"/>
      <c r="J121" s="531"/>
      <c r="K121" s="531"/>
      <c r="L121" s="531"/>
      <c r="M121" s="531"/>
      <c r="N121" s="1149"/>
      <c r="O121" s="1149"/>
      <c r="P121" s="2617"/>
      <c r="Q121" s="554"/>
    </row>
    <row r="122" spans="1:17" ht="14.5" thickTop="1">
      <c r="A122" s="594"/>
      <c r="B122" s="533" t="s">
        <v>2614</v>
      </c>
      <c r="C122" s="2974" t="s">
        <v>3299</v>
      </c>
      <c r="D122" s="2974" t="s">
        <v>3300</v>
      </c>
      <c r="E122" s="2974" t="s">
        <v>3301</v>
      </c>
      <c r="F122" s="2973" t="s">
        <v>3297</v>
      </c>
      <c r="G122" s="578"/>
      <c r="H122" s="578"/>
      <c r="I122" s="578"/>
      <c r="J122" s="578"/>
      <c r="K122" s="579"/>
      <c r="L122" s="580"/>
      <c r="M122" s="581"/>
      <c r="N122" s="1147"/>
      <c r="O122" s="1147"/>
      <c r="P122" s="2616"/>
      <c r="Q122" s="499"/>
    </row>
    <row r="123" spans="1:17" ht="14.5" thickBot="1">
      <c r="A123" s="529"/>
      <c r="B123" s="538"/>
      <c r="C123" s="539">
        <v>100</v>
      </c>
      <c r="D123" s="539">
        <f t="shared" ref="D123:M123" si="33">C123-$K42</f>
        <v>99.5</v>
      </c>
      <c r="E123" s="539">
        <f t="shared" si="33"/>
        <v>99</v>
      </c>
      <c r="F123" s="539">
        <f t="shared" si="33"/>
        <v>98.5</v>
      </c>
      <c r="G123" s="539">
        <f t="shared" si="33"/>
        <v>98</v>
      </c>
      <c r="H123" s="539">
        <f t="shared" si="33"/>
        <v>97.5</v>
      </c>
      <c r="I123" s="539">
        <f t="shared" si="33"/>
        <v>97</v>
      </c>
      <c r="J123" s="539">
        <f t="shared" si="33"/>
        <v>96.5</v>
      </c>
      <c r="K123" s="539">
        <f t="shared" si="33"/>
        <v>96</v>
      </c>
      <c r="L123" s="539">
        <f t="shared" si="33"/>
        <v>95.5</v>
      </c>
      <c r="M123" s="539">
        <f t="shared" si="33"/>
        <v>95</v>
      </c>
      <c r="N123" s="1148"/>
      <c r="O123" s="1148"/>
      <c r="P123" s="2616"/>
      <c r="Q123" s="499"/>
    </row>
    <row r="124" spans="1:17" ht="28.5" thickTop="1">
      <c r="A124" s="594"/>
      <c r="B124" s="533" t="s">
        <v>2615</v>
      </c>
      <c r="C124" s="573" t="s">
        <v>2591</v>
      </c>
      <c r="D124" s="573" t="s">
        <v>2592</v>
      </c>
      <c r="E124" s="573" t="s">
        <v>2593</v>
      </c>
      <c r="F124" s="573" t="s">
        <v>2594</v>
      </c>
      <c r="G124" s="573" t="s">
        <v>2595</v>
      </c>
      <c r="H124" s="534"/>
      <c r="I124" s="534"/>
      <c r="J124" s="534"/>
      <c r="K124" s="535"/>
      <c r="L124" s="536"/>
      <c r="M124" s="537"/>
      <c r="N124" s="1147"/>
      <c r="O124" s="1147"/>
      <c r="P124" s="2617"/>
      <c r="Q124" s="499"/>
    </row>
    <row r="125" spans="1:17" ht="14.5" thickBot="1">
      <c r="A125" s="529"/>
      <c r="B125" s="538"/>
      <c r="C125" s="539">
        <v>100</v>
      </c>
      <c r="D125" s="539">
        <f>C125-$K43</f>
        <v>100</v>
      </c>
      <c r="E125" s="539">
        <f>D125-$K43</f>
        <v>100</v>
      </c>
      <c r="F125" s="539">
        <f>E125-$K43</f>
        <v>100</v>
      </c>
      <c r="G125" s="539">
        <f>F125-$K43</f>
        <v>100</v>
      </c>
      <c r="H125" s="539"/>
      <c r="I125" s="539"/>
      <c r="J125" s="539"/>
      <c r="K125" s="539"/>
      <c r="L125" s="539"/>
      <c r="M125" s="540"/>
      <c r="N125" s="1148"/>
      <c r="O125" s="1148"/>
      <c r="P125" s="2616"/>
      <c r="Q125" s="499"/>
    </row>
    <row r="126" spans="1:17" s="466" customFormat="1" ht="14.5" thickTop="1">
      <c r="A126" s="588"/>
      <c r="B126" s="533">
        <f>B44</f>
        <v>111</v>
      </c>
      <c r="C126" s="549"/>
      <c r="D126" s="549"/>
      <c r="E126" s="549"/>
      <c r="F126" s="549"/>
      <c r="G126" s="549"/>
      <c r="H126" s="550"/>
      <c r="I126" s="550"/>
      <c r="J126" s="550"/>
      <c r="K126" s="550"/>
      <c r="L126" s="551"/>
      <c r="M126" s="552"/>
      <c r="N126" s="1149"/>
      <c r="O126" s="1149"/>
      <c r="P126" s="2617"/>
      <c r="Q126" s="554"/>
    </row>
    <row r="127" spans="1:17" s="466" customFormat="1" ht="14.5" thickBot="1">
      <c r="A127" s="548"/>
      <c r="B127" s="538"/>
      <c r="C127" s="555"/>
      <c r="D127" s="531"/>
      <c r="E127" s="531"/>
      <c r="F127" s="531"/>
      <c r="G127" s="555"/>
      <c r="H127" s="557"/>
      <c r="I127" s="557"/>
      <c r="J127" s="557"/>
      <c r="K127" s="557"/>
      <c r="L127" s="557"/>
      <c r="M127" s="558"/>
      <c r="N127" s="1149"/>
      <c r="O127" s="1149"/>
      <c r="P127" s="2617"/>
      <c r="Q127" s="554"/>
    </row>
    <row r="128" spans="1:17" ht="14.5" thickTop="1">
      <c r="A128" s="594"/>
      <c r="B128" s="533">
        <f>B45</f>
        <v>111</v>
      </c>
      <c r="C128" s="549"/>
      <c r="D128" s="549"/>
      <c r="E128" s="549"/>
      <c r="F128" s="549"/>
      <c r="G128" s="578"/>
      <c r="H128" s="578"/>
      <c r="I128" s="578"/>
      <c r="J128" s="578"/>
      <c r="K128" s="579"/>
      <c r="L128" s="580"/>
      <c r="M128" s="581"/>
      <c r="N128" s="1147"/>
      <c r="O128" s="1147"/>
      <c r="P128" s="2616"/>
      <c r="Q128" s="499"/>
    </row>
    <row r="129" spans="1:17" ht="14.5" thickBot="1">
      <c r="A129" s="529"/>
      <c r="B129" s="538"/>
      <c r="C129" s="555"/>
      <c r="D129" s="555"/>
      <c r="E129" s="555"/>
      <c r="F129" s="555"/>
      <c r="G129" s="531"/>
      <c r="H129" s="531"/>
      <c r="I129" s="531"/>
      <c r="J129" s="531"/>
      <c r="K129" s="531"/>
      <c r="L129" s="531"/>
      <c r="M129" s="532"/>
      <c r="N129" s="1148"/>
      <c r="O129" s="1148"/>
      <c r="P129" s="2616"/>
      <c r="Q129" s="499"/>
    </row>
    <row r="130" spans="1:17" ht="14.5" thickTop="1">
      <c r="A130" s="594"/>
      <c r="B130" s="541">
        <f>B46</f>
        <v>111</v>
      </c>
      <c r="C130" s="549"/>
      <c r="D130" s="549"/>
      <c r="E130" s="549"/>
      <c r="F130" s="549"/>
      <c r="G130" s="582"/>
      <c r="H130" s="582"/>
      <c r="I130" s="582"/>
      <c r="J130" s="582"/>
      <c r="K130" s="518"/>
      <c r="L130" s="519"/>
      <c r="M130" s="585"/>
      <c r="N130" s="1147"/>
      <c r="O130" s="1147"/>
      <c r="P130" s="2616"/>
      <c r="Q130" s="499"/>
    </row>
    <row r="131" spans="1:17" ht="14.5" thickBot="1">
      <c r="A131" s="2622"/>
      <c r="B131" s="564"/>
      <c r="C131" s="565"/>
      <c r="D131" s="565"/>
      <c r="E131" s="565"/>
      <c r="F131" s="565"/>
      <c r="G131" s="586"/>
      <c r="H131" s="586"/>
      <c r="I131" s="586"/>
      <c r="J131" s="586"/>
      <c r="K131" s="586"/>
      <c r="L131" s="586"/>
      <c r="M131" s="587"/>
      <c r="N131" s="1148"/>
      <c r="O131" s="1148"/>
      <c r="P131" s="2616"/>
      <c r="Q131" s="499"/>
    </row>
    <row r="136" spans="1:17" ht="14.5" thickBot="1">
      <c r="B136" s="2623" t="s">
        <v>2616</v>
      </c>
    </row>
    <row r="137" spans="1:17" ht="15.5">
      <c r="B137" s="2624" t="s">
        <v>2617</v>
      </c>
      <c r="C137" s="2625"/>
      <c r="D137" s="2625"/>
      <c r="E137" s="2625"/>
      <c r="F137" s="2625"/>
      <c r="G137" s="2626"/>
      <c r="H137" s="2627"/>
      <c r="I137" s="2628" t="s">
        <v>2618</v>
      </c>
      <c r="J137" s="2625"/>
      <c r="K137" s="2629"/>
    </row>
    <row r="138" spans="1:17" ht="15.5">
      <c r="B138" s="2630"/>
      <c r="C138" s="141" t="s">
        <v>2619</v>
      </c>
      <c r="D138" s="141" t="s">
        <v>2620</v>
      </c>
      <c r="E138" s="2631" t="s">
        <v>2621</v>
      </c>
      <c r="F138" s="2632" t="s">
        <v>2622</v>
      </c>
      <c r="G138" s="141" t="s">
        <v>2620</v>
      </c>
      <c r="H138" s="142" t="s">
        <v>2621</v>
      </c>
      <c r="I138" s="2633"/>
      <c r="J138" s="141" t="s">
        <v>2623</v>
      </c>
      <c r="K138" s="142" t="s">
        <v>2624</v>
      </c>
    </row>
    <row r="139" spans="1:17" ht="15.5">
      <c r="B139" s="1079">
        <v>6</v>
      </c>
      <c r="C139" s="1080">
        <v>96</v>
      </c>
      <c r="D139" s="2634" t="s">
        <v>2625</v>
      </c>
      <c r="E139" s="1081">
        <v>100</v>
      </c>
      <c r="F139" s="1082">
        <v>102.5</v>
      </c>
      <c r="G139" s="2634" t="s">
        <v>2625</v>
      </c>
      <c r="H139" s="1083">
        <v>105</v>
      </c>
      <c r="I139" s="2635" t="s">
        <v>2626</v>
      </c>
      <c r="J139" s="1080">
        <v>20</v>
      </c>
      <c r="K139" s="1084">
        <f>C145/(J139-2)</f>
        <v>4.0555555555555553E-3</v>
      </c>
    </row>
    <row r="140" spans="1:17" ht="15.5">
      <c r="B140" s="1085">
        <v>5</v>
      </c>
      <c r="C140" s="1086">
        <v>100</v>
      </c>
      <c r="D140" s="1086"/>
      <c r="E140" s="1087"/>
      <c r="F140" s="1088">
        <v>102</v>
      </c>
      <c r="G140" s="1086"/>
      <c r="H140" s="1089"/>
      <c r="I140" s="2636" t="s">
        <v>2627</v>
      </c>
      <c r="J140" s="310">
        <f>ROUNDUP((J139-1)/2,0)</f>
        <v>10</v>
      </c>
      <c r="K140" s="1090">
        <v>100</v>
      </c>
    </row>
    <row r="141" spans="1:17" ht="15.5">
      <c r="B141" s="1085">
        <v>4</v>
      </c>
      <c r="C141" s="1086">
        <v>102</v>
      </c>
      <c r="D141" s="1086"/>
      <c r="E141" s="1087"/>
      <c r="F141" s="1088">
        <v>101.5</v>
      </c>
      <c r="G141" s="1086"/>
      <c r="H141" s="1089"/>
      <c r="I141" s="2636" t="s">
        <v>2628</v>
      </c>
      <c r="J141" s="310">
        <v>1</v>
      </c>
      <c r="K141" s="1091">
        <f>ROUND(100+(J141-J140)*K139*100,1)</f>
        <v>96.4</v>
      </c>
    </row>
    <row r="142" spans="1:17" ht="15.5">
      <c r="B142" s="1085">
        <v>3</v>
      </c>
      <c r="C142" s="1086">
        <v>103</v>
      </c>
      <c r="D142" s="1086"/>
      <c r="E142" s="1087"/>
      <c r="F142" s="1088">
        <v>101</v>
      </c>
      <c r="G142" s="1086"/>
      <c r="H142" s="1089"/>
      <c r="I142" s="2636" t="s">
        <v>2629</v>
      </c>
      <c r="J142" s="310">
        <f>J139</f>
        <v>20</v>
      </c>
      <c r="K142" s="1092">
        <v>95</v>
      </c>
    </row>
    <row r="143" spans="1:17" ht="15.5">
      <c r="B143" s="1085">
        <v>2</v>
      </c>
      <c r="C143" s="1086">
        <v>100</v>
      </c>
      <c r="D143" s="1086"/>
      <c r="E143" s="1087"/>
      <c r="F143" s="1088">
        <v>100.5</v>
      </c>
      <c r="G143" s="1086"/>
      <c r="H143" s="1089"/>
      <c r="I143" s="2636" t="s">
        <v>2630</v>
      </c>
      <c r="J143" s="1086">
        <v>15</v>
      </c>
      <c r="K143" s="1091">
        <f>ROUND(100+(J143-J140)*K139*100,1)</f>
        <v>102</v>
      </c>
    </row>
    <row r="144" spans="1:17" ht="15.5">
      <c r="B144" s="1085">
        <v>1</v>
      </c>
      <c r="C144" s="1086">
        <v>98</v>
      </c>
      <c r="D144" s="2637" t="s">
        <v>2631</v>
      </c>
      <c r="E144" s="1087">
        <v>102</v>
      </c>
      <c r="F144" s="1093">
        <v>100</v>
      </c>
      <c r="G144" s="2637" t="s">
        <v>2631</v>
      </c>
      <c r="H144" s="1089">
        <v>105</v>
      </c>
      <c r="I144" s="2636" t="s">
        <v>2630</v>
      </c>
      <c r="J144" s="1086">
        <v>18</v>
      </c>
      <c r="K144" s="1091">
        <f>ROUND(100+(J144-J140)*K139*100,1)</f>
        <v>103.2</v>
      </c>
    </row>
    <row r="145" spans="2:11" ht="16" thickBot="1">
      <c r="B145" s="2638" t="s">
        <v>2632</v>
      </c>
      <c r="C145" s="1094">
        <f>ROUND(MAX(C139:C144)/MIN(C139:C144)-1,3)</f>
        <v>7.2999999999999995E-2</v>
      </c>
      <c r="D145" s="1095"/>
      <c r="E145" s="1095"/>
      <c r="F145" s="2639" t="s">
        <v>2633</v>
      </c>
      <c r="G145" s="2640"/>
      <c r="H145" s="2641"/>
      <c r="I145" s="2642" t="s">
        <v>2630</v>
      </c>
      <c r="J145" s="1096">
        <v>8</v>
      </c>
      <c r="K145" s="1097">
        <f>ROUND(100+(J145-J140)*K139*100,1)</f>
        <v>99.2</v>
      </c>
    </row>
    <row r="147" spans="2:11">
      <c r="B147" s="2623" t="s">
        <v>2634</v>
      </c>
    </row>
    <row r="148" spans="2:11">
      <c r="B148" s="2623"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2"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R22" sqref="R22"/>
    </sheetView>
  </sheetViews>
  <sheetFormatPr defaultColWidth="9" defaultRowHeight="12.5"/>
  <cols>
    <col min="1" max="1" width="11.453125" style="134"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199" t="s">
        <v>2998</v>
      </c>
      <c r="C1" s="3284" t="s">
        <v>2999</v>
      </c>
      <c r="D1" s="3285"/>
      <c r="E1" s="3285"/>
      <c r="F1" s="3285"/>
      <c r="G1" s="3285"/>
      <c r="H1" s="3285"/>
      <c r="I1" s="3285"/>
      <c r="J1" s="3285"/>
      <c r="K1" s="3285"/>
      <c r="L1" s="3285"/>
      <c r="M1" s="3285"/>
      <c r="N1" s="3285"/>
      <c r="O1" s="3285"/>
      <c r="P1" s="3285"/>
      <c r="Q1" s="3285"/>
      <c r="R1" s="3285"/>
      <c r="S1" s="3286"/>
      <c r="T1" s="1199" t="s">
        <v>3000</v>
      </c>
    </row>
    <row r="2" spans="1:45" s="702" customFormat="1" ht="25">
      <c r="A2" s="1200"/>
      <c r="B2" s="698" t="s">
        <v>3001</v>
      </c>
      <c r="C2" s="699" t="str">
        <f t="shared" ref="C2:L2" si="0">C3&amp;"(含)"&amp;"-"&amp;D3</f>
        <v>0(含)-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1"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2"/>
      <c r="B3" s="703"/>
      <c r="C3" s="704">
        <v>0</v>
      </c>
      <c r="D3" s="705"/>
      <c r="E3" s="705"/>
      <c r="F3" s="1699"/>
      <c r="G3" s="1699"/>
      <c r="H3" s="1699"/>
      <c r="I3" s="1699"/>
      <c r="J3" s="1699"/>
      <c r="K3" s="1699"/>
      <c r="L3" s="1700"/>
      <c r="M3" s="1701"/>
      <c r="N3" s="1701"/>
      <c r="O3" s="1699"/>
      <c r="P3" s="1699"/>
      <c r="Q3" s="1699"/>
      <c r="R3" s="1699"/>
      <c r="S3" s="1702"/>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5" customFormat="1" ht="13">
      <c r="A5" s="1210"/>
      <c r="B5" s="2985" t="s">
        <v>3366</v>
      </c>
      <c r="C5" s="2986" t="s">
        <v>3365</v>
      </c>
      <c r="D5" s="2987" t="s">
        <v>3364</v>
      </c>
      <c r="E5" s="2987" t="s">
        <v>3367</v>
      </c>
      <c r="F5" s="1706"/>
      <c r="G5" s="1706"/>
      <c r="H5" s="1706"/>
      <c r="I5" s="1706"/>
      <c r="J5" s="1706"/>
      <c r="K5" s="1706"/>
      <c r="L5" s="1707"/>
      <c r="M5" s="1708"/>
      <c r="N5" s="1708"/>
      <c r="O5" s="1706"/>
      <c r="P5" s="1706"/>
      <c r="Q5" s="1706"/>
      <c r="R5" s="1706"/>
      <c r="S5" s="1709"/>
      <c r="T5" s="1214">
        <v>5</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5" customFormat="1" ht="13.5" thickBot="1">
      <c r="A6" s="1210"/>
      <c r="B6" s="1111"/>
      <c r="C6" s="1117">
        <v>100</v>
      </c>
      <c r="D6" s="1114">
        <f>C6-$T5</f>
        <v>95</v>
      </c>
      <c r="E6" s="1114">
        <f t="shared" ref="E6:S6" si="7">D6-$T5</f>
        <v>90</v>
      </c>
      <c r="F6" s="1710">
        <f t="shared" si="7"/>
        <v>85</v>
      </c>
      <c r="G6" s="1710">
        <f t="shared" si="7"/>
        <v>80</v>
      </c>
      <c r="H6" s="1710">
        <f t="shared" si="7"/>
        <v>75</v>
      </c>
      <c r="I6" s="1710">
        <f t="shared" si="7"/>
        <v>70</v>
      </c>
      <c r="J6" s="1710">
        <f t="shared" si="7"/>
        <v>65</v>
      </c>
      <c r="K6" s="1710">
        <f t="shared" si="7"/>
        <v>60</v>
      </c>
      <c r="L6" s="1710">
        <f t="shared" si="7"/>
        <v>55</v>
      </c>
      <c r="M6" s="1710">
        <f t="shared" si="7"/>
        <v>50</v>
      </c>
      <c r="N6" s="1710">
        <f t="shared" si="7"/>
        <v>45</v>
      </c>
      <c r="O6" s="1710">
        <f t="shared" si="7"/>
        <v>40</v>
      </c>
      <c r="P6" s="1710">
        <f t="shared" si="7"/>
        <v>35</v>
      </c>
      <c r="Q6" s="1710">
        <f t="shared" si="7"/>
        <v>30</v>
      </c>
      <c r="R6" s="1710">
        <f t="shared" si="7"/>
        <v>25</v>
      </c>
      <c r="S6" s="1710">
        <f t="shared" si="7"/>
        <v>20</v>
      </c>
      <c r="T6" s="111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5" customFormat="1" ht="13">
      <c r="A7" s="1210"/>
      <c r="B7" s="1765" t="s">
        <v>3002</v>
      </c>
      <c r="C7" s="1116"/>
      <c r="D7" s="1110"/>
      <c r="E7" s="1110"/>
      <c r="F7" s="1711"/>
      <c r="G7" s="1711"/>
      <c r="H7" s="1711"/>
      <c r="I7" s="1711"/>
      <c r="J7" s="1711"/>
      <c r="K7" s="1711"/>
      <c r="L7" s="1711"/>
      <c r="M7" s="1712"/>
      <c r="N7" s="1713"/>
      <c r="O7" s="1714"/>
      <c r="P7" s="1715"/>
      <c r="Q7" s="1716"/>
      <c r="R7" s="1717"/>
      <c r="S7" s="1718"/>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5"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5" customFormat="1" ht="13">
      <c r="A9" s="1210"/>
      <c r="B9" s="1765" t="s">
        <v>3003</v>
      </c>
      <c r="C9" s="1116"/>
      <c r="D9" s="1110"/>
      <c r="E9" s="1110"/>
      <c r="F9" s="1711"/>
      <c r="G9" s="1711"/>
      <c r="H9" s="1711"/>
      <c r="I9" s="1711"/>
      <c r="J9" s="1711"/>
      <c r="K9" s="1711"/>
      <c r="L9" s="1719"/>
      <c r="M9" s="1712"/>
      <c r="N9" s="1713"/>
      <c r="O9" s="1714"/>
      <c r="P9" s="1715"/>
      <c r="Q9" s="1716"/>
      <c r="R9" s="1717"/>
      <c r="S9" s="1718"/>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5"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5" customFormat="1" ht="13">
      <c r="A11" s="1210"/>
      <c r="B11" s="1764" t="s">
        <v>3004</v>
      </c>
      <c r="C11" s="1211"/>
      <c r="D11" s="1212"/>
      <c r="E11" s="1212"/>
      <c r="F11" s="1212"/>
      <c r="G11" s="1212"/>
      <c r="H11" s="1212"/>
      <c r="I11" s="1212"/>
      <c r="J11" s="1212"/>
      <c r="K11" s="1212"/>
      <c r="L11" s="1212"/>
      <c r="M11" s="1213"/>
      <c r="N11" s="1217"/>
      <c r="O11" s="1218"/>
      <c r="P11" s="1219"/>
      <c r="Q11" s="1220"/>
      <c r="R11" s="1221"/>
      <c r="S11" s="1222"/>
      <c r="T11" s="1214"/>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5" customFormat="1" ht="13">
      <c r="A13" s="1210"/>
      <c r="B13" s="2985" t="s">
        <v>3366</v>
      </c>
      <c r="C13" s="2986" t="s">
        <v>3367</v>
      </c>
      <c r="D13" s="2987" t="s">
        <v>3364</v>
      </c>
      <c r="E13" s="2987" t="s">
        <v>3365</v>
      </c>
      <c r="F13" s="1212"/>
      <c r="G13" s="1212"/>
      <c r="H13" s="1212"/>
      <c r="I13" s="1212"/>
      <c r="J13" s="1212"/>
      <c r="K13" s="1212"/>
      <c r="L13" s="1212"/>
      <c r="M13" s="1213"/>
      <c r="N13" s="1217"/>
      <c r="O13" s="1218"/>
      <c r="P13" s="1219"/>
      <c r="Q13" s="1220"/>
      <c r="R13" s="1221"/>
      <c r="S13" s="1222"/>
      <c r="T13" s="122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5" customFormat="1" ht="13.5" thickBot="1">
      <c r="A14" s="1210"/>
      <c r="B14" s="1111"/>
      <c r="C14" s="1115">
        <v>100</v>
      </c>
      <c r="D14" s="1112">
        <v>105</v>
      </c>
      <c r="E14" s="1112">
        <v>110</v>
      </c>
      <c r="F14" s="1112"/>
      <c r="G14" s="1112"/>
      <c r="H14" s="1112"/>
      <c r="I14" s="1112"/>
      <c r="J14" s="1112"/>
      <c r="K14" s="1112"/>
      <c r="L14" s="1112"/>
      <c r="M14" s="1224"/>
      <c r="N14" s="1224"/>
      <c r="O14" s="1112"/>
      <c r="P14" s="1112"/>
      <c r="Q14" s="1112"/>
      <c r="R14" s="1112"/>
      <c r="S14" s="1225"/>
      <c r="T14" s="111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5" customFormat="1" ht="13">
      <c r="A15" s="1210"/>
      <c r="B15" s="1764" t="s">
        <v>3005</v>
      </c>
      <c r="C15" s="1211"/>
      <c r="D15" s="1212"/>
      <c r="E15" s="1212"/>
      <c r="F15" s="1212"/>
      <c r="G15" s="1212"/>
      <c r="H15" s="1212"/>
      <c r="I15" s="1212"/>
      <c r="J15" s="1212"/>
      <c r="K15" s="1212"/>
      <c r="L15" s="1212"/>
      <c r="M15" s="1213"/>
      <c r="N15" s="1217"/>
      <c r="O15" s="1218"/>
      <c r="P15" s="1219"/>
      <c r="Q15" s="1220"/>
      <c r="R15" s="1221"/>
      <c r="S15" s="1222"/>
      <c r="T15" s="122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ht="13">
      <c r="A17" s="2894" t="s">
        <v>3006</v>
      </c>
      <c r="B17" s="2895" t="s">
        <v>3007</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1"/>
      <c r="AS17" s="791"/>
    </row>
    <row r="18" spans="1:45" s="702"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ht="13">
      <c r="A19" s="133"/>
      <c r="B19" s="163"/>
      <c r="C19" s="163"/>
      <c r="D19" s="2896" t="s">
        <v>3008</v>
      </c>
      <c r="E19" s="1787"/>
      <c r="F19" s="1787"/>
      <c r="G19" s="1787"/>
      <c r="H19" s="1275"/>
      <c r="I19" s="163"/>
      <c r="J19" s="163"/>
      <c r="K19" s="163"/>
      <c r="L19" s="163"/>
      <c r="M19" s="163"/>
      <c r="N19" s="163"/>
      <c r="O19" s="163"/>
      <c r="P19" s="163"/>
      <c r="Q19" s="163"/>
      <c r="R19" s="783"/>
      <c r="S19" s="133"/>
    </row>
    <row r="20" spans="1:45" ht="16" thickBot="1">
      <c r="A20" s="710" t="s">
        <v>3009</v>
      </c>
      <c r="B20" s="333">
        <f>IF(D20="——",S22,S22-F20)</f>
        <v>402751</v>
      </c>
      <c r="C20" s="163"/>
      <c r="D20" s="2897" t="s">
        <v>70</v>
      </c>
      <c r="E20" s="1788"/>
      <c r="F20" s="1199" t="e">
        <f ca="1">SUMIF(INDIRECT("'"&amp;H20&amp;"'"&amp;"!A:A"),"承租人权益价值",INDIRECT("'"&amp;H20&amp;"'"&amp;"!c:c"))</f>
        <v>#REF!</v>
      </c>
      <c r="G20" s="1199" t="s">
        <v>3010</v>
      </c>
      <c r="H20" s="2898"/>
      <c r="I20" s="163"/>
      <c r="J20" s="163"/>
      <c r="K20" s="163"/>
      <c r="L20" s="163"/>
      <c r="M20" s="163"/>
      <c r="N20" s="163"/>
      <c r="O20" s="163"/>
      <c r="P20" s="163"/>
      <c r="Q20" s="163"/>
      <c r="R20" s="783"/>
      <c r="S20" s="133"/>
    </row>
    <row r="21" spans="1:45" ht="15.5">
      <c r="A21" s="710" t="s">
        <v>3011</v>
      </c>
      <c r="B21" s="333">
        <f>R22</f>
        <v>35907</v>
      </c>
      <c r="C21" s="163"/>
      <c r="D21" s="163"/>
      <c r="E21" s="163"/>
      <c r="F21" s="163"/>
      <c r="G21" s="163"/>
      <c r="H21" s="163"/>
      <c r="I21" s="163"/>
      <c r="J21" s="163"/>
      <c r="K21" s="163"/>
      <c r="L21" s="163"/>
      <c r="M21" s="163"/>
      <c r="N21" s="163"/>
      <c r="O21" s="163"/>
      <c r="P21" s="163"/>
      <c r="Q21" s="163"/>
      <c r="R21" s="783"/>
      <c r="S21" s="133"/>
    </row>
    <row r="22" spans="1:45" ht="13">
      <c r="A22" s="356" t="s">
        <v>3012</v>
      </c>
      <c r="B22" s="24">
        <f>SUM(B24:B10000)</f>
        <v>112163.84999999999</v>
      </c>
      <c r="C22" s="3222" t="s">
        <v>33</v>
      </c>
      <c r="D22" s="3223"/>
      <c r="E22" s="3223"/>
      <c r="F22" s="3223"/>
      <c r="G22" s="3223"/>
      <c r="H22" s="3223"/>
      <c r="I22" s="3223"/>
      <c r="J22" s="3223"/>
      <c r="K22" s="3223"/>
      <c r="L22" s="3223"/>
      <c r="M22" s="3223"/>
      <c r="N22" s="3223"/>
      <c r="O22" s="3223"/>
      <c r="P22" s="3223"/>
      <c r="Q22" s="3283"/>
      <c r="R22" s="711">
        <f>ROUND(S22*10000/B22,0)</f>
        <v>35907</v>
      </c>
      <c r="S22" s="24">
        <f>SUM(S24:S10000)</f>
        <v>402751</v>
      </c>
    </row>
    <row r="23" spans="1:45" s="12" customFormat="1" ht="26">
      <c r="A23" s="11" t="s">
        <v>3013</v>
      </c>
      <c r="B23" s="11" t="s">
        <v>3014</v>
      </c>
      <c r="C23" s="11" t="s">
        <v>3015</v>
      </c>
      <c r="D23" s="11" t="str">
        <f>B5</f>
        <v>建筑类型</v>
      </c>
      <c r="E23" s="11" t="s">
        <v>3015</v>
      </c>
      <c r="F23" s="11" t="str">
        <f>B7</f>
        <v>修正项3</v>
      </c>
      <c r="G23" s="11" t="s">
        <v>3015</v>
      </c>
      <c r="H23" s="11" t="str">
        <f>B9</f>
        <v>修正项4</v>
      </c>
      <c r="I23" s="11" t="s">
        <v>3015</v>
      </c>
      <c r="J23" s="11" t="str">
        <f>B11</f>
        <v>修正项5</v>
      </c>
      <c r="K23" s="11" t="s">
        <v>3015</v>
      </c>
      <c r="L23" s="11" t="str">
        <f>B13</f>
        <v>建筑类型</v>
      </c>
      <c r="M23" s="11" t="s">
        <v>3015</v>
      </c>
      <c r="N23" s="11" t="str">
        <f>B15</f>
        <v>修正项7</v>
      </c>
      <c r="O23" s="11" t="s">
        <v>3015</v>
      </c>
      <c r="P23" s="11" t="str">
        <f>B17</f>
        <v>楼层</v>
      </c>
      <c r="Q23" s="11" t="s">
        <v>3015</v>
      </c>
      <c r="R23" s="712" t="s">
        <v>3016</v>
      </c>
      <c r="S23" s="11" t="s">
        <v>3017</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3">
      <c r="A24" s="2983" t="s">
        <v>3363</v>
      </c>
      <c r="B24" s="713">
        <f>'数据-汇总表'!F19</f>
        <v>91312.59</v>
      </c>
      <c r="C24" s="714">
        <v>1</v>
      </c>
      <c r="D24" s="715" t="s">
        <v>3080</v>
      </c>
      <c r="E24" s="714">
        <v>1</v>
      </c>
      <c r="F24" s="715"/>
      <c r="G24" s="714">
        <v>1</v>
      </c>
      <c r="H24" s="715"/>
      <c r="I24" s="714">
        <v>1</v>
      </c>
      <c r="J24" s="715"/>
      <c r="K24" s="714">
        <v>1</v>
      </c>
      <c r="L24" s="715"/>
      <c r="M24" s="714">
        <v>1</v>
      </c>
      <c r="N24" s="715"/>
      <c r="O24" s="714">
        <v>1</v>
      </c>
      <c r="P24" s="715"/>
      <c r="Q24" s="714">
        <v>1</v>
      </c>
      <c r="R24" s="716">
        <f>'比较法-住宅'!B3</f>
        <v>35545</v>
      </c>
      <c r="S24" s="714">
        <f t="shared" ref="S24:S54" si="11">ROUND(R24*B24/10000,0)</f>
        <v>324571</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3">
      <c r="A25" s="2984" t="s">
        <v>3364</v>
      </c>
      <c r="B25" s="713">
        <f>'数据-汇总表'!F20</f>
        <v>18832.780000000002</v>
      </c>
      <c r="C25" s="24">
        <f>IF(B25="",1,(LOOKUP(B25,$3:$3,$4:$4)-LOOKUP($B$24,$3:$3,$4:$4)+100)/100)</f>
        <v>1</v>
      </c>
      <c r="D25" s="715" t="s">
        <v>3082</v>
      </c>
      <c r="E25" s="24">
        <f>(SUMIF($5:$5,D25,$6:$6)-SUMIF($5:$5,$D$24,$6:$6)+100)/100</f>
        <v>1.05</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37322</v>
      </c>
      <c r="S25" s="356">
        <f t="shared" si="11"/>
        <v>70288</v>
      </c>
    </row>
    <row r="26" spans="1:45" ht="13">
      <c r="A26" s="2984" t="s">
        <v>3365</v>
      </c>
      <c r="B26" s="713">
        <f>'数据-汇总表'!F21</f>
        <v>2018.48</v>
      </c>
      <c r="C26" s="24">
        <f t="shared" ref="C26:C89" si="12">IF(B26="",1,(LOOKUP(B26,$3:$3,$4:$4)-LOOKUP($B$24,$3:$3,$4:$4)+100)/100)</f>
        <v>1</v>
      </c>
      <c r="D26" s="715" t="s">
        <v>3084</v>
      </c>
      <c r="E26" s="24">
        <f t="shared" ref="E26:E89" si="13">(SUMIF($5:$5,D26,$6:$6)-SUMIF($5:$5,$D$24,$6:$6)+100)/100</f>
        <v>1.1000000000000001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39100</v>
      </c>
      <c r="S26" s="356">
        <f t="shared" si="11"/>
        <v>7892</v>
      </c>
    </row>
    <row r="27" spans="1:45" ht="13">
      <c r="A27" s="154"/>
      <c r="B27" s="56"/>
      <c r="C27" s="24">
        <f t="shared" si="12"/>
        <v>1</v>
      </c>
      <c r="D27" s="715"/>
      <c r="E27" s="24">
        <f t="shared" si="13"/>
        <v>0.1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ht="13">
      <c r="A28" s="154"/>
      <c r="B28" s="56"/>
      <c r="C28" s="24">
        <f t="shared" si="12"/>
        <v>1</v>
      </c>
      <c r="D28" s="715"/>
      <c r="E28" s="24">
        <f t="shared" si="13"/>
        <v>0.1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ht="13">
      <c r="A29" s="154"/>
      <c r="B29" s="56"/>
      <c r="C29" s="24">
        <f t="shared" si="12"/>
        <v>1</v>
      </c>
      <c r="D29" s="715"/>
      <c r="E29" s="24">
        <f t="shared" si="13"/>
        <v>0.1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ht="13">
      <c r="A30" s="154"/>
      <c r="B30" s="56"/>
      <c r="C30" s="24">
        <f t="shared" si="12"/>
        <v>1</v>
      </c>
      <c r="D30" s="715"/>
      <c r="E30" s="24">
        <f t="shared" si="13"/>
        <v>0.1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ht="13">
      <c r="A31" s="154"/>
      <c r="B31" s="56"/>
      <c r="C31" s="24">
        <f t="shared" si="12"/>
        <v>1</v>
      </c>
      <c r="D31" s="715"/>
      <c r="E31" s="24">
        <f t="shared" si="13"/>
        <v>0.1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ht="13">
      <c r="A32" s="154"/>
      <c r="B32" s="56"/>
      <c r="C32" s="24">
        <f t="shared" si="12"/>
        <v>1</v>
      </c>
      <c r="D32" s="715"/>
      <c r="E32" s="24">
        <f t="shared" si="13"/>
        <v>0.1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ht="13">
      <c r="A33" s="154"/>
      <c r="B33" s="56"/>
      <c r="C33" s="24">
        <f t="shared" si="12"/>
        <v>1</v>
      </c>
      <c r="D33" s="715"/>
      <c r="E33" s="24">
        <f t="shared" si="13"/>
        <v>0.1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ht="13">
      <c r="A34" s="154"/>
      <c r="B34" s="56"/>
      <c r="C34" s="24">
        <f t="shared" si="12"/>
        <v>1</v>
      </c>
      <c r="D34" s="715"/>
      <c r="E34" s="24">
        <f t="shared" si="13"/>
        <v>0.1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ht="13">
      <c r="A35" s="154"/>
      <c r="B35" s="56"/>
      <c r="C35" s="24">
        <f t="shared" si="12"/>
        <v>1</v>
      </c>
      <c r="D35" s="715"/>
      <c r="E35" s="24">
        <f t="shared" si="13"/>
        <v>0.1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ht="13">
      <c r="A36" s="154"/>
      <c r="B36" s="56"/>
      <c r="C36" s="24">
        <f t="shared" si="12"/>
        <v>1</v>
      </c>
      <c r="D36" s="715"/>
      <c r="E36" s="24">
        <f t="shared" si="13"/>
        <v>0.1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ht="13">
      <c r="A37" s="154"/>
      <c r="B37" s="56"/>
      <c r="C37" s="24">
        <f t="shared" si="12"/>
        <v>1</v>
      </c>
      <c r="D37" s="715"/>
      <c r="E37" s="24">
        <f t="shared" si="13"/>
        <v>0.1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ht="13">
      <c r="A38" s="154"/>
      <c r="B38" s="56"/>
      <c r="C38" s="24">
        <f t="shared" si="12"/>
        <v>1</v>
      </c>
      <c r="D38" s="715"/>
      <c r="E38" s="24">
        <f t="shared" si="13"/>
        <v>0.1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ht="13">
      <c r="A39" s="154"/>
      <c r="B39" s="56"/>
      <c r="C39" s="24">
        <f t="shared" si="12"/>
        <v>1</v>
      </c>
      <c r="D39" s="715"/>
      <c r="E39" s="24">
        <f t="shared" si="13"/>
        <v>0.1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ht="13">
      <c r="A40" s="154"/>
      <c r="B40" s="56"/>
      <c r="C40" s="24">
        <f t="shared" si="12"/>
        <v>1</v>
      </c>
      <c r="D40" s="715"/>
      <c r="E40" s="24">
        <f t="shared" si="13"/>
        <v>0.1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ht="13">
      <c r="A41" s="154"/>
      <c r="B41" s="56"/>
      <c r="C41" s="24">
        <f t="shared" si="12"/>
        <v>1</v>
      </c>
      <c r="D41" s="715"/>
      <c r="E41" s="24">
        <f t="shared" si="13"/>
        <v>0.1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ht="13">
      <c r="A42" s="154"/>
      <c r="B42" s="56"/>
      <c r="C42" s="24">
        <f t="shared" si="12"/>
        <v>1</v>
      </c>
      <c r="D42" s="715"/>
      <c r="E42" s="24">
        <f t="shared" si="13"/>
        <v>0.1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ht="13">
      <c r="A43" s="154"/>
      <c r="B43" s="56"/>
      <c r="C43" s="24">
        <f t="shared" si="12"/>
        <v>1</v>
      </c>
      <c r="D43" s="715"/>
      <c r="E43" s="24">
        <f t="shared" si="13"/>
        <v>0.1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ht="13">
      <c r="A44" s="154"/>
      <c r="B44" s="56"/>
      <c r="C44" s="24">
        <f t="shared" si="12"/>
        <v>1</v>
      </c>
      <c r="D44" s="715"/>
      <c r="E44" s="24">
        <f t="shared" si="13"/>
        <v>0.1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ht="13">
      <c r="A45" s="154"/>
      <c r="B45" s="56"/>
      <c r="C45" s="24">
        <f t="shared" si="12"/>
        <v>1</v>
      </c>
      <c r="D45" s="715"/>
      <c r="E45" s="24">
        <f t="shared" si="13"/>
        <v>0.1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ht="13">
      <c r="A46" s="154"/>
      <c r="B46" s="56"/>
      <c r="C46" s="24">
        <f t="shared" si="12"/>
        <v>1</v>
      </c>
      <c r="D46" s="715"/>
      <c r="E46" s="24">
        <f t="shared" si="13"/>
        <v>0.1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ht="13">
      <c r="A47" s="154"/>
      <c r="B47" s="56"/>
      <c r="C47" s="24">
        <f t="shared" si="12"/>
        <v>1</v>
      </c>
      <c r="D47" s="715"/>
      <c r="E47" s="24">
        <f t="shared" si="13"/>
        <v>0.1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ht="13">
      <c r="A48" s="154"/>
      <c r="B48" s="56"/>
      <c r="C48" s="24">
        <f t="shared" si="12"/>
        <v>1</v>
      </c>
      <c r="D48" s="715"/>
      <c r="E48" s="24">
        <f t="shared" si="13"/>
        <v>0.1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ht="13">
      <c r="A49" s="154"/>
      <c r="B49" s="56"/>
      <c r="C49" s="24">
        <f t="shared" si="12"/>
        <v>1</v>
      </c>
      <c r="D49" s="715"/>
      <c r="E49" s="24">
        <f t="shared" si="13"/>
        <v>0.1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ht="13">
      <c r="A50" s="154"/>
      <c r="B50" s="56"/>
      <c r="C50" s="24">
        <f t="shared" si="12"/>
        <v>1</v>
      </c>
      <c r="D50" s="715"/>
      <c r="E50" s="24">
        <f t="shared" si="13"/>
        <v>0.1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ht="13">
      <c r="A51" s="154"/>
      <c r="B51" s="56"/>
      <c r="C51" s="24">
        <f t="shared" si="12"/>
        <v>1</v>
      </c>
      <c r="D51" s="715"/>
      <c r="E51" s="24">
        <f t="shared" si="13"/>
        <v>0.1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ht="13">
      <c r="A52" s="154"/>
      <c r="B52" s="56"/>
      <c r="C52" s="24">
        <f t="shared" si="12"/>
        <v>1</v>
      </c>
      <c r="D52" s="715"/>
      <c r="E52" s="24">
        <f t="shared" si="13"/>
        <v>0.1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ht="13">
      <c r="A53" s="154"/>
      <c r="B53" s="56"/>
      <c r="C53" s="24">
        <f t="shared" si="12"/>
        <v>1</v>
      </c>
      <c r="D53" s="715"/>
      <c r="E53" s="24">
        <f t="shared" si="13"/>
        <v>0.1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ht="13">
      <c r="A54" s="154"/>
      <c r="B54" s="56"/>
      <c r="C54" s="24">
        <f t="shared" si="12"/>
        <v>1</v>
      </c>
      <c r="D54" s="715"/>
      <c r="E54" s="24">
        <f t="shared" si="13"/>
        <v>0.1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ht="13">
      <c r="A55" s="154"/>
      <c r="B55" s="56"/>
      <c r="C55" s="24">
        <f t="shared" si="12"/>
        <v>1</v>
      </c>
      <c r="D55" s="715"/>
      <c r="E55" s="24">
        <f t="shared" si="13"/>
        <v>0.1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ht="13">
      <c r="A56" s="154"/>
      <c r="B56" s="56"/>
      <c r="C56" s="24">
        <f t="shared" si="12"/>
        <v>1</v>
      </c>
      <c r="D56" s="715"/>
      <c r="E56" s="24">
        <f t="shared" si="13"/>
        <v>0.1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ht="13">
      <c r="A57" s="154"/>
      <c r="B57" s="56"/>
      <c r="C57" s="24">
        <f t="shared" si="12"/>
        <v>1</v>
      </c>
      <c r="D57" s="715"/>
      <c r="E57" s="24">
        <f t="shared" si="13"/>
        <v>0.1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ht="13">
      <c r="A58" s="154"/>
      <c r="B58" s="56"/>
      <c r="C58" s="24">
        <f t="shared" si="12"/>
        <v>1</v>
      </c>
      <c r="D58" s="715"/>
      <c r="E58" s="24">
        <f t="shared" si="13"/>
        <v>0.1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ht="13">
      <c r="A59" s="154"/>
      <c r="B59" s="56"/>
      <c r="C59" s="24">
        <f t="shared" si="12"/>
        <v>1</v>
      </c>
      <c r="D59" s="715"/>
      <c r="E59" s="24">
        <f t="shared" si="13"/>
        <v>0.1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ht="13">
      <c r="A60" s="154"/>
      <c r="B60" s="56"/>
      <c r="C60" s="24">
        <f t="shared" si="12"/>
        <v>1</v>
      </c>
      <c r="D60" s="715"/>
      <c r="E60" s="24">
        <f t="shared" si="13"/>
        <v>0.1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ht="13">
      <c r="A61" s="154"/>
      <c r="B61" s="56"/>
      <c r="C61" s="24">
        <f t="shared" si="12"/>
        <v>1</v>
      </c>
      <c r="D61" s="715"/>
      <c r="E61" s="24">
        <f t="shared" si="13"/>
        <v>0.1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ht="13">
      <c r="A62" s="154"/>
      <c r="B62" s="56"/>
      <c r="C62" s="24">
        <f t="shared" si="12"/>
        <v>1</v>
      </c>
      <c r="D62" s="715"/>
      <c r="E62" s="24">
        <f t="shared" si="13"/>
        <v>0.1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ht="13">
      <c r="A63" s="154"/>
      <c r="B63" s="56"/>
      <c r="C63" s="24">
        <f t="shared" si="12"/>
        <v>1</v>
      </c>
      <c r="D63" s="715"/>
      <c r="E63" s="24">
        <f t="shared" si="13"/>
        <v>0.1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ht="13">
      <c r="A64" s="154"/>
      <c r="B64" s="56"/>
      <c r="C64" s="24">
        <f t="shared" si="12"/>
        <v>1</v>
      </c>
      <c r="D64" s="715"/>
      <c r="E64" s="24">
        <f t="shared" si="13"/>
        <v>0.1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ht="13">
      <c r="A65" s="154"/>
      <c r="B65" s="56"/>
      <c r="C65" s="24">
        <f t="shared" si="12"/>
        <v>1</v>
      </c>
      <c r="D65" s="715"/>
      <c r="E65" s="24">
        <f t="shared" si="13"/>
        <v>0.1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ht="13">
      <c r="A66" s="154"/>
      <c r="B66" s="56"/>
      <c r="C66" s="24">
        <f t="shared" si="12"/>
        <v>1</v>
      </c>
      <c r="D66" s="715"/>
      <c r="E66" s="24">
        <f t="shared" si="13"/>
        <v>0.1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ht="13">
      <c r="A67" s="154"/>
      <c r="B67" s="56"/>
      <c r="C67" s="24">
        <f t="shared" si="12"/>
        <v>1</v>
      </c>
      <c r="D67" s="715"/>
      <c r="E67" s="24">
        <f t="shared" si="13"/>
        <v>0.1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ht="13">
      <c r="A68" s="154"/>
      <c r="B68" s="56"/>
      <c r="C68" s="24">
        <f t="shared" si="12"/>
        <v>1</v>
      </c>
      <c r="D68" s="715"/>
      <c r="E68" s="24">
        <f t="shared" si="13"/>
        <v>0.1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ht="13">
      <c r="A69" s="154"/>
      <c r="B69" s="56"/>
      <c r="C69" s="24">
        <f t="shared" si="12"/>
        <v>1</v>
      </c>
      <c r="D69" s="715"/>
      <c r="E69" s="24">
        <f t="shared" si="13"/>
        <v>0.1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ht="13">
      <c r="A70" s="154"/>
      <c r="B70" s="56"/>
      <c r="C70" s="24">
        <f t="shared" si="12"/>
        <v>1</v>
      </c>
      <c r="D70" s="715"/>
      <c r="E70" s="24">
        <f t="shared" si="13"/>
        <v>0.1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ht="13">
      <c r="A71" s="154"/>
      <c r="B71" s="56"/>
      <c r="C71" s="24">
        <f t="shared" si="12"/>
        <v>1</v>
      </c>
      <c r="D71" s="715"/>
      <c r="E71" s="24">
        <f t="shared" si="13"/>
        <v>0.1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ht="13">
      <c r="A72" s="154"/>
      <c r="B72" s="56"/>
      <c r="C72" s="24">
        <f t="shared" si="12"/>
        <v>1</v>
      </c>
      <c r="D72" s="715"/>
      <c r="E72" s="24">
        <f t="shared" si="13"/>
        <v>0.1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ht="13">
      <c r="A73" s="154"/>
      <c r="B73" s="56"/>
      <c r="C73" s="24">
        <f t="shared" si="12"/>
        <v>1</v>
      </c>
      <c r="D73" s="715"/>
      <c r="E73" s="24">
        <f t="shared" si="13"/>
        <v>0.1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ht="13">
      <c r="A74" s="154"/>
      <c r="B74" s="56"/>
      <c r="C74" s="24">
        <f t="shared" si="12"/>
        <v>1</v>
      </c>
      <c r="D74" s="715"/>
      <c r="E74" s="24">
        <f t="shared" si="13"/>
        <v>0.1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ht="13">
      <c r="A75" s="154"/>
      <c r="B75" s="56"/>
      <c r="C75" s="24">
        <f t="shared" si="12"/>
        <v>1</v>
      </c>
      <c r="D75" s="715"/>
      <c r="E75" s="24">
        <f t="shared" si="13"/>
        <v>0.1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ht="13">
      <c r="A76" s="154"/>
      <c r="B76" s="56"/>
      <c r="C76" s="24">
        <f t="shared" si="12"/>
        <v>1</v>
      </c>
      <c r="D76" s="715"/>
      <c r="E76" s="24">
        <f t="shared" si="13"/>
        <v>0.1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ht="13">
      <c r="A77" s="154"/>
      <c r="B77" s="56"/>
      <c r="C77" s="24">
        <f t="shared" si="12"/>
        <v>1</v>
      </c>
      <c r="D77" s="715"/>
      <c r="E77" s="24">
        <f t="shared" si="13"/>
        <v>0.1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ht="13">
      <c r="A78" s="154"/>
      <c r="B78" s="56"/>
      <c r="C78" s="24">
        <f t="shared" si="12"/>
        <v>1</v>
      </c>
      <c r="D78" s="715"/>
      <c r="E78" s="24">
        <f t="shared" si="13"/>
        <v>0.1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ht="13">
      <c r="A79" s="154"/>
      <c r="B79" s="56"/>
      <c r="C79" s="24">
        <f t="shared" si="12"/>
        <v>1</v>
      </c>
      <c r="D79" s="715"/>
      <c r="E79" s="24">
        <f t="shared" si="13"/>
        <v>0.1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ht="13">
      <c r="A80" s="154"/>
      <c r="B80" s="56"/>
      <c r="C80" s="24">
        <f t="shared" si="12"/>
        <v>1</v>
      </c>
      <c r="D80" s="715"/>
      <c r="E80" s="24">
        <f t="shared" si="13"/>
        <v>0.1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ht="13">
      <c r="A81" s="154"/>
      <c r="B81" s="56"/>
      <c r="C81" s="24">
        <f t="shared" si="12"/>
        <v>1</v>
      </c>
      <c r="D81" s="715"/>
      <c r="E81" s="24">
        <f t="shared" si="13"/>
        <v>0.1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ht="13">
      <c r="A82" s="154"/>
      <c r="B82" s="56"/>
      <c r="C82" s="24">
        <f t="shared" si="12"/>
        <v>1</v>
      </c>
      <c r="D82" s="715"/>
      <c r="E82" s="24">
        <f t="shared" si="13"/>
        <v>0.1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ht="13">
      <c r="A83" s="154"/>
      <c r="B83" s="56"/>
      <c r="C83" s="24">
        <f t="shared" si="12"/>
        <v>1</v>
      </c>
      <c r="D83" s="715"/>
      <c r="E83" s="24">
        <f t="shared" si="13"/>
        <v>0.1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ht="13">
      <c r="A84" s="154"/>
      <c r="B84" s="56"/>
      <c r="C84" s="24">
        <f t="shared" si="12"/>
        <v>1</v>
      </c>
      <c r="D84" s="715"/>
      <c r="E84" s="24">
        <f t="shared" si="13"/>
        <v>0.1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ht="13">
      <c r="A85" s="154"/>
      <c r="B85" s="56"/>
      <c r="C85" s="24">
        <f t="shared" si="12"/>
        <v>1</v>
      </c>
      <c r="D85" s="715"/>
      <c r="E85" s="24">
        <f t="shared" si="13"/>
        <v>0.1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ht="13">
      <c r="A86" s="154"/>
      <c r="B86" s="56"/>
      <c r="C86" s="24">
        <f t="shared" si="12"/>
        <v>1</v>
      </c>
      <c r="D86" s="715"/>
      <c r="E86" s="24">
        <f t="shared" si="13"/>
        <v>0.1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ht="13">
      <c r="A87" s="154"/>
      <c r="B87" s="56"/>
      <c r="C87" s="24">
        <f t="shared" si="12"/>
        <v>1</v>
      </c>
      <c r="D87" s="715"/>
      <c r="E87" s="24">
        <f t="shared" si="13"/>
        <v>0.1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ht="13">
      <c r="A88" s="154"/>
      <c r="B88" s="56"/>
      <c r="C88" s="24">
        <f t="shared" si="12"/>
        <v>1</v>
      </c>
      <c r="D88" s="715"/>
      <c r="E88" s="24">
        <f t="shared" si="13"/>
        <v>0.1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ht="13">
      <c r="A89" s="154"/>
      <c r="B89" s="56"/>
      <c r="C89" s="24">
        <f t="shared" si="12"/>
        <v>1</v>
      </c>
      <c r="D89" s="715"/>
      <c r="E89" s="24">
        <f t="shared" si="13"/>
        <v>0.1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ht="13">
      <c r="A90" s="154"/>
      <c r="B90" s="56"/>
      <c r="C90" s="24">
        <f t="shared" ref="C90:C153" si="23">IF(B90="",1,(LOOKUP(B90,$3:$3,$4:$4)-LOOKUP($B$24,$3:$3,$4:$4)+100)/100)</f>
        <v>1</v>
      </c>
      <c r="D90" s="715"/>
      <c r="E90" s="24">
        <f t="shared" ref="E90:E153" si="24">(SUMIF($5:$5,D90,$6:$6)-SUMIF($5:$5,$D$24,$6:$6)+100)/100</f>
        <v>0.1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ht="13">
      <c r="A91" s="154"/>
      <c r="B91" s="56"/>
      <c r="C91" s="24">
        <f t="shared" si="23"/>
        <v>1</v>
      </c>
      <c r="D91" s="715"/>
      <c r="E91" s="24">
        <f t="shared" si="24"/>
        <v>0.1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ht="13">
      <c r="A92" s="154"/>
      <c r="B92" s="56"/>
      <c r="C92" s="24">
        <f t="shared" si="23"/>
        <v>1</v>
      </c>
      <c r="D92" s="715"/>
      <c r="E92" s="24">
        <f t="shared" si="24"/>
        <v>0.1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ht="13">
      <c r="A93" s="154"/>
      <c r="B93" s="56"/>
      <c r="C93" s="24">
        <f t="shared" si="23"/>
        <v>1</v>
      </c>
      <c r="D93" s="715"/>
      <c r="E93" s="24">
        <f t="shared" si="24"/>
        <v>0.1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ht="13">
      <c r="A94" s="154"/>
      <c r="B94" s="56"/>
      <c r="C94" s="24">
        <f t="shared" si="23"/>
        <v>1</v>
      </c>
      <c r="D94" s="715"/>
      <c r="E94" s="24">
        <f t="shared" si="24"/>
        <v>0.1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ht="13">
      <c r="A95" s="154"/>
      <c r="B95" s="56"/>
      <c r="C95" s="24">
        <f t="shared" si="23"/>
        <v>1</v>
      </c>
      <c r="D95" s="715"/>
      <c r="E95" s="24">
        <f t="shared" si="24"/>
        <v>0.1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ht="13">
      <c r="A96" s="154"/>
      <c r="B96" s="56"/>
      <c r="C96" s="24">
        <f t="shared" si="23"/>
        <v>1</v>
      </c>
      <c r="D96" s="715"/>
      <c r="E96" s="24">
        <f t="shared" si="24"/>
        <v>0.1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ht="13">
      <c r="A97" s="154"/>
      <c r="B97" s="56"/>
      <c r="C97" s="24">
        <f t="shared" si="23"/>
        <v>1</v>
      </c>
      <c r="D97" s="715"/>
      <c r="E97" s="24">
        <f t="shared" si="24"/>
        <v>0.1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ht="13">
      <c r="A98" s="154"/>
      <c r="B98" s="56"/>
      <c r="C98" s="24">
        <f t="shared" si="23"/>
        <v>1</v>
      </c>
      <c r="D98" s="715"/>
      <c r="E98" s="24">
        <f t="shared" si="24"/>
        <v>0.1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ht="13">
      <c r="A99" s="154"/>
      <c r="B99" s="56"/>
      <c r="C99" s="24">
        <f t="shared" si="23"/>
        <v>1</v>
      </c>
      <c r="D99" s="715"/>
      <c r="E99" s="24">
        <f t="shared" si="24"/>
        <v>0.1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ht="13">
      <c r="A100" s="154"/>
      <c r="B100" s="56"/>
      <c r="C100" s="24">
        <f t="shared" si="23"/>
        <v>1</v>
      </c>
      <c r="D100" s="715"/>
      <c r="E100" s="24">
        <f t="shared" si="24"/>
        <v>0.1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ht="13">
      <c r="A101" s="154"/>
      <c r="B101" s="56"/>
      <c r="C101" s="24">
        <f t="shared" si="23"/>
        <v>1</v>
      </c>
      <c r="D101" s="715"/>
      <c r="E101" s="24">
        <f t="shared" si="24"/>
        <v>0.1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ht="13">
      <c r="A102" s="154"/>
      <c r="B102" s="56"/>
      <c r="C102" s="24">
        <f t="shared" si="23"/>
        <v>1</v>
      </c>
      <c r="D102" s="715"/>
      <c r="E102" s="24">
        <f t="shared" si="24"/>
        <v>0.1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ht="13">
      <c r="A103" s="154"/>
      <c r="B103" s="56"/>
      <c r="C103" s="24">
        <f t="shared" si="23"/>
        <v>1</v>
      </c>
      <c r="D103" s="715"/>
      <c r="E103" s="24">
        <f t="shared" si="24"/>
        <v>0.1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ht="13">
      <c r="A104" s="154"/>
      <c r="B104" s="56"/>
      <c r="C104" s="24">
        <f t="shared" si="23"/>
        <v>1</v>
      </c>
      <c r="D104" s="715"/>
      <c r="E104" s="24">
        <f t="shared" si="24"/>
        <v>0.1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ht="13">
      <c r="A105" s="154"/>
      <c r="B105" s="56"/>
      <c r="C105" s="24">
        <f t="shared" si="23"/>
        <v>1</v>
      </c>
      <c r="D105" s="715"/>
      <c r="E105" s="24">
        <f t="shared" si="24"/>
        <v>0.1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ht="13">
      <c r="A106" s="154"/>
      <c r="B106" s="56"/>
      <c r="C106" s="24">
        <f t="shared" si="23"/>
        <v>1</v>
      </c>
      <c r="D106" s="715"/>
      <c r="E106" s="24">
        <f t="shared" si="24"/>
        <v>0.1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ht="13">
      <c r="A107" s="154"/>
      <c r="B107" s="56"/>
      <c r="C107" s="24">
        <f t="shared" si="23"/>
        <v>1</v>
      </c>
      <c r="D107" s="715"/>
      <c r="E107" s="24">
        <f t="shared" si="24"/>
        <v>0.1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ht="13">
      <c r="A108" s="154"/>
      <c r="B108" s="56"/>
      <c r="C108" s="24">
        <f t="shared" si="23"/>
        <v>1</v>
      </c>
      <c r="D108" s="715"/>
      <c r="E108" s="24">
        <f t="shared" si="24"/>
        <v>0.1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ht="13">
      <c r="A109" s="154"/>
      <c r="B109" s="56"/>
      <c r="C109" s="24">
        <f t="shared" si="23"/>
        <v>1</v>
      </c>
      <c r="D109" s="715"/>
      <c r="E109" s="24">
        <f t="shared" si="24"/>
        <v>0.1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ht="13">
      <c r="A110" s="154"/>
      <c r="B110" s="56"/>
      <c r="C110" s="24">
        <f t="shared" si="23"/>
        <v>1</v>
      </c>
      <c r="D110" s="715"/>
      <c r="E110" s="24">
        <f t="shared" si="24"/>
        <v>0.1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ht="13">
      <c r="A111" s="154"/>
      <c r="B111" s="56"/>
      <c r="C111" s="24">
        <f t="shared" si="23"/>
        <v>1</v>
      </c>
      <c r="D111" s="715"/>
      <c r="E111" s="24">
        <f t="shared" si="24"/>
        <v>0.1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ht="13">
      <c r="A112" s="154"/>
      <c r="B112" s="56"/>
      <c r="C112" s="24">
        <f t="shared" si="23"/>
        <v>1</v>
      </c>
      <c r="D112" s="715"/>
      <c r="E112" s="24">
        <f t="shared" si="24"/>
        <v>0.1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ht="13">
      <c r="A113" s="154"/>
      <c r="B113" s="56"/>
      <c r="C113" s="24">
        <f t="shared" si="23"/>
        <v>1</v>
      </c>
      <c r="D113" s="715"/>
      <c r="E113" s="24">
        <f t="shared" si="24"/>
        <v>0.1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ht="13">
      <c r="A114" s="154"/>
      <c r="B114" s="56"/>
      <c r="C114" s="24">
        <f t="shared" si="23"/>
        <v>1</v>
      </c>
      <c r="D114" s="715"/>
      <c r="E114" s="24">
        <f t="shared" si="24"/>
        <v>0.1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ht="13">
      <c r="A115" s="154"/>
      <c r="B115" s="56"/>
      <c r="C115" s="24">
        <f t="shared" si="23"/>
        <v>1</v>
      </c>
      <c r="D115" s="715"/>
      <c r="E115" s="24">
        <f t="shared" si="24"/>
        <v>0.1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ht="13">
      <c r="A116" s="154"/>
      <c r="B116" s="56"/>
      <c r="C116" s="24">
        <f t="shared" si="23"/>
        <v>1</v>
      </c>
      <c r="D116" s="715"/>
      <c r="E116" s="24">
        <f t="shared" si="24"/>
        <v>0.1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ht="13">
      <c r="A117" s="154"/>
      <c r="B117" s="56"/>
      <c r="C117" s="24">
        <f t="shared" si="23"/>
        <v>1</v>
      </c>
      <c r="D117" s="715"/>
      <c r="E117" s="24">
        <f t="shared" si="24"/>
        <v>0.1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ht="13">
      <c r="A118" s="154"/>
      <c r="B118" s="56"/>
      <c r="C118" s="24">
        <f t="shared" si="23"/>
        <v>1</v>
      </c>
      <c r="D118" s="715"/>
      <c r="E118" s="24">
        <f t="shared" si="24"/>
        <v>0.1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ht="13">
      <c r="A119" s="154"/>
      <c r="B119" s="56"/>
      <c r="C119" s="24">
        <f t="shared" si="23"/>
        <v>1</v>
      </c>
      <c r="D119" s="715"/>
      <c r="E119" s="24">
        <f t="shared" si="24"/>
        <v>0.1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ht="13">
      <c r="A120" s="154"/>
      <c r="B120" s="56"/>
      <c r="C120" s="24">
        <f t="shared" si="23"/>
        <v>1</v>
      </c>
      <c r="D120" s="715"/>
      <c r="E120" s="24">
        <f t="shared" si="24"/>
        <v>0.1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ht="13">
      <c r="A121" s="154"/>
      <c r="B121" s="56"/>
      <c r="C121" s="24">
        <f t="shared" si="23"/>
        <v>1</v>
      </c>
      <c r="D121" s="715"/>
      <c r="E121" s="24">
        <f t="shared" si="24"/>
        <v>0.1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ht="13">
      <c r="A122" s="154"/>
      <c r="B122" s="56"/>
      <c r="C122" s="24">
        <f t="shared" si="23"/>
        <v>1</v>
      </c>
      <c r="D122" s="715"/>
      <c r="E122" s="24">
        <f t="shared" si="24"/>
        <v>0.1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ht="13">
      <c r="A123" s="154"/>
      <c r="B123" s="56"/>
      <c r="C123" s="24">
        <f t="shared" si="23"/>
        <v>1</v>
      </c>
      <c r="D123" s="715"/>
      <c r="E123" s="24">
        <f t="shared" si="24"/>
        <v>0.1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ht="13">
      <c r="A124" s="154"/>
      <c r="B124" s="56"/>
      <c r="C124" s="24">
        <f t="shared" si="23"/>
        <v>1</v>
      </c>
      <c r="D124" s="715"/>
      <c r="E124" s="24">
        <f t="shared" si="24"/>
        <v>0.1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ht="13">
      <c r="A125" s="154"/>
      <c r="B125" s="56"/>
      <c r="C125" s="24">
        <f t="shared" si="23"/>
        <v>1</v>
      </c>
      <c r="D125" s="715"/>
      <c r="E125" s="24">
        <f t="shared" si="24"/>
        <v>0.1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ht="13">
      <c r="A126" s="154"/>
      <c r="B126" s="56"/>
      <c r="C126" s="24">
        <f t="shared" si="23"/>
        <v>1</v>
      </c>
      <c r="D126" s="715"/>
      <c r="E126" s="24">
        <f t="shared" si="24"/>
        <v>0.1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ht="13">
      <c r="A127" s="154"/>
      <c r="B127" s="56"/>
      <c r="C127" s="24">
        <f t="shared" si="23"/>
        <v>1</v>
      </c>
      <c r="D127" s="715"/>
      <c r="E127" s="24">
        <f t="shared" si="24"/>
        <v>0.1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ht="13">
      <c r="A128" s="154"/>
      <c r="B128" s="56"/>
      <c r="C128" s="24">
        <f t="shared" si="23"/>
        <v>1</v>
      </c>
      <c r="D128" s="715"/>
      <c r="E128" s="24">
        <f t="shared" si="24"/>
        <v>0.1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ht="13">
      <c r="A129" s="154"/>
      <c r="B129" s="56"/>
      <c r="C129" s="24">
        <f t="shared" si="23"/>
        <v>1</v>
      </c>
      <c r="D129" s="715"/>
      <c r="E129" s="24">
        <f t="shared" si="24"/>
        <v>0.1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ht="13">
      <c r="A130" s="154"/>
      <c r="B130" s="56"/>
      <c r="C130" s="24">
        <f t="shared" si="23"/>
        <v>1</v>
      </c>
      <c r="D130" s="715"/>
      <c r="E130" s="24">
        <f t="shared" si="24"/>
        <v>0.1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ht="13">
      <c r="A131" s="154"/>
      <c r="B131" s="56"/>
      <c r="C131" s="24">
        <f t="shared" si="23"/>
        <v>1</v>
      </c>
      <c r="D131" s="715"/>
      <c r="E131" s="24">
        <f t="shared" si="24"/>
        <v>0.1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ht="13">
      <c r="A132" s="154"/>
      <c r="B132" s="56"/>
      <c r="C132" s="24">
        <f t="shared" si="23"/>
        <v>1</v>
      </c>
      <c r="D132" s="715"/>
      <c r="E132" s="24">
        <f t="shared" si="24"/>
        <v>0.1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ht="13">
      <c r="A133" s="154"/>
      <c r="B133" s="56"/>
      <c r="C133" s="24">
        <f t="shared" si="23"/>
        <v>1</v>
      </c>
      <c r="D133" s="715"/>
      <c r="E133" s="24">
        <f t="shared" si="24"/>
        <v>0.1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ht="13">
      <c r="A134" s="154"/>
      <c r="B134" s="56"/>
      <c r="C134" s="24">
        <f t="shared" si="23"/>
        <v>1</v>
      </c>
      <c r="D134" s="715"/>
      <c r="E134" s="24">
        <f t="shared" si="24"/>
        <v>0.1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ht="13">
      <c r="A135" s="154"/>
      <c r="B135" s="56"/>
      <c r="C135" s="24">
        <f t="shared" si="23"/>
        <v>1</v>
      </c>
      <c r="D135" s="715"/>
      <c r="E135" s="24">
        <f t="shared" si="24"/>
        <v>0.1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ht="13">
      <c r="A136" s="154"/>
      <c r="B136" s="56"/>
      <c r="C136" s="24">
        <f t="shared" si="23"/>
        <v>1</v>
      </c>
      <c r="D136" s="715"/>
      <c r="E136" s="24">
        <f t="shared" si="24"/>
        <v>0.1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ht="13">
      <c r="A137" s="154"/>
      <c r="B137" s="56"/>
      <c r="C137" s="24">
        <f t="shared" si="23"/>
        <v>1</v>
      </c>
      <c r="D137" s="715"/>
      <c r="E137" s="24">
        <f t="shared" si="24"/>
        <v>0.1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ht="13">
      <c r="A138" s="154"/>
      <c r="B138" s="56"/>
      <c r="C138" s="24">
        <f t="shared" si="23"/>
        <v>1</v>
      </c>
      <c r="D138" s="715"/>
      <c r="E138" s="24">
        <f t="shared" si="24"/>
        <v>0.1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ht="13">
      <c r="A139" s="154"/>
      <c r="B139" s="56"/>
      <c r="C139" s="24">
        <f t="shared" si="23"/>
        <v>1</v>
      </c>
      <c r="D139" s="715"/>
      <c r="E139" s="24">
        <f t="shared" si="24"/>
        <v>0.1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ht="13">
      <c r="A140" s="154"/>
      <c r="B140" s="56"/>
      <c r="C140" s="24">
        <f t="shared" si="23"/>
        <v>1</v>
      </c>
      <c r="D140" s="715"/>
      <c r="E140" s="24">
        <f t="shared" si="24"/>
        <v>0.1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ht="13">
      <c r="A141" s="154"/>
      <c r="B141" s="56"/>
      <c r="C141" s="24">
        <f t="shared" si="23"/>
        <v>1</v>
      </c>
      <c r="D141" s="715"/>
      <c r="E141" s="24">
        <f t="shared" si="24"/>
        <v>0.1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ht="13">
      <c r="A142" s="154"/>
      <c r="B142" s="56"/>
      <c r="C142" s="24">
        <f t="shared" si="23"/>
        <v>1</v>
      </c>
      <c r="D142" s="715"/>
      <c r="E142" s="24">
        <f t="shared" si="24"/>
        <v>0.1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ht="13">
      <c r="A143" s="154"/>
      <c r="B143" s="56"/>
      <c r="C143" s="24">
        <f t="shared" si="23"/>
        <v>1</v>
      </c>
      <c r="D143" s="715"/>
      <c r="E143" s="24">
        <f t="shared" si="24"/>
        <v>0.1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ht="13">
      <c r="A144" s="154"/>
      <c r="B144" s="56"/>
      <c r="C144" s="24">
        <f t="shared" si="23"/>
        <v>1</v>
      </c>
      <c r="D144" s="715"/>
      <c r="E144" s="24">
        <f t="shared" si="24"/>
        <v>0.1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ht="13">
      <c r="A145" s="154"/>
      <c r="B145" s="56"/>
      <c r="C145" s="24">
        <f t="shared" si="23"/>
        <v>1</v>
      </c>
      <c r="D145" s="715"/>
      <c r="E145" s="24">
        <f t="shared" si="24"/>
        <v>0.1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ht="13">
      <c r="A146" s="154"/>
      <c r="B146" s="56"/>
      <c r="C146" s="24">
        <f t="shared" si="23"/>
        <v>1</v>
      </c>
      <c r="D146" s="715"/>
      <c r="E146" s="24">
        <f t="shared" si="24"/>
        <v>0.1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ht="13">
      <c r="A147" s="154"/>
      <c r="B147" s="56"/>
      <c r="C147" s="24">
        <f t="shared" si="23"/>
        <v>1</v>
      </c>
      <c r="D147" s="715"/>
      <c r="E147" s="24">
        <f t="shared" si="24"/>
        <v>0.1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ht="13">
      <c r="A148" s="154"/>
      <c r="B148" s="56"/>
      <c r="C148" s="24">
        <f t="shared" si="23"/>
        <v>1</v>
      </c>
      <c r="D148" s="715"/>
      <c r="E148" s="24">
        <f t="shared" si="24"/>
        <v>0.1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ht="13">
      <c r="A149" s="154"/>
      <c r="B149" s="56"/>
      <c r="C149" s="24">
        <f t="shared" si="23"/>
        <v>1</v>
      </c>
      <c r="D149" s="715"/>
      <c r="E149" s="24">
        <f t="shared" si="24"/>
        <v>0.1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ht="13">
      <c r="A150" s="154"/>
      <c r="B150" s="56"/>
      <c r="C150" s="24">
        <f t="shared" si="23"/>
        <v>1</v>
      </c>
      <c r="D150" s="715"/>
      <c r="E150" s="24">
        <f t="shared" si="24"/>
        <v>0.1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ht="13">
      <c r="A151" s="154"/>
      <c r="B151" s="56"/>
      <c r="C151" s="24">
        <f t="shared" si="23"/>
        <v>1</v>
      </c>
      <c r="D151" s="715"/>
      <c r="E151" s="24">
        <f t="shared" si="24"/>
        <v>0.1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ht="13">
      <c r="A152" s="154"/>
      <c r="B152" s="56"/>
      <c r="C152" s="24">
        <f t="shared" si="23"/>
        <v>1</v>
      </c>
      <c r="D152" s="715"/>
      <c r="E152" s="24">
        <f t="shared" si="24"/>
        <v>0.1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ht="13">
      <c r="A153" s="154"/>
      <c r="B153" s="56"/>
      <c r="C153" s="24">
        <f t="shared" si="23"/>
        <v>1</v>
      </c>
      <c r="D153" s="715"/>
      <c r="E153" s="24">
        <f t="shared" si="24"/>
        <v>0.1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ht="13">
      <c r="A154" s="154"/>
      <c r="B154" s="56"/>
      <c r="C154" s="24">
        <f t="shared" ref="C154:C217" si="33">IF(B154="",1,(LOOKUP(B154,$3:$3,$4:$4)-LOOKUP($B$24,$3:$3,$4:$4)+100)/100)</f>
        <v>1</v>
      </c>
      <c r="D154" s="715"/>
      <c r="E154" s="24">
        <f t="shared" ref="E154:E217" si="34">(SUMIF($5:$5,D154,$6:$6)-SUMIF($5:$5,$D$24,$6:$6)+100)/100</f>
        <v>0.1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ht="13">
      <c r="A155" s="154"/>
      <c r="B155" s="56"/>
      <c r="C155" s="24">
        <f t="shared" si="33"/>
        <v>1</v>
      </c>
      <c r="D155" s="715"/>
      <c r="E155" s="24">
        <f t="shared" si="34"/>
        <v>0.1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ht="13">
      <c r="A156" s="154"/>
      <c r="B156" s="56"/>
      <c r="C156" s="24">
        <f t="shared" si="33"/>
        <v>1</v>
      </c>
      <c r="D156" s="715"/>
      <c r="E156" s="24">
        <f t="shared" si="34"/>
        <v>0.1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ht="13">
      <c r="A157" s="154"/>
      <c r="B157" s="56"/>
      <c r="C157" s="24">
        <f t="shared" si="33"/>
        <v>1</v>
      </c>
      <c r="D157" s="715"/>
      <c r="E157" s="24">
        <f t="shared" si="34"/>
        <v>0.1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ht="13">
      <c r="A158" s="154"/>
      <c r="B158" s="56"/>
      <c r="C158" s="24">
        <f t="shared" si="33"/>
        <v>1</v>
      </c>
      <c r="D158" s="715"/>
      <c r="E158" s="24">
        <f t="shared" si="34"/>
        <v>0.1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ht="13">
      <c r="A159" s="154"/>
      <c r="B159" s="56"/>
      <c r="C159" s="24">
        <f t="shared" si="33"/>
        <v>1</v>
      </c>
      <c r="D159" s="715"/>
      <c r="E159" s="24">
        <f t="shared" si="34"/>
        <v>0.1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ht="13">
      <c r="A160" s="154"/>
      <c r="B160" s="56"/>
      <c r="C160" s="24">
        <f t="shared" si="33"/>
        <v>1</v>
      </c>
      <c r="D160" s="715"/>
      <c r="E160" s="24">
        <f t="shared" si="34"/>
        <v>0.1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ht="13">
      <c r="A161" s="154"/>
      <c r="B161" s="56"/>
      <c r="C161" s="24">
        <f t="shared" si="33"/>
        <v>1</v>
      </c>
      <c r="D161" s="715"/>
      <c r="E161" s="24">
        <f t="shared" si="34"/>
        <v>0.1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ht="13">
      <c r="A162" s="154"/>
      <c r="B162" s="56"/>
      <c r="C162" s="24">
        <f t="shared" si="33"/>
        <v>1</v>
      </c>
      <c r="D162" s="715"/>
      <c r="E162" s="24">
        <f t="shared" si="34"/>
        <v>0.1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ht="13">
      <c r="A163" s="154"/>
      <c r="B163" s="56"/>
      <c r="C163" s="24">
        <f t="shared" si="33"/>
        <v>1</v>
      </c>
      <c r="D163" s="715"/>
      <c r="E163" s="24">
        <f t="shared" si="34"/>
        <v>0.1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ht="13">
      <c r="A164" s="154"/>
      <c r="B164" s="56"/>
      <c r="C164" s="24">
        <f t="shared" si="33"/>
        <v>1</v>
      </c>
      <c r="D164" s="715"/>
      <c r="E164" s="24">
        <f t="shared" si="34"/>
        <v>0.1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ht="13">
      <c r="A165" s="154"/>
      <c r="B165" s="56"/>
      <c r="C165" s="24">
        <f t="shared" si="33"/>
        <v>1</v>
      </c>
      <c r="D165" s="715"/>
      <c r="E165" s="24">
        <f t="shared" si="34"/>
        <v>0.1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ht="13">
      <c r="A166" s="154"/>
      <c r="B166" s="56"/>
      <c r="C166" s="24">
        <f t="shared" si="33"/>
        <v>1</v>
      </c>
      <c r="D166" s="715"/>
      <c r="E166" s="24">
        <f t="shared" si="34"/>
        <v>0.1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ht="13">
      <c r="A167" s="154"/>
      <c r="B167" s="56"/>
      <c r="C167" s="24">
        <f t="shared" si="33"/>
        <v>1</v>
      </c>
      <c r="D167" s="715"/>
      <c r="E167" s="24">
        <f t="shared" si="34"/>
        <v>0.1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ht="13">
      <c r="A168" s="154"/>
      <c r="B168" s="56"/>
      <c r="C168" s="24">
        <f t="shared" si="33"/>
        <v>1</v>
      </c>
      <c r="D168" s="715"/>
      <c r="E168" s="24">
        <f t="shared" si="34"/>
        <v>0.1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ht="13">
      <c r="A169" s="154"/>
      <c r="B169" s="56"/>
      <c r="C169" s="24">
        <f t="shared" si="33"/>
        <v>1</v>
      </c>
      <c r="D169" s="715"/>
      <c r="E169" s="24">
        <f t="shared" si="34"/>
        <v>0.1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ht="13">
      <c r="A170" s="154"/>
      <c r="B170" s="56"/>
      <c r="C170" s="24">
        <f t="shared" si="33"/>
        <v>1</v>
      </c>
      <c r="D170" s="715"/>
      <c r="E170" s="24">
        <f t="shared" si="34"/>
        <v>0.1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ht="13">
      <c r="A171" s="154"/>
      <c r="B171" s="56"/>
      <c r="C171" s="24">
        <f t="shared" si="33"/>
        <v>1</v>
      </c>
      <c r="D171" s="715"/>
      <c r="E171" s="24">
        <f t="shared" si="34"/>
        <v>0.1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ht="13">
      <c r="A172" s="154"/>
      <c r="B172" s="56"/>
      <c r="C172" s="24">
        <f t="shared" si="33"/>
        <v>1</v>
      </c>
      <c r="D172" s="715"/>
      <c r="E172" s="24">
        <f t="shared" si="34"/>
        <v>0.1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ht="13">
      <c r="A173" s="154"/>
      <c r="B173" s="56"/>
      <c r="C173" s="24">
        <f t="shared" si="33"/>
        <v>1</v>
      </c>
      <c r="D173" s="715"/>
      <c r="E173" s="24">
        <f t="shared" si="34"/>
        <v>0.1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ht="13">
      <c r="A174" s="154"/>
      <c r="B174" s="56"/>
      <c r="C174" s="24">
        <f t="shared" si="33"/>
        <v>1</v>
      </c>
      <c r="D174" s="715"/>
      <c r="E174" s="24">
        <f t="shared" si="34"/>
        <v>0.1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ht="13">
      <c r="A175" s="154"/>
      <c r="B175" s="56"/>
      <c r="C175" s="24">
        <f t="shared" si="33"/>
        <v>1</v>
      </c>
      <c r="D175" s="715"/>
      <c r="E175" s="24">
        <f t="shared" si="34"/>
        <v>0.1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ht="13">
      <c r="A176" s="154"/>
      <c r="B176" s="56"/>
      <c r="C176" s="24">
        <f t="shared" si="33"/>
        <v>1</v>
      </c>
      <c r="D176" s="715"/>
      <c r="E176" s="24">
        <f t="shared" si="34"/>
        <v>0.1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ht="13">
      <c r="A177" s="154"/>
      <c r="B177" s="56"/>
      <c r="C177" s="24">
        <f t="shared" si="33"/>
        <v>1</v>
      </c>
      <c r="D177" s="715"/>
      <c r="E177" s="24">
        <f t="shared" si="34"/>
        <v>0.1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ht="13">
      <c r="A178" s="154"/>
      <c r="B178" s="56"/>
      <c r="C178" s="24">
        <f t="shared" si="33"/>
        <v>1</v>
      </c>
      <c r="D178" s="715"/>
      <c r="E178" s="24">
        <f t="shared" si="34"/>
        <v>0.1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ht="13">
      <c r="A179" s="154"/>
      <c r="B179" s="56"/>
      <c r="C179" s="24">
        <f t="shared" si="33"/>
        <v>1</v>
      </c>
      <c r="D179" s="715"/>
      <c r="E179" s="24">
        <f t="shared" si="34"/>
        <v>0.1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ht="13">
      <c r="A180" s="154"/>
      <c r="B180" s="56"/>
      <c r="C180" s="24">
        <f t="shared" si="33"/>
        <v>1</v>
      </c>
      <c r="D180" s="715"/>
      <c r="E180" s="24">
        <f t="shared" si="34"/>
        <v>0.1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ht="13">
      <c r="A181" s="154"/>
      <c r="B181" s="56"/>
      <c r="C181" s="24">
        <f t="shared" si="33"/>
        <v>1</v>
      </c>
      <c r="D181" s="715"/>
      <c r="E181" s="24">
        <f t="shared" si="34"/>
        <v>0.1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ht="13">
      <c r="A182" s="154"/>
      <c r="B182" s="56"/>
      <c r="C182" s="24">
        <f t="shared" si="33"/>
        <v>1</v>
      </c>
      <c r="D182" s="715"/>
      <c r="E182" s="24">
        <f t="shared" si="34"/>
        <v>0.1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ht="13">
      <c r="A183" s="154"/>
      <c r="B183" s="56"/>
      <c r="C183" s="24">
        <f t="shared" si="33"/>
        <v>1</v>
      </c>
      <c r="D183" s="715"/>
      <c r="E183" s="24">
        <f t="shared" si="34"/>
        <v>0.1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ht="13">
      <c r="A184" s="154"/>
      <c r="B184" s="56"/>
      <c r="C184" s="24">
        <f t="shared" si="33"/>
        <v>1</v>
      </c>
      <c r="D184" s="715"/>
      <c r="E184" s="24">
        <f t="shared" si="34"/>
        <v>0.1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ht="13">
      <c r="A185" s="154"/>
      <c r="B185" s="56"/>
      <c r="C185" s="24">
        <f t="shared" si="33"/>
        <v>1</v>
      </c>
      <c r="D185" s="715"/>
      <c r="E185" s="24">
        <f t="shared" si="34"/>
        <v>0.1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ht="13">
      <c r="A186" s="154"/>
      <c r="B186" s="56"/>
      <c r="C186" s="24">
        <f t="shared" si="33"/>
        <v>1</v>
      </c>
      <c r="D186" s="715"/>
      <c r="E186" s="24">
        <f t="shared" si="34"/>
        <v>0.1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ht="13">
      <c r="A187" s="154"/>
      <c r="B187" s="56"/>
      <c r="C187" s="24">
        <f t="shared" si="33"/>
        <v>1</v>
      </c>
      <c r="D187" s="715"/>
      <c r="E187" s="24">
        <f t="shared" si="34"/>
        <v>0.1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ht="13">
      <c r="A188" s="154"/>
      <c r="B188" s="56"/>
      <c r="C188" s="24">
        <f t="shared" si="33"/>
        <v>1</v>
      </c>
      <c r="D188" s="715"/>
      <c r="E188" s="24">
        <f t="shared" si="34"/>
        <v>0.1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ht="13">
      <c r="A189" s="154"/>
      <c r="B189" s="56"/>
      <c r="C189" s="24">
        <f t="shared" si="33"/>
        <v>1</v>
      </c>
      <c r="D189" s="715"/>
      <c r="E189" s="24">
        <f t="shared" si="34"/>
        <v>0.1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ht="13">
      <c r="A190" s="154"/>
      <c r="B190" s="56"/>
      <c r="C190" s="24">
        <f t="shared" si="33"/>
        <v>1</v>
      </c>
      <c r="D190" s="715"/>
      <c r="E190" s="24">
        <f t="shared" si="34"/>
        <v>0.1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ht="13">
      <c r="A191" s="154"/>
      <c r="B191" s="56"/>
      <c r="C191" s="24">
        <f t="shared" si="33"/>
        <v>1</v>
      </c>
      <c r="D191" s="715"/>
      <c r="E191" s="24">
        <f t="shared" si="34"/>
        <v>0.1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ht="13">
      <c r="A192" s="154"/>
      <c r="B192" s="56"/>
      <c r="C192" s="24">
        <f t="shared" si="33"/>
        <v>1</v>
      </c>
      <c r="D192" s="715"/>
      <c r="E192" s="24">
        <f t="shared" si="34"/>
        <v>0.1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ht="13">
      <c r="A193" s="154"/>
      <c r="B193" s="56"/>
      <c r="C193" s="24">
        <f t="shared" si="33"/>
        <v>1</v>
      </c>
      <c r="D193" s="715"/>
      <c r="E193" s="24">
        <f t="shared" si="34"/>
        <v>0.1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ht="13">
      <c r="A194" s="154"/>
      <c r="B194" s="56"/>
      <c r="C194" s="24">
        <f t="shared" si="33"/>
        <v>1</v>
      </c>
      <c r="D194" s="715"/>
      <c r="E194" s="24">
        <f t="shared" si="34"/>
        <v>0.1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ht="13">
      <c r="A195" s="154"/>
      <c r="B195" s="56"/>
      <c r="C195" s="24">
        <f t="shared" si="33"/>
        <v>1</v>
      </c>
      <c r="D195" s="715"/>
      <c r="E195" s="24">
        <f t="shared" si="34"/>
        <v>0.1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ht="13">
      <c r="A196" s="154"/>
      <c r="B196" s="56"/>
      <c r="C196" s="24">
        <f t="shared" si="33"/>
        <v>1</v>
      </c>
      <c r="D196" s="715"/>
      <c r="E196" s="24">
        <f t="shared" si="34"/>
        <v>0.1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ht="13">
      <c r="A197" s="154"/>
      <c r="B197" s="56"/>
      <c r="C197" s="24">
        <f t="shared" si="33"/>
        <v>1</v>
      </c>
      <c r="D197" s="715"/>
      <c r="E197" s="24">
        <f t="shared" si="34"/>
        <v>0.1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ht="13">
      <c r="A198" s="154"/>
      <c r="B198" s="56"/>
      <c r="C198" s="24">
        <f t="shared" si="33"/>
        <v>1</v>
      </c>
      <c r="D198" s="715"/>
      <c r="E198" s="24">
        <f t="shared" si="34"/>
        <v>0.1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ht="13">
      <c r="A199" s="154"/>
      <c r="B199" s="56"/>
      <c r="C199" s="24">
        <f t="shared" si="33"/>
        <v>1</v>
      </c>
      <c r="D199" s="715"/>
      <c r="E199" s="24">
        <f t="shared" si="34"/>
        <v>0.1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ht="13">
      <c r="A200" s="154"/>
      <c r="B200" s="56"/>
      <c r="C200" s="24">
        <f t="shared" si="33"/>
        <v>1</v>
      </c>
      <c r="D200" s="715"/>
      <c r="E200" s="24">
        <f t="shared" si="34"/>
        <v>0.1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ht="13">
      <c r="A201" s="154"/>
      <c r="B201" s="56"/>
      <c r="C201" s="24">
        <f t="shared" si="33"/>
        <v>1</v>
      </c>
      <c r="D201" s="715"/>
      <c r="E201" s="24">
        <f t="shared" si="34"/>
        <v>0.1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ht="13">
      <c r="A202" s="154"/>
      <c r="B202" s="56"/>
      <c r="C202" s="24">
        <f t="shared" si="33"/>
        <v>1</v>
      </c>
      <c r="D202" s="715"/>
      <c r="E202" s="24">
        <f t="shared" si="34"/>
        <v>0.1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ht="13">
      <c r="A203" s="154"/>
      <c r="B203" s="56"/>
      <c r="C203" s="24">
        <f t="shared" si="33"/>
        <v>1</v>
      </c>
      <c r="D203" s="715"/>
      <c r="E203" s="24">
        <f t="shared" si="34"/>
        <v>0.1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ht="13">
      <c r="A204" s="154"/>
      <c r="B204" s="56"/>
      <c r="C204" s="24">
        <f t="shared" si="33"/>
        <v>1</v>
      </c>
      <c r="D204" s="715"/>
      <c r="E204" s="24">
        <f t="shared" si="34"/>
        <v>0.1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ht="13">
      <c r="A205" s="154"/>
      <c r="B205" s="56"/>
      <c r="C205" s="24">
        <f t="shared" si="33"/>
        <v>1</v>
      </c>
      <c r="D205" s="715"/>
      <c r="E205" s="24">
        <f t="shared" si="34"/>
        <v>0.1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ht="13">
      <c r="A206" s="154"/>
      <c r="B206" s="56"/>
      <c r="C206" s="24">
        <f t="shared" si="33"/>
        <v>1</v>
      </c>
      <c r="D206" s="715"/>
      <c r="E206" s="24">
        <f t="shared" si="34"/>
        <v>0.1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ht="13">
      <c r="A207" s="154"/>
      <c r="B207" s="56"/>
      <c r="C207" s="24">
        <f t="shared" si="33"/>
        <v>1</v>
      </c>
      <c r="D207" s="715"/>
      <c r="E207" s="24">
        <f t="shared" si="34"/>
        <v>0.1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ht="13">
      <c r="A208" s="154"/>
      <c r="B208" s="56"/>
      <c r="C208" s="24">
        <f t="shared" si="33"/>
        <v>1</v>
      </c>
      <c r="D208" s="715"/>
      <c r="E208" s="24">
        <f t="shared" si="34"/>
        <v>0.1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ht="13">
      <c r="A209" s="154"/>
      <c r="B209" s="56"/>
      <c r="C209" s="24">
        <f t="shared" si="33"/>
        <v>1</v>
      </c>
      <c r="D209" s="715"/>
      <c r="E209" s="24">
        <f t="shared" si="34"/>
        <v>0.1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ht="13">
      <c r="A210" s="154"/>
      <c r="B210" s="56"/>
      <c r="C210" s="24">
        <f t="shared" si="33"/>
        <v>1</v>
      </c>
      <c r="D210" s="715"/>
      <c r="E210" s="24">
        <f t="shared" si="34"/>
        <v>0.1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ht="13">
      <c r="A211" s="154"/>
      <c r="B211" s="56"/>
      <c r="C211" s="24">
        <f t="shared" si="33"/>
        <v>1</v>
      </c>
      <c r="D211" s="715"/>
      <c r="E211" s="24">
        <f t="shared" si="34"/>
        <v>0.1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ht="13">
      <c r="A212" s="154"/>
      <c r="B212" s="56"/>
      <c r="C212" s="24">
        <f t="shared" si="33"/>
        <v>1</v>
      </c>
      <c r="D212" s="715"/>
      <c r="E212" s="24">
        <f t="shared" si="34"/>
        <v>0.1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ht="13">
      <c r="A213" s="154"/>
      <c r="B213" s="56"/>
      <c r="C213" s="24">
        <f t="shared" si="33"/>
        <v>1</v>
      </c>
      <c r="D213" s="715"/>
      <c r="E213" s="24">
        <f t="shared" si="34"/>
        <v>0.1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ht="13">
      <c r="A214" s="154"/>
      <c r="B214" s="56"/>
      <c r="C214" s="24">
        <f t="shared" si="33"/>
        <v>1</v>
      </c>
      <c r="D214" s="715"/>
      <c r="E214" s="24">
        <f t="shared" si="34"/>
        <v>0.1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ht="13">
      <c r="A215" s="154"/>
      <c r="B215" s="56"/>
      <c r="C215" s="24">
        <f t="shared" si="33"/>
        <v>1</v>
      </c>
      <c r="D215" s="715"/>
      <c r="E215" s="24">
        <f t="shared" si="34"/>
        <v>0.1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ht="13">
      <c r="A216" s="154"/>
      <c r="B216" s="56"/>
      <c r="C216" s="24">
        <f t="shared" si="33"/>
        <v>1</v>
      </c>
      <c r="D216" s="715"/>
      <c r="E216" s="24">
        <f t="shared" si="34"/>
        <v>0.1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ht="13">
      <c r="A217" s="154"/>
      <c r="B217" s="56"/>
      <c r="C217" s="24">
        <f t="shared" si="33"/>
        <v>1</v>
      </c>
      <c r="D217" s="715"/>
      <c r="E217" s="24">
        <f t="shared" si="34"/>
        <v>0.1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ht="13">
      <c r="A218" s="154"/>
      <c r="B218" s="56"/>
      <c r="C218" s="24">
        <f t="shared" ref="C218:C281" si="43">IF(B218="",1,(LOOKUP(B218,$3:$3,$4:$4)-LOOKUP($B$24,$3:$3,$4:$4)+100)/100)</f>
        <v>1</v>
      </c>
      <c r="D218" s="715"/>
      <c r="E218" s="24">
        <f t="shared" ref="E218:E281" si="44">(SUMIF($5:$5,D218,$6:$6)-SUMIF($5:$5,$D$24,$6:$6)+100)/100</f>
        <v>0.1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ht="13">
      <c r="A219" s="154"/>
      <c r="B219" s="56"/>
      <c r="C219" s="24">
        <f t="shared" si="43"/>
        <v>1</v>
      </c>
      <c r="D219" s="715"/>
      <c r="E219" s="24">
        <f t="shared" si="44"/>
        <v>0.1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ht="13">
      <c r="A220" s="154"/>
      <c r="B220" s="56"/>
      <c r="C220" s="24">
        <f t="shared" si="43"/>
        <v>1</v>
      </c>
      <c r="D220" s="715"/>
      <c r="E220" s="24">
        <f t="shared" si="44"/>
        <v>0.1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ht="13">
      <c r="A221" s="154"/>
      <c r="B221" s="56"/>
      <c r="C221" s="24">
        <f t="shared" si="43"/>
        <v>1</v>
      </c>
      <c r="D221" s="715"/>
      <c r="E221" s="24">
        <f t="shared" si="44"/>
        <v>0.1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ht="13">
      <c r="A222" s="154"/>
      <c r="B222" s="56"/>
      <c r="C222" s="24">
        <f t="shared" si="43"/>
        <v>1</v>
      </c>
      <c r="D222" s="715"/>
      <c r="E222" s="24">
        <f t="shared" si="44"/>
        <v>0.1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ht="13">
      <c r="A223" s="154"/>
      <c r="B223" s="56"/>
      <c r="C223" s="24">
        <f t="shared" si="43"/>
        <v>1</v>
      </c>
      <c r="D223" s="715"/>
      <c r="E223" s="24">
        <f t="shared" si="44"/>
        <v>0.1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ht="13">
      <c r="A224" s="154"/>
      <c r="B224" s="56"/>
      <c r="C224" s="24">
        <f t="shared" si="43"/>
        <v>1</v>
      </c>
      <c r="D224" s="715"/>
      <c r="E224" s="24">
        <f t="shared" si="44"/>
        <v>0.1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ht="13">
      <c r="A225" s="154"/>
      <c r="B225" s="56"/>
      <c r="C225" s="24">
        <f t="shared" si="43"/>
        <v>1</v>
      </c>
      <c r="D225" s="715"/>
      <c r="E225" s="24">
        <f t="shared" si="44"/>
        <v>0.1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ht="13">
      <c r="A226" s="154"/>
      <c r="B226" s="56"/>
      <c r="C226" s="24">
        <f t="shared" si="43"/>
        <v>1</v>
      </c>
      <c r="D226" s="715"/>
      <c r="E226" s="24">
        <f t="shared" si="44"/>
        <v>0.1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ht="13">
      <c r="A227" s="154"/>
      <c r="B227" s="56"/>
      <c r="C227" s="24">
        <f t="shared" si="43"/>
        <v>1</v>
      </c>
      <c r="D227" s="715"/>
      <c r="E227" s="24">
        <f t="shared" si="44"/>
        <v>0.1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ht="13">
      <c r="A228" s="154"/>
      <c r="B228" s="56"/>
      <c r="C228" s="24">
        <f t="shared" si="43"/>
        <v>1</v>
      </c>
      <c r="D228" s="715"/>
      <c r="E228" s="24">
        <f t="shared" si="44"/>
        <v>0.1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ht="13">
      <c r="A229" s="154"/>
      <c r="B229" s="56"/>
      <c r="C229" s="24">
        <f t="shared" si="43"/>
        <v>1</v>
      </c>
      <c r="D229" s="715"/>
      <c r="E229" s="24">
        <f t="shared" si="44"/>
        <v>0.1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ht="13">
      <c r="A230" s="154"/>
      <c r="B230" s="56"/>
      <c r="C230" s="24">
        <f t="shared" si="43"/>
        <v>1</v>
      </c>
      <c r="D230" s="715"/>
      <c r="E230" s="24">
        <f t="shared" si="44"/>
        <v>0.1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ht="13">
      <c r="A231" s="154"/>
      <c r="B231" s="56"/>
      <c r="C231" s="24">
        <f t="shared" si="43"/>
        <v>1</v>
      </c>
      <c r="D231" s="715"/>
      <c r="E231" s="24">
        <f t="shared" si="44"/>
        <v>0.1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ht="13">
      <c r="A232" s="154"/>
      <c r="B232" s="56"/>
      <c r="C232" s="24">
        <f t="shared" si="43"/>
        <v>1</v>
      </c>
      <c r="D232" s="715"/>
      <c r="E232" s="24">
        <f t="shared" si="44"/>
        <v>0.1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ht="13">
      <c r="A233" s="154"/>
      <c r="B233" s="56"/>
      <c r="C233" s="24">
        <f t="shared" si="43"/>
        <v>1</v>
      </c>
      <c r="D233" s="715"/>
      <c r="E233" s="24">
        <f t="shared" si="44"/>
        <v>0.1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ht="13">
      <c r="A234" s="154"/>
      <c r="B234" s="56"/>
      <c r="C234" s="24">
        <f t="shared" si="43"/>
        <v>1</v>
      </c>
      <c r="D234" s="715"/>
      <c r="E234" s="24">
        <f t="shared" si="44"/>
        <v>0.1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ht="13">
      <c r="A235" s="154"/>
      <c r="B235" s="56"/>
      <c r="C235" s="24">
        <f t="shared" si="43"/>
        <v>1</v>
      </c>
      <c r="D235" s="715"/>
      <c r="E235" s="24">
        <f t="shared" si="44"/>
        <v>0.1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ht="13">
      <c r="A236" s="154"/>
      <c r="B236" s="56"/>
      <c r="C236" s="24">
        <f t="shared" si="43"/>
        <v>1</v>
      </c>
      <c r="D236" s="715"/>
      <c r="E236" s="24">
        <f t="shared" si="44"/>
        <v>0.1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ht="13">
      <c r="A237" s="154"/>
      <c r="B237" s="56"/>
      <c r="C237" s="24">
        <f t="shared" si="43"/>
        <v>1</v>
      </c>
      <c r="D237" s="715"/>
      <c r="E237" s="24">
        <f t="shared" si="44"/>
        <v>0.1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ht="13">
      <c r="A238" s="154"/>
      <c r="B238" s="56"/>
      <c r="C238" s="24">
        <f t="shared" si="43"/>
        <v>1</v>
      </c>
      <c r="D238" s="715"/>
      <c r="E238" s="24">
        <f t="shared" si="44"/>
        <v>0.1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ht="13">
      <c r="A239" s="154"/>
      <c r="B239" s="56"/>
      <c r="C239" s="24">
        <f t="shared" si="43"/>
        <v>1</v>
      </c>
      <c r="D239" s="715"/>
      <c r="E239" s="24">
        <f t="shared" si="44"/>
        <v>0.1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ht="13">
      <c r="A240" s="154"/>
      <c r="B240" s="56"/>
      <c r="C240" s="24">
        <f t="shared" si="43"/>
        <v>1</v>
      </c>
      <c r="D240" s="715"/>
      <c r="E240" s="24">
        <f t="shared" si="44"/>
        <v>0.1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ht="13">
      <c r="A241" s="154"/>
      <c r="B241" s="56"/>
      <c r="C241" s="24">
        <f t="shared" si="43"/>
        <v>1</v>
      </c>
      <c r="D241" s="715"/>
      <c r="E241" s="24">
        <f t="shared" si="44"/>
        <v>0.1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ht="13">
      <c r="A242" s="154"/>
      <c r="B242" s="56"/>
      <c r="C242" s="24">
        <f t="shared" si="43"/>
        <v>1</v>
      </c>
      <c r="D242" s="715"/>
      <c r="E242" s="24">
        <f t="shared" si="44"/>
        <v>0.1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ht="13">
      <c r="A243" s="154"/>
      <c r="B243" s="56"/>
      <c r="C243" s="24">
        <f t="shared" si="43"/>
        <v>1</v>
      </c>
      <c r="D243" s="715"/>
      <c r="E243" s="24">
        <f t="shared" si="44"/>
        <v>0.1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ht="13">
      <c r="A244" s="154"/>
      <c r="B244" s="56"/>
      <c r="C244" s="24">
        <f t="shared" si="43"/>
        <v>1</v>
      </c>
      <c r="D244" s="715"/>
      <c r="E244" s="24">
        <f t="shared" si="44"/>
        <v>0.1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ht="13">
      <c r="A245" s="154"/>
      <c r="B245" s="56"/>
      <c r="C245" s="24">
        <f t="shared" si="43"/>
        <v>1</v>
      </c>
      <c r="D245" s="715"/>
      <c r="E245" s="24">
        <f t="shared" si="44"/>
        <v>0.1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ht="13">
      <c r="A246" s="154"/>
      <c r="B246" s="56"/>
      <c r="C246" s="24">
        <f t="shared" si="43"/>
        <v>1</v>
      </c>
      <c r="D246" s="715"/>
      <c r="E246" s="24">
        <f t="shared" si="44"/>
        <v>0.1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ht="13">
      <c r="A247" s="154"/>
      <c r="B247" s="56"/>
      <c r="C247" s="24">
        <f t="shared" si="43"/>
        <v>1</v>
      </c>
      <c r="D247" s="715"/>
      <c r="E247" s="24">
        <f t="shared" si="44"/>
        <v>0.1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ht="13">
      <c r="A248" s="154"/>
      <c r="B248" s="56"/>
      <c r="C248" s="24">
        <f t="shared" si="43"/>
        <v>1</v>
      </c>
      <c r="D248" s="715"/>
      <c r="E248" s="24">
        <f t="shared" si="44"/>
        <v>0.1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ht="13">
      <c r="A249" s="154"/>
      <c r="B249" s="56"/>
      <c r="C249" s="24">
        <f t="shared" si="43"/>
        <v>1</v>
      </c>
      <c r="D249" s="715"/>
      <c r="E249" s="24">
        <f t="shared" si="44"/>
        <v>0.1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ht="13">
      <c r="A250" s="154"/>
      <c r="B250" s="56"/>
      <c r="C250" s="24">
        <f t="shared" si="43"/>
        <v>1</v>
      </c>
      <c r="D250" s="715"/>
      <c r="E250" s="24">
        <f t="shared" si="44"/>
        <v>0.1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ht="13">
      <c r="A251" s="154"/>
      <c r="B251" s="56"/>
      <c r="C251" s="24">
        <f t="shared" si="43"/>
        <v>1</v>
      </c>
      <c r="D251" s="715"/>
      <c r="E251" s="24">
        <f t="shared" si="44"/>
        <v>0.1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ht="13">
      <c r="A252" s="154"/>
      <c r="B252" s="56"/>
      <c r="C252" s="24">
        <f t="shared" si="43"/>
        <v>1</v>
      </c>
      <c r="D252" s="715"/>
      <c r="E252" s="24">
        <f t="shared" si="44"/>
        <v>0.1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ht="13">
      <c r="A253" s="154"/>
      <c r="B253" s="56"/>
      <c r="C253" s="24">
        <f t="shared" si="43"/>
        <v>1</v>
      </c>
      <c r="D253" s="715"/>
      <c r="E253" s="24">
        <f t="shared" si="44"/>
        <v>0.1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ht="13">
      <c r="A254" s="154"/>
      <c r="B254" s="56"/>
      <c r="C254" s="24">
        <f t="shared" si="43"/>
        <v>1</v>
      </c>
      <c r="D254" s="715"/>
      <c r="E254" s="24">
        <f t="shared" si="44"/>
        <v>0.1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ht="13">
      <c r="A255" s="154"/>
      <c r="B255" s="56"/>
      <c r="C255" s="24">
        <f t="shared" si="43"/>
        <v>1</v>
      </c>
      <c r="D255" s="715"/>
      <c r="E255" s="24">
        <f t="shared" si="44"/>
        <v>0.1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ht="13">
      <c r="A256" s="154"/>
      <c r="B256" s="56"/>
      <c r="C256" s="24">
        <f t="shared" si="43"/>
        <v>1</v>
      </c>
      <c r="D256" s="715"/>
      <c r="E256" s="24">
        <f t="shared" si="44"/>
        <v>0.1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ht="13">
      <c r="A257" s="154"/>
      <c r="B257" s="56"/>
      <c r="C257" s="24">
        <f t="shared" si="43"/>
        <v>1</v>
      </c>
      <c r="D257" s="715"/>
      <c r="E257" s="24">
        <f t="shared" si="44"/>
        <v>0.1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ht="13">
      <c r="A258" s="154"/>
      <c r="B258" s="56"/>
      <c r="C258" s="24">
        <f t="shared" si="43"/>
        <v>1</v>
      </c>
      <c r="D258" s="715"/>
      <c r="E258" s="24">
        <f t="shared" si="44"/>
        <v>0.1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ht="13">
      <c r="A259" s="154"/>
      <c r="B259" s="56"/>
      <c r="C259" s="24">
        <f t="shared" si="43"/>
        <v>1</v>
      </c>
      <c r="D259" s="715"/>
      <c r="E259" s="24">
        <f t="shared" si="44"/>
        <v>0.1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ht="13">
      <c r="A260" s="154"/>
      <c r="B260" s="56"/>
      <c r="C260" s="24">
        <f t="shared" si="43"/>
        <v>1</v>
      </c>
      <c r="D260" s="715"/>
      <c r="E260" s="24">
        <f t="shared" si="44"/>
        <v>0.1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ht="13">
      <c r="A261" s="154"/>
      <c r="B261" s="56"/>
      <c r="C261" s="24">
        <f t="shared" si="43"/>
        <v>1</v>
      </c>
      <c r="D261" s="715"/>
      <c r="E261" s="24">
        <f t="shared" si="44"/>
        <v>0.1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ht="13">
      <c r="A262" s="154"/>
      <c r="B262" s="56"/>
      <c r="C262" s="24">
        <f t="shared" si="43"/>
        <v>1</v>
      </c>
      <c r="D262" s="715"/>
      <c r="E262" s="24">
        <f t="shared" si="44"/>
        <v>0.1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ht="13">
      <c r="A263" s="154"/>
      <c r="B263" s="56"/>
      <c r="C263" s="24">
        <f t="shared" si="43"/>
        <v>1</v>
      </c>
      <c r="D263" s="715"/>
      <c r="E263" s="24">
        <f t="shared" si="44"/>
        <v>0.1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ht="13">
      <c r="A264" s="154"/>
      <c r="B264" s="56"/>
      <c r="C264" s="24">
        <f t="shared" si="43"/>
        <v>1</v>
      </c>
      <c r="D264" s="715"/>
      <c r="E264" s="24">
        <f t="shared" si="44"/>
        <v>0.1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ht="13">
      <c r="A265" s="154"/>
      <c r="B265" s="56"/>
      <c r="C265" s="24">
        <f t="shared" si="43"/>
        <v>1</v>
      </c>
      <c r="D265" s="715"/>
      <c r="E265" s="24">
        <f t="shared" si="44"/>
        <v>0.1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ht="13">
      <c r="A266" s="154"/>
      <c r="B266" s="56"/>
      <c r="C266" s="24">
        <f t="shared" si="43"/>
        <v>1</v>
      </c>
      <c r="D266" s="715"/>
      <c r="E266" s="24">
        <f t="shared" si="44"/>
        <v>0.1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ht="13">
      <c r="A267" s="154"/>
      <c r="B267" s="56"/>
      <c r="C267" s="24">
        <f t="shared" si="43"/>
        <v>1</v>
      </c>
      <c r="D267" s="715"/>
      <c r="E267" s="24">
        <f t="shared" si="44"/>
        <v>0.1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ht="13">
      <c r="A268" s="154"/>
      <c r="B268" s="56"/>
      <c r="C268" s="24">
        <f t="shared" si="43"/>
        <v>1</v>
      </c>
      <c r="D268" s="715"/>
      <c r="E268" s="24">
        <f t="shared" si="44"/>
        <v>0.1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ht="13">
      <c r="A269" s="154"/>
      <c r="B269" s="56"/>
      <c r="C269" s="24">
        <f t="shared" si="43"/>
        <v>1</v>
      </c>
      <c r="D269" s="715"/>
      <c r="E269" s="24">
        <f t="shared" si="44"/>
        <v>0.1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ht="13">
      <c r="A270" s="154"/>
      <c r="B270" s="56"/>
      <c r="C270" s="24">
        <f t="shared" si="43"/>
        <v>1</v>
      </c>
      <c r="D270" s="715"/>
      <c r="E270" s="24">
        <f t="shared" si="44"/>
        <v>0.1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ht="13">
      <c r="A271" s="154"/>
      <c r="B271" s="56"/>
      <c r="C271" s="24">
        <f t="shared" si="43"/>
        <v>1</v>
      </c>
      <c r="D271" s="715"/>
      <c r="E271" s="24">
        <f t="shared" si="44"/>
        <v>0.1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ht="13">
      <c r="A272" s="154"/>
      <c r="B272" s="56"/>
      <c r="C272" s="24">
        <f t="shared" si="43"/>
        <v>1</v>
      </c>
      <c r="D272" s="715"/>
      <c r="E272" s="24">
        <f t="shared" si="44"/>
        <v>0.1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ht="13">
      <c r="A273" s="154"/>
      <c r="B273" s="56"/>
      <c r="C273" s="24">
        <f t="shared" si="43"/>
        <v>1</v>
      </c>
      <c r="D273" s="715"/>
      <c r="E273" s="24">
        <f t="shared" si="44"/>
        <v>0.1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ht="13">
      <c r="A274" s="154"/>
      <c r="B274" s="56"/>
      <c r="C274" s="24">
        <f t="shared" si="43"/>
        <v>1</v>
      </c>
      <c r="D274" s="715"/>
      <c r="E274" s="24">
        <f t="shared" si="44"/>
        <v>0.1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ht="13">
      <c r="A275" s="154"/>
      <c r="B275" s="56"/>
      <c r="C275" s="24">
        <f t="shared" si="43"/>
        <v>1</v>
      </c>
      <c r="D275" s="715"/>
      <c r="E275" s="24">
        <f t="shared" si="44"/>
        <v>0.1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ht="13">
      <c r="A276" s="154"/>
      <c r="B276" s="56"/>
      <c r="C276" s="24">
        <f t="shared" si="43"/>
        <v>1</v>
      </c>
      <c r="D276" s="715"/>
      <c r="E276" s="24">
        <f t="shared" si="44"/>
        <v>0.1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ht="13">
      <c r="A277" s="154"/>
      <c r="B277" s="56"/>
      <c r="C277" s="24">
        <f t="shared" si="43"/>
        <v>1</v>
      </c>
      <c r="D277" s="715"/>
      <c r="E277" s="24">
        <f t="shared" si="44"/>
        <v>0.1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ht="13">
      <c r="A278" s="154"/>
      <c r="B278" s="56"/>
      <c r="C278" s="24">
        <f t="shared" si="43"/>
        <v>1</v>
      </c>
      <c r="D278" s="715"/>
      <c r="E278" s="24">
        <f t="shared" si="44"/>
        <v>0.1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ht="13">
      <c r="A279" s="154"/>
      <c r="B279" s="56"/>
      <c r="C279" s="24">
        <f t="shared" si="43"/>
        <v>1</v>
      </c>
      <c r="D279" s="715"/>
      <c r="E279" s="24">
        <f t="shared" si="44"/>
        <v>0.1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ht="13">
      <c r="A280" s="154"/>
      <c r="B280" s="56"/>
      <c r="C280" s="24">
        <f t="shared" si="43"/>
        <v>1</v>
      </c>
      <c r="D280" s="715"/>
      <c r="E280" s="24">
        <f t="shared" si="44"/>
        <v>0.1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ht="13">
      <c r="A281" s="154"/>
      <c r="B281" s="56"/>
      <c r="C281" s="24">
        <f t="shared" si="43"/>
        <v>1</v>
      </c>
      <c r="D281" s="715"/>
      <c r="E281" s="24">
        <f t="shared" si="44"/>
        <v>0.1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ht="13">
      <c r="A282" s="154"/>
      <c r="B282" s="56"/>
      <c r="C282" s="24">
        <f t="shared" ref="C282:C345" si="53">IF(B282="",1,(LOOKUP(B282,$3:$3,$4:$4)-LOOKUP($B$24,$3:$3,$4:$4)+100)/100)</f>
        <v>1</v>
      </c>
      <c r="D282" s="715"/>
      <c r="E282" s="24">
        <f t="shared" ref="E282:E345" si="54">(SUMIF($5:$5,D282,$6:$6)-SUMIF($5:$5,$D$24,$6:$6)+100)/100</f>
        <v>0.1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ht="13">
      <c r="A283" s="154"/>
      <c r="B283" s="56"/>
      <c r="C283" s="24">
        <f t="shared" si="53"/>
        <v>1</v>
      </c>
      <c r="D283" s="715"/>
      <c r="E283" s="24">
        <f t="shared" si="54"/>
        <v>0.1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ht="13">
      <c r="A284" s="154"/>
      <c r="B284" s="56"/>
      <c r="C284" s="24">
        <f t="shared" si="53"/>
        <v>1</v>
      </c>
      <c r="D284" s="715"/>
      <c r="E284" s="24">
        <f t="shared" si="54"/>
        <v>0.1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ht="13">
      <c r="A285" s="154"/>
      <c r="B285" s="56"/>
      <c r="C285" s="24">
        <f t="shared" si="53"/>
        <v>1</v>
      </c>
      <c r="D285" s="715"/>
      <c r="E285" s="24">
        <f t="shared" si="54"/>
        <v>0.1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ht="13">
      <c r="A286" s="154"/>
      <c r="B286" s="56"/>
      <c r="C286" s="24">
        <f t="shared" si="53"/>
        <v>1</v>
      </c>
      <c r="D286" s="715"/>
      <c r="E286" s="24">
        <f t="shared" si="54"/>
        <v>0.1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ht="13">
      <c r="A287" s="154"/>
      <c r="B287" s="56"/>
      <c r="C287" s="24">
        <f t="shared" si="53"/>
        <v>1</v>
      </c>
      <c r="D287" s="715"/>
      <c r="E287" s="24">
        <f t="shared" si="54"/>
        <v>0.1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ht="13">
      <c r="A288" s="154"/>
      <c r="B288" s="56"/>
      <c r="C288" s="24">
        <f t="shared" si="53"/>
        <v>1</v>
      </c>
      <c r="D288" s="715"/>
      <c r="E288" s="24">
        <f t="shared" si="54"/>
        <v>0.1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ht="13">
      <c r="A289" s="154"/>
      <c r="B289" s="56"/>
      <c r="C289" s="24">
        <f t="shared" si="53"/>
        <v>1</v>
      </c>
      <c r="D289" s="715"/>
      <c r="E289" s="24">
        <f t="shared" si="54"/>
        <v>0.1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ht="13">
      <c r="A290" s="154"/>
      <c r="B290" s="56"/>
      <c r="C290" s="24">
        <f t="shared" si="53"/>
        <v>1</v>
      </c>
      <c r="D290" s="715"/>
      <c r="E290" s="24">
        <f t="shared" si="54"/>
        <v>0.1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ht="13">
      <c r="A291" s="154"/>
      <c r="B291" s="56"/>
      <c r="C291" s="24">
        <f t="shared" si="53"/>
        <v>1</v>
      </c>
      <c r="D291" s="715"/>
      <c r="E291" s="24">
        <f t="shared" si="54"/>
        <v>0.1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ht="13">
      <c r="A292" s="154"/>
      <c r="B292" s="56"/>
      <c r="C292" s="24">
        <f t="shared" si="53"/>
        <v>1</v>
      </c>
      <c r="D292" s="715"/>
      <c r="E292" s="24">
        <f t="shared" si="54"/>
        <v>0.1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ht="13">
      <c r="A293" s="154"/>
      <c r="B293" s="56"/>
      <c r="C293" s="24">
        <f t="shared" si="53"/>
        <v>1</v>
      </c>
      <c r="D293" s="715"/>
      <c r="E293" s="24">
        <f t="shared" si="54"/>
        <v>0.1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ht="13">
      <c r="A294" s="154"/>
      <c r="B294" s="56"/>
      <c r="C294" s="24">
        <f t="shared" si="53"/>
        <v>1</v>
      </c>
      <c r="D294" s="715"/>
      <c r="E294" s="24">
        <f t="shared" si="54"/>
        <v>0.1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ht="13">
      <c r="A295" s="154"/>
      <c r="B295" s="56"/>
      <c r="C295" s="24">
        <f t="shared" si="53"/>
        <v>1</v>
      </c>
      <c r="D295" s="715"/>
      <c r="E295" s="24">
        <f t="shared" si="54"/>
        <v>0.1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ht="13">
      <c r="A296" s="154"/>
      <c r="B296" s="56"/>
      <c r="C296" s="24">
        <f t="shared" si="53"/>
        <v>1</v>
      </c>
      <c r="D296" s="715"/>
      <c r="E296" s="24">
        <f t="shared" si="54"/>
        <v>0.1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ht="13">
      <c r="A297" s="154"/>
      <c r="B297" s="56"/>
      <c r="C297" s="24">
        <f t="shared" si="53"/>
        <v>1</v>
      </c>
      <c r="D297" s="715"/>
      <c r="E297" s="24">
        <f t="shared" si="54"/>
        <v>0.1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ht="13">
      <c r="A298" s="154"/>
      <c r="B298" s="56"/>
      <c r="C298" s="24">
        <f t="shared" si="53"/>
        <v>1</v>
      </c>
      <c r="D298" s="715"/>
      <c r="E298" s="24">
        <f t="shared" si="54"/>
        <v>0.1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ht="13">
      <c r="A299" s="154"/>
      <c r="B299" s="56"/>
      <c r="C299" s="24">
        <f t="shared" si="53"/>
        <v>1</v>
      </c>
      <c r="D299" s="715"/>
      <c r="E299" s="24">
        <f t="shared" si="54"/>
        <v>0.1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ht="13">
      <c r="A300" s="154"/>
      <c r="B300" s="56"/>
      <c r="C300" s="24">
        <f t="shared" si="53"/>
        <v>1</v>
      </c>
      <c r="D300" s="715"/>
      <c r="E300" s="24">
        <f t="shared" si="54"/>
        <v>0.1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ht="13">
      <c r="A301" s="154"/>
      <c r="B301" s="56"/>
      <c r="C301" s="24">
        <f t="shared" si="53"/>
        <v>1</v>
      </c>
      <c r="D301" s="715"/>
      <c r="E301" s="24">
        <f t="shared" si="54"/>
        <v>0.1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ht="13">
      <c r="A302" s="154"/>
      <c r="B302" s="56"/>
      <c r="C302" s="24">
        <f t="shared" si="53"/>
        <v>1</v>
      </c>
      <c r="D302" s="715"/>
      <c r="E302" s="24">
        <f t="shared" si="54"/>
        <v>0.1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ht="13">
      <c r="A303" s="154"/>
      <c r="B303" s="56"/>
      <c r="C303" s="24">
        <f t="shared" si="53"/>
        <v>1</v>
      </c>
      <c r="D303" s="715"/>
      <c r="E303" s="24">
        <f t="shared" si="54"/>
        <v>0.1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ht="13">
      <c r="A304" s="154"/>
      <c r="B304" s="56"/>
      <c r="C304" s="24">
        <f t="shared" si="53"/>
        <v>1</v>
      </c>
      <c r="D304" s="715"/>
      <c r="E304" s="24">
        <f t="shared" si="54"/>
        <v>0.1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ht="13">
      <c r="A305" s="154"/>
      <c r="B305" s="56"/>
      <c r="C305" s="24">
        <f t="shared" si="53"/>
        <v>1</v>
      </c>
      <c r="D305" s="715"/>
      <c r="E305" s="24">
        <f t="shared" si="54"/>
        <v>0.1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ht="13">
      <c r="A306" s="154"/>
      <c r="B306" s="56"/>
      <c r="C306" s="24">
        <f t="shared" si="53"/>
        <v>1</v>
      </c>
      <c r="D306" s="715"/>
      <c r="E306" s="24">
        <f t="shared" si="54"/>
        <v>0.1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ht="13">
      <c r="A307" s="154"/>
      <c r="B307" s="56"/>
      <c r="C307" s="24">
        <f t="shared" si="53"/>
        <v>1</v>
      </c>
      <c r="D307" s="715"/>
      <c r="E307" s="24">
        <f t="shared" si="54"/>
        <v>0.1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ht="13">
      <c r="A308" s="154"/>
      <c r="B308" s="56"/>
      <c r="C308" s="24">
        <f t="shared" si="53"/>
        <v>1</v>
      </c>
      <c r="D308" s="715"/>
      <c r="E308" s="24">
        <f t="shared" si="54"/>
        <v>0.1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ht="13">
      <c r="A309" s="154"/>
      <c r="B309" s="56"/>
      <c r="C309" s="24">
        <f t="shared" si="53"/>
        <v>1</v>
      </c>
      <c r="D309" s="715"/>
      <c r="E309" s="24">
        <f t="shared" si="54"/>
        <v>0.1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ht="13">
      <c r="A310" s="154"/>
      <c r="B310" s="56"/>
      <c r="C310" s="24">
        <f t="shared" si="53"/>
        <v>1</v>
      </c>
      <c r="D310" s="715"/>
      <c r="E310" s="24">
        <f t="shared" si="54"/>
        <v>0.1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ht="13">
      <c r="A311" s="154"/>
      <c r="B311" s="56"/>
      <c r="C311" s="24">
        <f t="shared" si="53"/>
        <v>1</v>
      </c>
      <c r="D311" s="715"/>
      <c r="E311" s="24">
        <f t="shared" si="54"/>
        <v>0.1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ht="13">
      <c r="A312" s="154"/>
      <c r="B312" s="56"/>
      <c r="C312" s="24">
        <f t="shared" si="53"/>
        <v>1</v>
      </c>
      <c r="D312" s="715"/>
      <c r="E312" s="24">
        <f t="shared" si="54"/>
        <v>0.1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ht="13">
      <c r="A313" s="154"/>
      <c r="B313" s="56"/>
      <c r="C313" s="24">
        <f t="shared" si="53"/>
        <v>1</v>
      </c>
      <c r="D313" s="715"/>
      <c r="E313" s="24">
        <f t="shared" si="54"/>
        <v>0.1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ht="13">
      <c r="A314" s="154"/>
      <c r="B314" s="56"/>
      <c r="C314" s="24">
        <f t="shared" si="53"/>
        <v>1</v>
      </c>
      <c r="D314" s="715"/>
      <c r="E314" s="24">
        <f t="shared" si="54"/>
        <v>0.1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ht="13">
      <c r="A315" s="154"/>
      <c r="B315" s="56"/>
      <c r="C315" s="24">
        <f t="shared" si="53"/>
        <v>1</v>
      </c>
      <c r="D315" s="715"/>
      <c r="E315" s="24">
        <f t="shared" si="54"/>
        <v>0.1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ht="13">
      <c r="A316" s="154"/>
      <c r="B316" s="56"/>
      <c r="C316" s="24">
        <f t="shared" si="53"/>
        <v>1</v>
      </c>
      <c r="D316" s="715"/>
      <c r="E316" s="24">
        <f t="shared" si="54"/>
        <v>0.1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ht="13">
      <c r="A317" s="154"/>
      <c r="B317" s="56"/>
      <c r="C317" s="24">
        <f t="shared" si="53"/>
        <v>1</v>
      </c>
      <c r="D317" s="715"/>
      <c r="E317" s="24">
        <f t="shared" si="54"/>
        <v>0.1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ht="13">
      <c r="A318" s="154"/>
      <c r="B318" s="56"/>
      <c r="C318" s="24">
        <f t="shared" si="53"/>
        <v>1</v>
      </c>
      <c r="D318" s="715"/>
      <c r="E318" s="24">
        <f t="shared" si="54"/>
        <v>0.1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ht="13">
      <c r="A319" s="154"/>
      <c r="B319" s="56"/>
      <c r="C319" s="24">
        <f t="shared" si="53"/>
        <v>1</v>
      </c>
      <c r="D319" s="715"/>
      <c r="E319" s="24">
        <f t="shared" si="54"/>
        <v>0.1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ht="13">
      <c r="A320" s="154"/>
      <c r="B320" s="56"/>
      <c r="C320" s="24">
        <f t="shared" si="53"/>
        <v>1</v>
      </c>
      <c r="D320" s="715"/>
      <c r="E320" s="24">
        <f t="shared" si="54"/>
        <v>0.1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ht="13">
      <c r="A321" s="154"/>
      <c r="B321" s="56"/>
      <c r="C321" s="24">
        <f t="shared" si="53"/>
        <v>1</v>
      </c>
      <c r="D321" s="715"/>
      <c r="E321" s="24">
        <f t="shared" si="54"/>
        <v>0.1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ht="13">
      <c r="A322" s="154"/>
      <c r="B322" s="56"/>
      <c r="C322" s="24">
        <f t="shared" si="53"/>
        <v>1</v>
      </c>
      <c r="D322" s="715"/>
      <c r="E322" s="24">
        <f t="shared" si="54"/>
        <v>0.1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ht="13">
      <c r="A323" s="154"/>
      <c r="B323" s="56"/>
      <c r="C323" s="24">
        <f t="shared" si="53"/>
        <v>1</v>
      </c>
      <c r="D323" s="715"/>
      <c r="E323" s="24">
        <f t="shared" si="54"/>
        <v>0.1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ht="13">
      <c r="A324" s="154"/>
      <c r="B324" s="56"/>
      <c r="C324" s="24">
        <f t="shared" si="53"/>
        <v>1</v>
      </c>
      <c r="D324" s="715"/>
      <c r="E324" s="24">
        <f t="shared" si="54"/>
        <v>0.1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ht="13">
      <c r="A325" s="154"/>
      <c r="B325" s="56"/>
      <c r="C325" s="24">
        <f t="shared" si="53"/>
        <v>1</v>
      </c>
      <c r="D325" s="715"/>
      <c r="E325" s="24">
        <f t="shared" si="54"/>
        <v>0.1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ht="13">
      <c r="A326" s="154"/>
      <c r="B326" s="56"/>
      <c r="C326" s="24">
        <f t="shared" si="53"/>
        <v>1</v>
      </c>
      <c r="D326" s="715"/>
      <c r="E326" s="24">
        <f t="shared" si="54"/>
        <v>0.1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ht="13">
      <c r="A327" s="154"/>
      <c r="B327" s="56"/>
      <c r="C327" s="24">
        <f t="shared" si="53"/>
        <v>1</v>
      </c>
      <c r="D327" s="715"/>
      <c r="E327" s="24">
        <f t="shared" si="54"/>
        <v>0.1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ht="13">
      <c r="A328" s="154"/>
      <c r="B328" s="56"/>
      <c r="C328" s="24">
        <f t="shared" si="53"/>
        <v>1</v>
      </c>
      <c r="D328" s="715"/>
      <c r="E328" s="24">
        <f t="shared" si="54"/>
        <v>0.1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ht="13">
      <c r="A329" s="154"/>
      <c r="B329" s="56"/>
      <c r="C329" s="24">
        <f t="shared" si="53"/>
        <v>1</v>
      </c>
      <c r="D329" s="715"/>
      <c r="E329" s="24">
        <f t="shared" si="54"/>
        <v>0.1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ht="13">
      <c r="A330" s="154"/>
      <c r="B330" s="56"/>
      <c r="C330" s="24">
        <f t="shared" si="53"/>
        <v>1</v>
      </c>
      <c r="D330" s="715"/>
      <c r="E330" s="24">
        <f t="shared" si="54"/>
        <v>0.1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ht="13">
      <c r="A331" s="154"/>
      <c r="B331" s="56"/>
      <c r="C331" s="24">
        <f t="shared" si="53"/>
        <v>1</v>
      </c>
      <c r="D331" s="715"/>
      <c r="E331" s="24">
        <f t="shared" si="54"/>
        <v>0.1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ht="13">
      <c r="A332" s="154"/>
      <c r="B332" s="56"/>
      <c r="C332" s="24">
        <f t="shared" si="53"/>
        <v>1</v>
      </c>
      <c r="D332" s="715"/>
      <c r="E332" s="24">
        <f t="shared" si="54"/>
        <v>0.1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ht="13">
      <c r="A333" s="154"/>
      <c r="B333" s="56"/>
      <c r="C333" s="24">
        <f t="shared" si="53"/>
        <v>1</v>
      </c>
      <c r="D333" s="715"/>
      <c r="E333" s="24">
        <f t="shared" si="54"/>
        <v>0.1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ht="13">
      <c r="A334" s="154"/>
      <c r="B334" s="56"/>
      <c r="C334" s="24">
        <f t="shared" si="53"/>
        <v>1</v>
      </c>
      <c r="D334" s="715"/>
      <c r="E334" s="24">
        <f t="shared" si="54"/>
        <v>0.1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ht="13">
      <c r="A335" s="154"/>
      <c r="B335" s="56"/>
      <c r="C335" s="24">
        <f t="shared" si="53"/>
        <v>1</v>
      </c>
      <c r="D335" s="715"/>
      <c r="E335" s="24">
        <f t="shared" si="54"/>
        <v>0.1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ht="13">
      <c r="A336" s="154"/>
      <c r="B336" s="56"/>
      <c r="C336" s="24">
        <f t="shared" si="53"/>
        <v>1</v>
      </c>
      <c r="D336" s="715"/>
      <c r="E336" s="24">
        <f t="shared" si="54"/>
        <v>0.1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ht="13">
      <c r="A337" s="154"/>
      <c r="B337" s="56"/>
      <c r="C337" s="24">
        <f t="shared" si="53"/>
        <v>1</v>
      </c>
      <c r="D337" s="715"/>
      <c r="E337" s="24">
        <f t="shared" si="54"/>
        <v>0.1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ht="13">
      <c r="A338" s="154"/>
      <c r="B338" s="56"/>
      <c r="C338" s="24">
        <f t="shared" si="53"/>
        <v>1</v>
      </c>
      <c r="D338" s="715"/>
      <c r="E338" s="24">
        <f t="shared" si="54"/>
        <v>0.1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ht="13">
      <c r="A339" s="154"/>
      <c r="B339" s="56"/>
      <c r="C339" s="24">
        <f t="shared" si="53"/>
        <v>1</v>
      </c>
      <c r="D339" s="715"/>
      <c r="E339" s="24">
        <f t="shared" si="54"/>
        <v>0.1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ht="13">
      <c r="A340" s="154"/>
      <c r="B340" s="56"/>
      <c r="C340" s="24">
        <f t="shared" si="53"/>
        <v>1</v>
      </c>
      <c r="D340" s="715"/>
      <c r="E340" s="24">
        <f t="shared" si="54"/>
        <v>0.1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ht="13">
      <c r="A341" s="154"/>
      <c r="B341" s="56"/>
      <c r="C341" s="24">
        <f t="shared" si="53"/>
        <v>1</v>
      </c>
      <c r="D341" s="715"/>
      <c r="E341" s="24">
        <f t="shared" si="54"/>
        <v>0.1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ht="13">
      <c r="A342" s="154"/>
      <c r="B342" s="56"/>
      <c r="C342" s="24">
        <f t="shared" si="53"/>
        <v>1</v>
      </c>
      <c r="D342" s="715"/>
      <c r="E342" s="24">
        <f t="shared" si="54"/>
        <v>0.1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ht="13">
      <c r="A343" s="154"/>
      <c r="B343" s="56"/>
      <c r="C343" s="24">
        <f t="shared" si="53"/>
        <v>1</v>
      </c>
      <c r="D343" s="715"/>
      <c r="E343" s="24">
        <f t="shared" si="54"/>
        <v>0.1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ht="13">
      <c r="A344" s="154"/>
      <c r="B344" s="56"/>
      <c r="C344" s="24">
        <f t="shared" si="53"/>
        <v>1</v>
      </c>
      <c r="D344" s="715"/>
      <c r="E344" s="24">
        <f t="shared" si="54"/>
        <v>0.1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ht="13">
      <c r="A345" s="154"/>
      <c r="B345" s="56"/>
      <c r="C345" s="24">
        <f t="shared" si="53"/>
        <v>1</v>
      </c>
      <c r="D345" s="715"/>
      <c r="E345" s="24">
        <f t="shared" si="54"/>
        <v>0.1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ht="13">
      <c r="A346" s="154"/>
      <c r="B346" s="56"/>
      <c r="C346" s="24">
        <f t="shared" ref="C346:C409" si="64">IF(B346="",1,(LOOKUP(B346,$3:$3,$4:$4)-LOOKUP($B$24,$3:$3,$4:$4)+100)/100)</f>
        <v>1</v>
      </c>
      <c r="D346" s="715"/>
      <c r="E346" s="24">
        <f t="shared" ref="E346:E409" si="65">(SUMIF($5:$5,D346,$6:$6)-SUMIF($5:$5,$D$24,$6:$6)+100)/100</f>
        <v>0.1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ht="13">
      <c r="A347" s="154"/>
      <c r="B347" s="56"/>
      <c r="C347" s="24">
        <f t="shared" si="64"/>
        <v>1</v>
      </c>
      <c r="D347" s="715"/>
      <c r="E347" s="24">
        <f t="shared" si="65"/>
        <v>0.1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ht="13">
      <c r="A348" s="154"/>
      <c r="B348" s="56"/>
      <c r="C348" s="24">
        <f t="shared" si="64"/>
        <v>1</v>
      </c>
      <c r="D348" s="715"/>
      <c r="E348" s="24">
        <f t="shared" si="65"/>
        <v>0.1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ht="13">
      <c r="A349" s="154"/>
      <c r="B349" s="56"/>
      <c r="C349" s="24">
        <f t="shared" si="64"/>
        <v>1</v>
      </c>
      <c r="D349" s="715"/>
      <c r="E349" s="24">
        <f t="shared" si="65"/>
        <v>0.1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ht="13">
      <c r="A350" s="154"/>
      <c r="B350" s="56"/>
      <c r="C350" s="24">
        <f t="shared" si="64"/>
        <v>1</v>
      </c>
      <c r="D350" s="715"/>
      <c r="E350" s="24">
        <f t="shared" si="65"/>
        <v>0.1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ht="13">
      <c r="A351" s="154"/>
      <c r="B351" s="56"/>
      <c r="C351" s="24">
        <f t="shared" si="64"/>
        <v>1</v>
      </c>
      <c r="D351" s="715"/>
      <c r="E351" s="24">
        <f t="shared" si="65"/>
        <v>0.1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ht="13">
      <c r="A352" s="154"/>
      <c r="B352" s="56"/>
      <c r="C352" s="24">
        <f t="shared" si="64"/>
        <v>1</v>
      </c>
      <c r="D352" s="715"/>
      <c r="E352" s="24">
        <f t="shared" si="65"/>
        <v>0.1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ht="13">
      <c r="A353" s="154"/>
      <c r="B353" s="56"/>
      <c r="C353" s="24">
        <f t="shared" si="64"/>
        <v>1</v>
      </c>
      <c r="D353" s="715"/>
      <c r="E353" s="24">
        <f t="shared" si="65"/>
        <v>0.1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ht="13">
      <c r="A354" s="154"/>
      <c r="B354" s="56"/>
      <c r="C354" s="24">
        <f t="shared" si="64"/>
        <v>1</v>
      </c>
      <c r="D354" s="715"/>
      <c r="E354" s="24">
        <f t="shared" si="65"/>
        <v>0.1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ht="13">
      <c r="A355" s="154"/>
      <c r="B355" s="56"/>
      <c r="C355" s="24">
        <f t="shared" si="64"/>
        <v>1</v>
      </c>
      <c r="D355" s="715"/>
      <c r="E355" s="24">
        <f t="shared" si="65"/>
        <v>0.1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ht="13">
      <c r="A356" s="154"/>
      <c r="B356" s="56"/>
      <c r="C356" s="24">
        <f t="shared" si="64"/>
        <v>1</v>
      </c>
      <c r="D356" s="715"/>
      <c r="E356" s="24">
        <f t="shared" si="65"/>
        <v>0.1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ht="13">
      <c r="A357" s="154"/>
      <c r="B357" s="56"/>
      <c r="C357" s="24">
        <f t="shared" si="64"/>
        <v>1</v>
      </c>
      <c r="D357" s="715"/>
      <c r="E357" s="24">
        <f t="shared" si="65"/>
        <v>0.1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ht="13">
      <c r="A358" s="154"/>
      <c r="B358" s="56"/>
      <c r="C358" s="24">
        <f t="shared" si="64"/>
        <v>1</v>
      </c>
      <c r="D358" s="715"/>
      <c r="E358" s="24">
        <f t="shared" si="65"/>
        <v>0.1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ht="13">
      <c r="A359" s="154"/>
      <c r="B359" s="56"/>
      <c r="C359" s="24">
        <f t="shared" si="64"/>
        <v>1</v>
      </c>
      <c r="D359" s="715"/>
      <c r="E359" s="24">
        <f t="shared" si="65"/>
        <v>0.1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ht="13">
      <c r="A360" s="154"/>
      <c r="B360" s="56"/>
      <c r="C360" s="24">
        <f t="shared" si="64"/>
        <v>1</v>
      </c>
      <c r="D360" s="715"/>
      <c r="E360" s="24">
        <f t="shared" si="65"/>
        <v>0.1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ht="13">
      <c r="A361" s="154"/>
      <c r="B361" s="56"/>
      <c r="C361" s="24">
        <f t="shared" si="64"/>
        <v>1</v>
      </c>
      <c r="D361" s="715"/>
      <c r="E361" s="24">
        <f t="shared" si="65"/>
        <v>0.1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ht="13">
      <c r="A362" s="154"/>
      <c r="B362" s="56"/>
      <c r="C362" s="24">
        <f t="shared" si="64"/>
        <v>1</v>
      </c>
      <c r="D362" s="715"/>
      <c r="E362" s="24">
        <f t="shared" si="65"/>
        <v>0.1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ht="13">
      <c r="A363" s="154"/>
      <c r="B363" s="56"/>
      <c r="C363" s="24">
        <f t="shared" si="64"/>
        <v>1</v>
      </c>
      <c r="D363" s="715"/>
      <c r="E363" s="24">
        <f t="shared" si="65"/>
        <v>0.1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ht="13">
      <c r="A364" s="154"/>
      <c r="B364" s="56"/>
      <c r="C364" s="24">
        <f t="shared" si="64"/>
        <v>1</v>
      </c>
      <c r="D364" s="715"/>
      <c r="E364" s="24">
        <f t="shared" si="65"/>
        <v>0.1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ht="13">
      <c r="A365" s="154"/>
      <c r="B365" s="56"/>
      <c r="C365" s="24">
        <f t="shared" si="64"/>
        <v>1</v>
      </c>
      <c r="D365" s="715"/>
      <c r="E365" s="24">
        <f t="shared" si="65"/>
        <v>0.1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ht="13">
      <c r="A366" s="154"/>
      <c r="B366" s="56"/>
      <c r="C366" s="24">
        <f t="shared" si="64"/>
        <v>1</v>
      </c>
      <c r="D366" s="715"/>
      <c r="E366" s="24">
        <f t="shared" si="65"/>
        <v>0.1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ht="13">
      <c r="A367" s="154"/>
      <c r="B367" s="56"/>
      <c r="C367" s="24">
        <f t="shared" si="64"/>
        <v>1</v>
      </c>
      <c r="D367" s="715"/>
      <c r="E367" s="24">
        <f t="shared" si="65"/>
        <v>0.1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ht="13">
      <c r="A368" s="154"/>
      <c r="B368" s="56"/>
      <c r="C368" s="24">
        <f t="shared" si="64"/>
        <v>1</v>
      </c>
      <c r="D368" s="715"/>
      <c r="E368" s="24">
        <f t="shared" si="65"/>
        <v>0.1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ht="13">
      <c r="A369" s="154"/>
      <c r="B369" s="56"/>
      <c r="C369" s="24">
        <f t="shared" si="64"/>
        <v>1</v>
      </c>
      <c r="D369" s="715"/>
      <c r="E369" s="24">
        <f t="shared" si="65"/>
        <v>0.1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ht="13">
      <c r="A370" s="154"/>
      <c r="B370" s="56"/>
      <c r="C370" s="24">
        <f t="shared" si="64"/>
        <v>1</v>
      </c>
      <c r="D370" s="715"/>
      <c r="E370" s="24">
        <f t="shared" si="65"/>
        <v>0.1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ht="13">
      <c r="A371" s="154"/>
      <c r="B371" s="56"/>
      <c r="C371" s="24">
        <f t="shared" si="64"/>
        <v>1</v>
      </c>
      <c r="D371" s="715"/>
      <c r="E371" s="24">
        <f t="shared" si="65"/>
        <v>0.1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ht="13">
      <c r="A372" s="154"/>
      <c r="B372" s="56"/>
      <c r="C372" s="24">
        <f t="shared" si="64"/>
        <v>1</v>
      </c>
      <c r="D372" s="715"/>
      <c r="E372" s="24">
        <f t="shared" si="65"/>
        <v>0.1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ht="13">
      <c r="A373" s="154"/>
      <c r="B373" s="56"/>
      <c r="C373" s="24">
        <f t="shared" si="64"/>
        <v>1</v>
      </c>
      <c r="D373" s="715"/>
      <c r="E373" s="24">
        <f t="shared" si="65"/>
        <v>0.1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ht="13">
      <c r="A374" s="154"/>
      <c r="B374" s="56"/>
      <c r="C374" s="24">
        <f t="shared" si="64"/>
        <v>1</v>
      </c>
      <c r="D374" s="715"/>
      <c r="E374" s="24">
        <f t="shared" si="65"/>
        <v>0.1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ht="13">
      <c r="A375" s="154"/>
      <c r="B375" s="56"/>
      <c r="C375" s="24">
        <f t="shared" si="64"/>
        <v>1</v>
      </c>
      <c r="D375" s="715"/>
      <c r="E375" s="24">
        <f t="shared" si="65"/>
        <v>0.1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ht="13">
      <c r="A376" s="154"/>
      <c r="B376" s="56"/>
      <c r="C376" s="24">
        <f t="shared" si="64"/>
        <v>1</v>
      </c>
      <c r="D376" s="715"/>
      <c r="E376" s="24">
        <f t="shared" si="65"/>
        <v>0.1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ht="13">
      <c r="A377" s="154"/>
      <c r="B377" s="56"/>
      <c r="C377" s="24">
        <f t="shared" si="64"/>
        <v>1</v>
      </c>
      <c r="D377" s="715"/>
      <c r="E377" s="24">
        <f t="shared" si="65"/>
        <v>0.1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ht="13">
      <c r="A378" s="154"/>
      <c r="B378" s="56"/>
      <c r="C378" s="24">
        <f t="shared" si="64"/>
        <v>1</v>
      </c>
      <c r="D378" s="715"/>
      <c r="E378" s="24">
        <f t="shared" si="65"/>
        <v>0.1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ht="13">
      <c r="A379" s="154"/>
      <c r="B379" s="56"/>
      <c r="C379" s="24">
        <f t="shared" si="64"/>
        <v>1</v>
      </c>
      <c r="D379" s="715"/>
      <c r="E379" s="24">
        <f t="shared" si="65"/>
        <v>0.1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ht="13">
      <c r="A380" s="154"/>
      <c r="B380" s="56"/>
      <c r="C380" s="24">
        <f t="shared" si="64"/>
        <v>1</v>
      </c>
      <c r="D380" s="715"/>
      <c r="E380" s="24">
        <f t="shared" si="65"/>
        <v>0.1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ht="13">
      <c r="A381" s="154"/>
      <c r="B381" s="56"/>
      <c r="C381" s="24">
        <f t="shared" si="64"/>
        <v>1</v>
      </c>
      <c r="D381" s="715"/>
      <c r="E381" s="24">
        <f t="shared" si="65"/>
        <v>0.1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ht="13">
      <c r="A382" s="154"/>
      <c r="B382" s="56"/>
      <c r="C382" s="24">
        <f t="shared" si="64"/>
        <v>1</v>
      </c>
      <c r="D382" s="715"/>
      <c r="E382" s="24">
        <f t="shared" si="65"/>
        <v>0.1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ht="13">
      <c r="A383" s="154"/>
      <c r="B383" s="56"/>
      <c r="C383" s="24">
        <f t="shared" si="64"/>
        <v>1</v>
      </c>
      <c r="D383" s="715"/>
      <c r="E383" s="24">
        <f t="shared" si="65"/>
        <v>0.1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ht="13">
      <c r="A384" s="154"/>
      <c r="B384" s="56"/>
      <c r="C384" s="24">
        <f t="shared" si="64"/>
        <v>1</v>
      </c>
      <c r="D384" s="715"/>
      <c r="E384" s="24">
        <f t="shared" si="65"/>
        <v>0.1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ht="13">
      <c r="A385" s="154"/>
      <c r="B385" s="56"/>
      <c r="C385" s="24">
        <f t="shared" si="64"/>
        <v>1</v>
      </c>
      <c r="D385" s="715"/>
      <c r="E385" s="24">
        <f t="shared" si="65"/>
        <v>0.1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ht="13">
      <c r="A386" s="154"/>
      <c r="B386" s="56"/>
      <c r="C386" s="24">
        <f t="shared" si="64"/>
        <v>1</v>
      </c>
      <c r="D386" s="715"/>
      <c r="E386" s="24">
        <f t="shared" si="65"/>
        <v>0.1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ht="13">
      <c r="A387" s="154"/>
      <c r="B387" s="56"/>
      <c r="C387" s="24">
        <f t="shared" si="64"/>
        <v>1</v>
      </c>
      <c r="D387" s="715"/>
      <c r="E387" s="24">
        <f t="shared" si="65"/>
        <v>0.1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ht="13">
      <c r="A388" s="154"/>
      <c r="B388" s="56"/>
      <c r="C388" s="24">
        <f t="shared" si="64"/>
        <v>1</v>
      </c>
      <c r="D388" s="715"/>
      <c r="E388" s="24">
        <f t="shared" si="65"/>
        <v>0.1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ht="13">
      <c r="A389" s="154"/>
      <c r="B389" s="56"/>
      <c r="C389" s="24">
        <f t="shared" si="64"/>
        <v>1</v>
      </c>
      <c r="D389" s="715"/>
      <c r="E389" s="24">
        <f t="shared" si="65"/>
        <v>0.1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ht="13">
      <c r="A390" s="154"/>
      <c r="B390" s="56"/>
      <c r="C390" s="24">
        <f t="shared" si="64"/>
        <v>1</v>
      </c>
      <c r="D390" s="715"/>
      <c r="E390" s="24">
        <f t="shared" si="65"/>
        <v>0.1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ht="13">
      <c r="A391" s="154"/>
      <c r="B391" s="56"/>
      <c r="C391" s="24">
        <f t="shared" si="64"/>
        <v>1</v>
      </c>
      <c r="D391" s="715"/>
      <c r="E391" s="24">
        <f t="shared" si="65"/>
        <v>0.1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ht="13">
      <c r="A392" s="154"/>
      <c r="B392" s="56"/>
      <c r="C392" s="24">
        <f t="shared" si="64"/>
        <v>1</v>
      </c>
      <c r="D392" s="715"/>
      <c r="E392" s="24">
        <f t="shared" si="65"/>
        <v>0.1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ht="13">
      <c r="A393" s="154"/>
      <c r="B393" s="56"/>
      <c r="C393" s="24">
        <f t="shared" si="64"/>
        <v>1</v>
      </c>
      <c r="D393" s="715"/>
      <c r="E393" s="24">
        <f t="shared" si="65"/>
        <v>0.1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ht="13">
      <c r="A394" s="154"/>
      <c r="B394" s="56"/>
      <c r="C394" s="24">
        <f t="shared" si="64"/>
        <v>1</v>
      </c>
      <c r="D394" s="715"/>
      <c r="E394" s="24">
        <f t="shared" si="65"/>
        <v>0.1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ht="13">
      <c r="A395" s="154"/>
      <c r="B395" s="56"/>
      <c r="C395" s="24">
        <f t="shared" si="64"/>
        <v>1</v>
      </c>
      <c r="D395" s="715"/>
      <c r="E395" s="24">
        <f t="shared" si="65"/>
        <v>0.1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ht="13">
      <c r="A396" s="154"/>
      <c r="B396" s="56"/>
      <c r="C396" s="24">
        <f t="shared" si="64"/>
        <v>1</v>
      </c>
      <c r="D396" s="715"/>
      <c r="E396" s="24">
        <f t="shared" si="65"/>
        <v>0.1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ht="13">
      <c r="A397" s="154"/>
      <c r="B397" s="56"/>
      <c r="C397" s="24">
        <f t="shared" si="64"/>
        <v>1</v>
      </c>
      <c r="D397" s="715"/>
      <c r="E397" s="24">
        <f t="shared" si="65"/>
        <v>0.1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ht="13">
      <c r="A398" s="154"/>
      <c r="B398" s="56"/>
      <c r="C398" s="24">
        <f t="shared" si="64"/>
        <v>1</v>
      </c>
      <c r="D398" s="715"/>
      <c r="E398" s="24">
        <f t="shared" si="65"/>
        <v>0.1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ht="13">
      <c r="A399" s="154"/>
      <c r="B399" s="56"/>
      <c r="C399" s="24">
        <f t="shared" si="64"/>
        <v>1</v>
      </c>
      <c r="D399" s="715"/>
      <c r="E399" s="24">
        <f t="shared" si="65"/>
        <v>0.1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ht="13">
      <c r="A400" s="154"/>
      <c r="B400" s="56"/>
      <c r="C400" s="24">
        <f t="shared" si="64"/>
        <v>1</v>
      </c>
      <c r="D400" s="715"/>
      <c r="E400" s="24">
        <f t="shared" si="65"/>
        <v>0.1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ht="13">
      <c r="A401" s="154"/>
      <c r="B401" s="56"/>
      <c r="C401" s="24">
        <f t="shared" si="64"/>
        <v>1</v>
      </c>
      <c r="D401" s="715"/>
      <c r="E401" s="24">
        <f t="shared" si="65"/>
        <v>0.1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ht="13">
      <c r="A402" s="154"/>
      <c r="B402" s="56"/>
      <c r="C402" s="24">
        <f t="shared" si="64"/>
        <v>1</v>
      </c>
      <c r="D402" s="715"/>
      <c r="E402" s="24">
        <f t="shared" si="65"/>
        <v>0.1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ht="13">
      <c r="A403" s="154"/>
      <c r="B403" s="56"/>
      <c r="C403" s="24">
        <f t="shared" si="64"/>
        <v>1</v>
      </c>
      <c r="D403" s="715"/>
      <c r="E403" s="24">
        <f t="shared" si="65"/>
        <v>0.1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ht="13">
      <c r="A404" s="154"/>
      <c r="B404" s="56"/>
      <c r="C404" s="24">
        <f t="shared" si="64"/>
        <v>1</v>
      </c>
      <c r="D404" s="715"/>
      <c r="E404" s="24">
        <f t="shared" si="65"/>
        <v>0.1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ht="13">
      <c r="A405" s="154"/>
      <c r="B405" s="56"/>
      <c r="C405" s="24">
        <f t="shared" si="64"/>
        <v>1</v>
      </c>
      <c r="D405" s="715"/>
      <c r="E405" s="24">
        <f t="shared" si="65"/>
        <v>0.1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ht="13">
      <c r="A406" s="154"/>
      <c r="B406" s="56"/>
      <c r="C406" s="24">
        <f t="shared" si="64"/>
        <v>1</v>
      </c>
      <c r="D406" s="715"/>
      <c r="E406" s="24">
        <f t="shared" si="65"/>
        <v>0.1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ht="13">
      <c r="A407" s="154"/>
      <c r="B407" s="56"/>
      <c r="C407" s="24">
        <f t="shared" si="64"/>
        <v>1</v>
      </c>
      <c r="D407" s="715"/>
      <c r="E407" s="24">
        <f t="shared" si="65"/>
        <v>0.1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ht="13">
      <c r="A408" s="154"/>
      <c r="B408" s="56"/>
      <c r="C408" s="24">
        <f t="shared" si="64"/>
        <v>1</v>
      </c>
      <c r="D408" s="715"/>
      <c r="E408" s="24">
        <f t="shared" si="65"/>
        <v>0.1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ht="13">
      <c r="A409" s="154"/>
      <c r="B409" s="56"/>
      <c r="C409" s="24">
        <f t="shared" si="64"/>
        <v>1</v>
      </c>
      <c r="D409" s="715"/>
      <c r="E409" s="24">
        <f t="shared" si="65"/>
        <v>0.1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ht="13">
      <c r="A410" s="154"/>
      <c r="B410" s="56"/>
      <c r="C410" s="24">
        <f t="shared" ref="C410:C473" si="74">IF(B410="",1,(LOOKUP(B410,$3:$3,$4:$4)-LOOKUP($B$24,$3:$3,$4:$4)+100)/100)</f>
        <v>1</v>
      </c>
      <c r="D410" s="715"/>
      <c r="E410" s="24">
        <f t="shared" ref="E410:E473" si="75">(SUMIF($5:$5,D410,$6:$6)-SUMIF($5:$5,$D$24,$6:$6)+100)/100</f>
        <v>0.1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ht="13">
      <c r="A411" s="154"/>
      <c r="B411" s="56"/>
      <c r="C411" s="24">
        <f t="shared" si="74"/>
        <v>1</v>
      </c>
      <c r="D411" s="715"/>
      <c r="E411" s="24">
        <f t="shared" si="75"/>
        <v>0.1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ht="13">
      <c r="A412" s="154"/>
      <c r="B412" s="56"/>
      <c r="C412" s="24">
        <f t="shared" si="74"/>
        <v>1</v>
      </c>
      <c r="D412" s="715"/>
      <c r="E412" s="24">
        <f t="shared" si="75"/>
        <v>0.1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ht="13">
      <c r="A413" s="154"/>
      <c r="B413" s="56"/>
      <c r="C413" s="24">
        <f t="shared" si="74"/>
        <v>1</v>
      </c>
      <c r="D413" s="715"/>
      <c r="E413" s="24">
        <f t="shared" si="75"/>
        <v>0.1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ht="13">
      <c r="A414" s="154"/>
      <c r="B414" s="56"/>
      <c r="C414" s="24">
        <f t="shared" si="74"/>
        <v>1</v>
      </c>
      <c r="D414" s="715"/>
      <c r="E414" s="24">
        <f t="shared" si="75"/>
        <v>0.1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ht="13">
      <c r="A415" s="154"/>
      <c r="B415" s="56"/>
      <c r="C415" s="24">
        <f t="shared" si="74"/>
        <v>1</v>
      </c>
      <c r="D415" s="715"/>
      <c r="E415" s="24">
        <f t="shared" si="75"/>
        <v>0.1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ht="13">
      <c r="A416" s="154"/>
      <c r="B416" s="56"/>
      <c r="C416" s="24">
        <f t="shared" si="74"/>
        <v>1</v>
      </c>
      <c r="D416" s="715"/>
      <c r="E416" s="24">
        <f t="shared" si="75"/>
        <v>0.1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ht="13">
      <c r="A417" s="154"/>
      <c r="B417" s="56"/>
      <c r="C417" s="24">
        <f t="shared" si="74"/>
        <v>1</v>
      </c>
      <c r="D417" s="715"/>
      <c r="E417" s="24">
        <f t="shared" si="75"/>
        <v>0.1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ht="13">
      <c r="A418" s="154"/>
      <c r="B418" s="56"/>
      <c r="C418" s="24">
        <f t="shared" si="74"/>
        <v>1</v>
      </c>
      <c r="D418" s="715"/>
      <c r="E418" s="24">
        <f t="shared" si="75"/>
        <v>0.1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ht="13">
      <c r="A419" s="154"/>
      <c r="B419" s="56"/>
      <c r="C419" s="24">
        <f t="shared" si="74"/>
        <v>1</v>
      </c>
      <c r="D419" s="715"/>
      <c r="E419" s="24">
        <f t="shared" si="75"/>
        <v>0.1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ht="13">
      <c r="A420" s="154"/>
      <c r="B420" s="56"/>
      <c r="C420" s="24">
        <f t="shared" si="74"/>
        <v>1</v>
      </c>
      <c r="D420" s="715"/>
      <c r="E420" s="24">
        <f t="shared" si="75"/>
        <v>0.1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ht="13">
      <c r="A421" s="154"/>
      <c r="B421" s="56"/>
      <c r="C421" s="24">
        <f t="shared" si="74"/>
        <v>1</v>
      </c>
      <c r="D421" s="715"/>
      <c r="E421" s="24">
        <f t="shared" si="75"/>
        <v>0.1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ht="13">
      <c r="A422" s="154"/>
      <c r="B422" s="56"/>
      <c r="C422" s="24">
        <f t="shared" si="74"/>
        <v>1</v>
      </c>
      <c r="D422" s="715"/>
      <c r="E422" s="24">
        <f t="shared" si="75"/>
        <v>0.1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ht="13">
      <c r="A423" s="154"/>
      <c r="B423" s="56"/>
      <c r="C423" s="24">
        <f t="shared" si="74"/>
        <v>1</v>
      </c>
      <c r="D423" s="715"/>
      <c r="E423" s="24">
        <f t="shared" si="75"/>
        <v>0.1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ht="13">
      <c r="A424" s="154"/>
      <c r="B424" s="56"/>
      <c r="C424" s="24">
        <f t="shared" si="74"/>
        <v>1</v>
      </c>
      <c r="D424" s="715"/>
      <c r="E424" s="24">
        <f t="shared" si="75"/>
        <v>0.1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ht="13">
      <c r="A425" s="154"/>
      <c r="B425" s="56"/>
      <c r="C425" s="24">
        <f t="shared" si="74"/>
        <v>1</v>
      </c>
      <c r="D425" s="715"/>
      <c r="E425" s="24">
        <f t="shared" si="75"/>
        <v>0.1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ht="13">
      <c r="A426" s="154"/>
      <c r="B426" s="56"/>
      <c r="C426" s="24">
        <f t="shared" si="74"/>
        <v>1</v>
      </c>
      <c r="D426" s="715"/>
      <c r="E426" s="24">
        <f t="shared" si="75"/>
        <v>0.1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ht="13">
      <c r="A427" s="154"/>
      <c r="B427" s="56"/>
      <c r="C427" s="24">
        <f t="shared" si="74"/>
        <v>1</v>
      </c>
      <c r="D427" s="715"/>
      <c r="E427" s="24">
        <f t="shared" si="75"/>
        <v>0.1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ht="13">
      <c r="A428" s="154"/>
      <c r="B428" s="56"/>
      <c r="C428" s="24">
        <f t="shared" si="74"/>
        <v>1</v>
      </c>
      <c r="D428" s="715"/>
      <c r="E428" s="24">
        <f t="shared" si="75"/>
        <v>0.1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ht="13">
      <c r="A429" s="154"/>
      <c r="B429" s="56"/>
      <c r="C429" s="24">
        <f t="shared" si="74"/>
        <v>1</v>
      </c>
      <c r="D429" s="715"/>
      <c r="E429" s="24">
        <f t="shared" si="75"/>
        <v>0.1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ht="13">
      <c r="A430" s="154"/>
      <c r="B430" s="56"/>
      <c r="C430" s="24">
        <f t="shared" si="74"/>
        <v>1</v>
      </c>
      <c r="D430" s="715"/>
      <c r="E430" s="24">
        <f t="shared" si="75"/>
        <v>0.1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ht="13">
      <c r="A431" s="154"/>
      <c r="B431" s="56"/>
      <c r="C431" s="24">
        <f t="shared" si="74"/>
        <v>1</v>
      </c>
      <c r="D431" s="715"/>
      <c r="E431" s="24">
        <f t="shared" si="75"/>
        <v>0.1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ht="13">
      <c r="A432" s="154"/>
      <c r="B432" s="56"/>
      <c r="C432" s="24">
        <f t="shared" si="74"/>
        <v>1</v>
      </c>
      <c r="D432" s="715"/>
      <c r="E432" s="24">
        <f t="shared" si="75"/>
        <v>0.1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ht="13">
      <c r="A433" s="154"/>
      <c r="B433" s="56"/>
      <c r="C433" s="24">
        <f t="shared" si="74"/>
        <v>1</v>
      </c>
      <c r="D433" s="715"/>
      <c r="E433" s="24">
        <f t="shared" si="75"/>
        <v>0.1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ht="13">
      <c r="A434" s="154"/>
      <c r="B434" s="56"/>
      <c r="C434" s="24">
        <f t="shared" si="74"/>
        <v>1</v>
      </c>
      <c r="D434" s="715"/>
      <c r="E434" s="24">
        <f t="shared" si="75"/>
        <v>0.1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ht="13">
      <c r="A435" s="154"/>
      <c r="B435" s="56"/>
      <c r="C435" s="24">
        <f t="shared" si="74"/>
        <v>1</v>
      </c>
      <c r="D435" s="715"/>
      <c r="E435" s="24">
        <f t="shared" si="75"/>
        <v>0.1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ht="13">
      <c r="A436" s="154"/>
      <c r="B436" s="56"/>
      <c r="C436" s="24">
        <f t="shared" si="74"/>
        <v>1</v>
      </c>
      <c r="D436" s="715"/>
      <c r="E436" s="24">
        <f t="shared" si="75"/>
        <v>0.1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ht="13">
      <c r="A437" s="154"/>
      <c r="B437" s="56"/>
      <c r="C437" s="24">
        <f t="shared" si="74"/>
        <v>1</v>
      </c>
      <c r="D437" s="715"/>
      <c r="E437" s="24">
        <f t="shared" si="75"/>
        <v>0.1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ht="13">
      <c r="A438" s="154"/>
      <c r="B438" s="56"/>
      <c r="C438" s="24">
        <f t="shared" si="74"/>
        <v>1</v>
      </c>
      <c r="D438" s="715"/>
      <c r="E438" s="24">
        <f t="shared" si="75"/>
        <v>0.1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ht="13">
      <c r="A439" s="154"/>
      <c r="B439" s="56"/>
      <c r="C439" s="24">
        <f t="shared" si="74"/>
        <v>1</v>
      </c>
      <c r="D439" s="715"/>
      <c r="E439" s="24">
        <f t="shared" si="75"/>
        <v>0.1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ht="13">
      <c r="A440" s="154"/>
      <c r="B440" s="56"/>
      <c r="C440" s="24">
        <f t="shared" si="74"/>
        <v>1</v>
      </c>
      <c r="D440" s="715"/>
      <c r="E440" s="24">
        <f t="shared" si="75"/>
        <v>0.1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ht="13">
      <c r="A441" s="154"/>
      <c r="B441" s="56"/>
      <c r="C441" s="24">
        <f t="shared" si="74"/>
        <v>1</v>
      </c>
      <c r="D441" s="715"/>
      <c r="E441" s="24">
        <f t="shared" si="75"/>
        <v>0.1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ht="13">
      <c r="A442" s="154"/>
      <c r="B442" s="56"/>
      <c r="C442" s="24">
        <f t="shared" si="74"/>
        <v>1</v>
      </c>
      <c r="D442" s="715"/>
      <c r="E442" s="24">
        <f t="shared" si="75"/>
        <v>0.1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ht="13">
      <c r="A443" s="154"/>
      <c r="B443" s="56"/>
      <c r="C443" s="24">
        <f t="shared" si="74"/>
        <v>1</v>
      </c>
      <c r="D443" s="715"/>
      <c r="E443" s="24">
        <f t="shared" si="75"/>
        <v>0.1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ht="13">
      <c r="A444" s="154"/>
      <c r="B444" s="56"/>
      <c r="C444" s="24">
        <f t="shared" si="74"/>
        <v>1</v>
      </c>
      <c r="D444" s="715"/>
      <c r="E444" s="24">
        <f t="shared" si="75"/>
        <v>0.1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ht="13">
      <c r="A445" s="154"/>
      <c r="B445" s="56"/>
      <c r="C445" s="24">
        <f t="shared" si="74"/>
        <v>1</v>
      </c>
      <c r="D445" s="715"/>
      <c r="E445" s="24">
        <f t="shared" si="75"/>
        <v>0.1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ht="13">
      <c r="A446" s="154"/>
      <c r="B446" s="56"/>
      <c r="C446" s="24">
        <f t="shared" si="74"/>
        <v>1</v>
      </c>
      <c r="D446" s="715"/>
      <c r="E446" s="24">
        <f t="shared" si="75"/>
        <v>0.1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ht="13">
      <c r="A447" s="154"/>
      <c r="B447" s="56"/>
      <c r="C447" s="24">
        <f t="shared" si="74"/>
        <v>1</v>
      </c>
      <c r="D447" s="715"/>
      <c r="E447" s="24">
        <f t="shared" si="75"/>
        <v>0.1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ht="13">
      <c r="A448" s="154"/>
      <c r="B448" s="56"/>
      <c r="C448" s="24">
        <f t="shared" si="74"/>
        <v>1</v>
      </c>
      <c r="D448" s="715"/>
      <c r="E448" s="24">
        <f t="shared" si="75"/>
        <v>0.1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ht="13">
      <c r="A449" s="154"/>
      <c r="B449" s="56"/>
      <c r="C449" s="24">
        <f t="shared" si="74"/>
        <v>1</v>
      </c>
      <c r="D449" s="715"/>
      <c r="E449" s="24">
        <f t="shared" si="75"/>
        <v>0.1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ht="13">
      <c r="A450" s="154"/>
      <c r="B450" s="56"/>
      <c r="C450" s="24">
        <f t="shared" si="74"/>
        <v>1</v>
      </c>
      <c r="D450" s="715"/>
      <c r="E450" s="24">
        <f t="shared" si="75"/>
        <v>0.1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ht="13">
      <c r="A451" s="154"/>
      <c r="B451" s="56"/>
      <c r="C451" s="24">
        <f t="shared" si="74"/>
        <v>1</v>
      </c>
      <c r="D451" s="715"/>
      <c r="E451" s="24">
        <f t="shared" si="75"/>
        <v>0.1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ht="13">
      <c r="A452" s="154"/>
      <c r="B452" s="56"/>
      <c r="C452" s="24">
        <f t="shared" si="74"/>
        <v>1</v>
      </c>
      <c r="D452" s="715"/>
      <c r="E452" s="24">
        <f t="shared" si="75"/>
        <v>0.1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ht="13">
      <c r="A453" s="154"/>
      <c r="B453" s="56"/>
      <c r="C453" s="24">
        <f t="shared" si="74"/>
        <v>1</v>
      </c>
      <c r="D453" s="715"/>
      <c r="E453" s="24">
        <f t="shared" si="75"/>
        <v>0.1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ht="13">
      <c r="A454" s="154"/>
      <c r="B454" s="56"/>
      <c r="C454" s="24">
        <f t="shared" si="74"/>
        <v>1</v>
      </c>
      <c r="D454" s="715"/>
      <c r="E454" s="24">
        <f t="shared" si="75"/>
        <v>0.1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ht="13">
      <c r="A455" s="154"/>
      <c r="B455" s="56"/>
      <c r="C455" s="24">
        <f t="shared" si="74"/>
        <v>1</v>
      </c>
      <c r="D455" s="715"/>
      <c r="E455" s="24">
        <f t="shared" si="75"/>
        <v>0.1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ht="13">
      <c r="A456" s="154"/>
      <c r="B456" s="56"/>
      <c r="C456" s="24">
        <f t="shared" si="74"/>
        <v>1</v>
      </c>
      <c r="D456" s="715"/>
      <c r="E456" s="24">
        <f t="shared" si="75"/>
        <v>0.1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ht="13">
      <c r="A457" s="154"/>
      <c r="B457" s="56"/>
      <c r="C457" s="24">
        <f t="shared" si="74"/>
        <v>1</v>
      </c>
      <c r="D457" s="715"/>
      <c r="E457" s="24">
        <f t="shared" si="75"/>
        <v>0.1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ht="13">
      <c r="A458" s="154"/>
      <c r="B458" s="56"/>
      <c r="C458" s="24">
        <f t="shared" si="74"/>
        <v>1</v>
      </c>
      <c r="D458" s="715"/>
      <c r="E458" s="24">
        <f t="shared" si="75"/>
        <v>0.1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ht="13">
      <c r="A459" s="154"/>
      <c r="B459" s="56"/>
      <c r="C459" s="24">
        <f t="shared" si="74"/>
        <v>1</v>
      </c>
      <c r="D459" s="715"/>
      <c r="E459" s="24">
        <f t="shared" si="75"/>
        <v>0.1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ht="13">
      <c r="A460" s="154"/>
      <c r="B460" s="56"/>
      <c r="C460" s="24">
        <f t="shared" si="74"/>
        <v>1</v>
      </c>
      <c r="D460" s="715"/>
      <c r="E460" s="24">
        <f t="shared" si="75"/>
        <v>0.1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ht="13">
      <c r="A461" s="154"/>
      <c r="B461" s="56"/>
      <c r="C461" s="24">
        <f t="shared" si="74"/>
        <v>1</v>
      </c>
      <c r="D461" s="715"/>
      <c r="E461" s="24">
        <f t="shared" si="75"/>
        <v>0.1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ht="13">
      <c r="A462" s="154"/>
      <c r="B462" s="56"/>
      <c r="C462" s="24">
        <f t="shared" si="74"/>
        <v>1</v>
      </c>
      <c r="D462" s="715"/>
      <c r="E462" s="24">
        <f t="shared" si="75"/>
        <v>0.1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ht="13">
      <c r="A463" s="154"/>
      <c r="B463" s="56"/>
      <c r="C463" s="24">
        <f t="shared" si="74"/>
        <v>1</v>
      </c>
      <c r="D463" s="715"/>
      <c r="E463" s="24">
        <f t="shared" si="75"/>
        <v>0.1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ht="13">
      <c r="A464" s="154"/>
      <c r="B464" s="56"/>
      <c r="C464" s="24">
        <f t="shared" si="74"/>
        <v>1</v>
      </c>
      <c r="D464" s="715"/>
      <c r="E464" s="24">
        <f t="shared" si="75"/>
        <v>0.1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ht="13">
      <c r="A465" s="154"/>
      <c r="B465" s="56"/>
      <c r="C465" s="24">
        <f t="shared" si="74"/>
        <v>1</v>
      </c>
      <c r="D465" s="715"/>
      <c r="E465" s="24">
        <f t="shared" si="75"/>
        <v>0.1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ht="13">
      <c r="A466" s="154"/>
      <c r="B466" s="56"/>
      <c r="C466" s="24">
        <f t="shared" si="74"/>
        <v>1</v>
      </c>
      <c r="D466" s="715"/>
      <c r="E466" s="24">
        <f t="shared" si="75"/>
        <v>0.1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ht="13">
      <c r="A467" s="154"/>
      <c r="B467" s="56"/>
      <c r="C467" s="24">
        <f t="shared" si="74"/>
        <v>1</v>
      </c>
      <c r="D467" s="715"/>
      <c r="E467" s="24">
        <f t="shared" si="75"/>
        <v>0.1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ht="13">
      <c r="A468" s="154"/>
      <c r="B468" s="56"/>
      <c r="C468" s="24">
        <f t="shared" si="74"/>
        <v>1</v>
      </c>
      <c r="D468" s="715"/>
      <c r="E468" s="24">
        <f t="shared" si="75"/>
        <v>0.1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ht="13">
      <c r="A469" s="154"/>
      <c r="B469" s="56"/>
      <c r="C469" s="24">
        <f t="shared" si="74"/>
        <v>1</v>
      </c>
      <c r="D469" s="715"/>
      <c r="E469" s="24">
        <f t="shared" si="75"/>
        <v>0.1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ht="13">
      <c r="A470" s="154"/>
      <c r="B470" s="56"/>
      <c r="C470" s="24">
        <f t="shared" si="74"/>
        <v>1</v>
      </c>
      <c r="D470" s="715"/>
      <c r="E470" s="24">
        <f t="shared" si="75"/>
        <v>0.1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ht="13">
      <c r="A471" s="154"/>
      <c r="B471" s="56"/>
      <c r="C471" s="24">
        <f t="shared" si="74"/>
        <v>1</v>
      </c>
      <c r="D471" s="715"/>
      <c r="E471" s="24">
        <f t="shared" si="75"/>
        <v>0.1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ht="13">
      <c r="A472" s="154"/>
      <c r="B472" s="56"/>
      <c r="C472" s="24">
        <f t="shared" si="74"/>
        <v>1</v>
      </c>
      <c r="D472" s="715"/>
      <c r="E472" s="24">
        <f t="shared" si="75"/>
        <v>0.1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ht="13">
      <c r="A473" s="154"/>
      <c r="B473" s="56"/>
      <c r="C473" s="24">
        <f t="shared" si="74"/>
        <v>1</v>
      </c>
      <c r="D473" s="715"/>
      <c r="E473" s="24">
        <f t="shared" si="75"/>
        <v>0.1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ht="13">
      <c r="A474" s="154"/>
      <c r="B474" s="56"/>
      <c r="C474" s="24">
        <f t="shared" ref="C474:C524" si="85">IF(B474="",1,(LOOKUP(B474,$3:$3,$4:$4)-LOOKUP($B$24,$3:$3,$4:$4)+100)/100)</f>
        <v>1</v>
      </c>
      <c r="D474" s="715"/>
      <c r="E474" s="24">
        <f t="shared" ref="E474:E524" si="86">(SUMIF($5:$5,D474,$6:$6)-SUMIF($5:$5,$D$24,$6:$6)+100)/100</f>
        <v>0.1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ht="13">
      <c r="A475" s="154"/>
      <c r="B475" s="56"/>
      <c r="C475" s="24">
        <f t="shared" si="85"/>
        <v>1</v>
      </c>
      <c r="D475" s="715"/>
      <c r="E475" s="24">
        <f t="shared" si="86"/>
        <v>0.1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ht="13">
      <c r="A476" s="154"/>
      <c r="B476" s="56"/>
      <c r="C476" s="24">
        <f t="shared" si="85"/>
        <v>1</v>
      </c>
      <c r="D476" s="715"/>
      <c r="E476" s="24">
        <f t="shared" si="86"/>
        <v>0.1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ht="13">
      <c r="A477" s="154"/>
      <c r="B477" s="56"/>
      <c r="C477" s="24">
        <f t="shared" si="85"/>
        <v>1</v>
      </c>
      <c r="D477" s="715"/>
      <c r="E477" s="24">
        <f t="shared" si="86"/>
        <v>0.1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ht="13">
      <c r="A478" s="154"/>
      <c r="B478" s="56"/>
      <c r="C478" s="24">
        <f t="shared" si="85"/>
        <v>1</v>
      </c>
      <c r="D478" s="715"/>
      <c r="E478" s="24">
        <f t="shared" si="86"/>
        <v>0.1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ht="13">
      <c r="A479" s="154"/>
      <c r="B479" s="56"/>
      <c r="C479" s="24">
        <f t="shared" si="85"/>
        <v>1</v>
      </c>
      <c r="D479" s="715"/>
      <c r="E479" s="24">
        <f t="shared" si="86"/>
        <v>0.1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ht="13">
      <c r="A480" s="154"/>
      <c r="B480" s="56"/>
      <c r="C480" s="24">
        <f t="shared" si="85"/>
        <v>1</v>
      </c>
      <c r="D480" s="715"/>
      <c r="E480" s="24">
        <f t="shared" si="86"/>
        <v>0.1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ht="13">
      <c r="A481" s="154"/>
      <c r="B481" s="56"/>
      <c r="C481" s="24">
        <f t="shared" si="85"/>
        <v>1</v>
      </c>
      <c r="D481" s="715"/>
      <c r="E481" s="24">
        <f t="shared" si="86"/>
        <v>0.1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ht="13">
      <c r="A482" s="154"/>
      <c r="B482" s="56"/>
      <c r="C482" s="24">
        <f t="shared" si="85"/>
        <v>1</v>
      </c>
      <c r="D482" s="715"/>
      <c r="E482" s="24">
        <f t="shared" si="86"/>
        <v>0.1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ht="13">
      <c r="A483" s="154"/>
      <c r="B483" s="56"/>
      <c r="C483" s="24">
        <f t="shared" si="85"/>
        <v>1</v>
      </c>
      <c r="D483" s="715"/>
      <c r="E483" s="24">
        <f t="shared" si="86"/>
        <v>0.1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ht="13">
      <c r="A484" s="154"/>
      <c r="B484" s="56"/>
      <c r="C484" s="24">
        <f t="shared" si="85"/>
        <v>1</v>
      </c>
      <c r="D484" s="715"/>
      <c r="E484" s="24">
        <f t="shared" si="86"/>
        <v>0.1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ht="13">
      <c r="A485" s="154"/>
      <c r="B485" s="56"/>
      <c r="C485" s="24">
        <f t="shared" si="85"/>
        <v>1</v>
      </c>
      <c r="D485" s="715"/>
      <c r="E485" s="24">
        <f t="shared" si="86"/>
        <v>0.1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ht="13">
      <c r="A486" s="154"/>
      <c r="B486" s="56"/>
      <c r="C486" s="24">
        <f t="shared" si="85"/>
        <v>1</v>
      </c>
      <c r="D486" s="715"/>
      <c r="E486" s="24">
        <f t="shared" si="86"/>
        <v>0.1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ht="13">
      <c r="A487" s="154"/>
      <c r="B487" s="56"/>
      <c r="C487" s="24">
        <f t="shared" si="85"/>
        <v>1</v>
      </c>
      <c r="D487" s="715"/>
      <c r="E487" s="24">
        <f t="shared" si="86"/>
        <v>0.1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ht="13">
      <c r="A488" s="154"/>
      <c r="B488" s="56"/>
      <c r="C488" s="24">
        <f t="shared" si="85"/>
        <v>1</v>
      </c>
      <c r="D488" s="715"/>
      <c r="E488" s="24">
        <f t="shared" si="86"/>
        <v>0.1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ht="13">
      <c r="A489" s="154"/>
      <c r="B489" s="56"/>
      <c r="C489" s="24">
        <f t="shared" si="85"/>
        <v>1</v>
      </c>
      <c r="D489" s="715"/>
      <c r="E489" s="24">
        <f t="shared" si="86"/>
        <v>0.1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ht="13">
      <c r="A490" s="154"/>
      <c r="B490" s="56"/>
      <c r="C490" s="24">
        <f t="shared" si="85"/>
        <v>1</v>
      </c>
      <c r="D490" s="715"/>
      <c r="E490" s="24">
        <f t="shared" si="86"/>
        <v>0.1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ht="13">
      <c r="A491" s="154"/>
      <c r="B491" s="56"/>
      <c r="C491" s="24">
        <f t="shared" si="85"/>
        <v>1</v>
      </c>
      <c r="D491" s="715"/>
      <c r="E491" s="24">
        <f t="shared" si="86"/>
        <v>0.1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ht="13">
      <c r="A492" s="154"/>
      <c r="B492" s="56"/>
      <c r="C492" s="24">
        <f t="shared" si="85"/>
        <v>1</v>
      </c>
      <c r="D492" s="715"/>
      <c r="E492" s="24">
        <f t="shared" si="86"/>
        <v>0.1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ht="13">
      <c r="A493" s="154"/>
      <c r="B493" s="56"/>
      <c r="C493" s="24">
        <f t="shared" si="85"/>
        <v>1</v>
      </c>
      <c r="D493" s="715"/>
      <c r="E493" s="24">
        <f t="shared" si="86"/>
        <v>0.1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ht="13">
      <c r="A494" s="154"/>
      <c r="B494" s="56"/>
      <c r="C494" s="24">
        <f t="shared" si="85"/>
        <v>1</v>
      </c>
      <c r="D494" s="715"/>
      <c r="E494" s="24">
        <f t="shared" si="86"/>
        <v>0.1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ht="13">
      <c r="A495" s="154"/>
      <c r="B495" s="56"/>
      <c r="C495" s="24">
        <f t="shared" si="85"/>
        <v>1</v>
      </c>
      <c r="D495" s="715"/>
      <c r="E495" s="24">
        <f t="shared" si="86"/>
        <v>0.1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ht="13">
      <c r="A496" s="154"/>
      <c r="B496" s="56"/>
      <c r="C496" s="24">
        <f t="shared" si="85"/>
        <v>1</v>
      </c>
      <c r="D496" s="715"/>
      <c r="E496" s="24">
        <f t="shared" si="86"/>
        <v>0.1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ht="13">
      <c r="A497" s="154"/>
      <c r="B497" s="56"/>
      <c r="C497" s="24">
        <f t="shared" si="85"/>
        <v>1</v>
      </c>
      <c r="D497" s="715"/>
      <c r="E497" s="24">
        <f t="shared" si="86"/>
        <v>0.1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ht="13">
      <c r="A498" s="154"/>
      <c r="B498" s="56"/>
      <c r="C498" s="24">
        <f t="shared" si="85"/>
        <v>1</v>
      </c>
      <c r="D498" s="715"/>
      <c r="E498" s="24">
        <f t="shared" si="86"/>
        <v>0.1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ht="13">
      <c r="A499" s="154"/>
      <c r="B499" s="56"/>
      <c r="C499" s="24">
        <f t="shared" si="85"/>
        <v>1</v>
      </c>
      <c r="D499" s="715"/>
      <c r="E499" s="24">
        <f t="shared" si="86"/>
        <v>0.1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ht="13">
      <c r="A500" s="154"/>
      <c r="B500" s="56"/>
      <c r="C500" s="24">
        <f t="shared" si="85"/>
        <v>1</v>
      </c>
      <c r="D500" s="715"/>
      <c r="E500" s="24">
        <f t="shared" si="86"/>
        <v>0.1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ht="13">
      <c r="A501" s="154"/>
      <c r="B501" s="56"/>
      <c r="C501" s="24">
        <f t="shared" si="85"/>
        <v>1</v>
      </c>
      <c r="D501" s="715"/>
      <c r="E501" s="24">
        <f t="shared" si="86"/>
        <v>0.1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ht="13">
      <c r="A502" s="154"/>
      <c r="B502" s="56"/>
      <c r="C502" s="24">
        <f t="shared" si="85"/>
        <v>1</v>
      </c>
      <c r="D502" s="715"/>
      <c r="E502" s="24">
        <f t="shared" si="86"/>
        <v>0.1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ht="13">
      <c r="A503" s="154"/>
      <c r="B503" s="56"/>
      <c r="C503" s="24">
        <f t="shared" si="85"/>
        <v>1</v>
      </c>
      <c r="D503" s="715"/>
      <c r="E503" s="24">
        <f t="shared" si="86"/>
        <v>0.1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ht="13">
      <c r="A504" s="154"/>
      <c r="B504" s="56"/>
      <c r="C504" s="24">
        <f t="shared" si="85"/>
        <v>1</v>
      </c>
      <c r="D504" s="715"/>
      <c r="E504" s="24">
        <f t="shared" si="86"/>
        <v>0.1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ht="13">
      <c r="A505" s="154"/>
      <c r="B505" s="56"/>
      <c r="C505" s="24">
        <f t="shared" si="85"/>
        <v>1</v>
      </c>
      <c r="D505" s="715"/>
      <c r="E505" s="24">
        <f t="shared" si="86"/>
        <v>0.1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ht="13">
      <c r="A506" s="154"/>
      <c r="B506" s="56"/>
      <c r="C506" s="24">
        <f t="shared" si="85"/>
        <v>1</v>
      </c>
      <c r="D506" s="715"/>
      <c r="E506" s="24">
        <f t="shared" si="86"/>
        <v>0.1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ht="13">
      <c r="A507" s="154"/>
      <c r="B507" s="56"/>
      <c r="C507" s="24">
        <f t="shared" si="85"/>
        <v>1</v>
      </c>
      <c r="D507" s="715"/>
      <c r="E507" s="24">
        <f t="shared" si="86"/>
        <v>0.1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ht="13">
      <c r="A508" s="154"/>
      <c r="B508" s="56"/>
      <c r="C508" s="24">
        <f t="shared" si="85"/>
        <v>1</v>
      </c>
      <c r="D508" s="715"/>
      <c r="E508" s="24">
        <f t="shared" si="86"/>
        <v>0.1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ht="13">
      <c r="A509" s="154"/>
      <c r="B509" s="56"/>
      <c r="C509" s="24">
        <f t="shared" si="85"/>
        <v>1</v>
      </c>
      <c r="D509" s="715"/>
      <c r="E509" s="24">
        <f t="shared" si="86"/>
        <v>0.1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ht="13">
      <c r="A510" s="154"/>
      <c r="B510" s="56"/>
      <c r="C510" s="24">
        <f t="shared" si="85"/>
        <v>1</v>
      </c>
      <c r="D510" s="715"/>
      <c r="E510" s="24">
        <f t="shared" si="86"/>
        <v>0.1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ht="13">
      <c r="A511" s="154"/>
      <c r="B511" s="56"/>
      <c r="C511" s="24">
        <f t="shared" si="85"/>
        <v>1</v>
      </c>
      <c r="D511" s="715"/>
      <c r="E511" s="24">
        <f t="shared" si="86"/>
        <v>0.1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ht="13">
      <c r="A512" s="154"/>
      <c r="B512" s="56"/>
      <c r="C512" s="24">
        <f t="shared" si="85"/>
        <v>1</v>
      </c>
      <c r="D512" s="715"/>
      <c r="E512" s="24">
        <f t="shared" si="86"/>
        <v>0.1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ht="13">
      <c r="A513" s="154"/>
      <c r="B513" s="56"/>
      <c r="C513" s="24">
        <f t="shared" si="85"/>
        <v>1</v>
      </c>
      <c r="D513" s="715"/>
      <c r="E513" s="24">
        <f t="shared" si="86"/>
        <v>0.1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ht="13">
      <c r="A514" s="154"/>
      <c r="B514" s="56"/>
      <c r="C514" s="24">
        <f t="shared" si="85"/>
        <v>1</v>
      </c>
      <c r="D514" s="715"/>
      <c r="E514" s="24">
        <f t="shared" si="86"/>
        <v>0.1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ht="13">
      <c r="A515" s="154"/>
      <c r="B515" s="56"/>
      <c r="C515" s="24">
        <f t="shared" si="85"/>
        <v>1</v>
      </c>
      <c r="D515" s="715"/>
      <c r="E515" s="24">
        <f t="shared" si="86"/>
        <v>0.1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ht="13">
      <c r="A516" s="154"/>
      <c r="B516" s="56"/>
      <c r="C516" s="24">
        <f t="shared" si="85"/>
        <v>1</v>
      </c>
      <c r="D516" s="715"/>
      <c r="E516" s="24">
        <f t="shared" si="86"/>
        <v>0.1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ht="13">
      <c r="A517" s="154"/>
      <c r="B517" s="56"/>
      <c r="C517" s="24">
        <f t="shared" si="85"/>
        <v>1</v>
      </c>
      <c r="D517" s="715"/>
      <c r="E517" s="24">
        <f t="shared" si="86"/>
        <v>0.1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ht="13">
      <c r="A518" s="154"/>
      <c r="B518" s="56"/>
      <c r="C518" s="24">
        <f t="shared" si="85"/>
        <v>1</v>
      </c>
      <c r="D518" s="715"/>
      <c r="E518" s="24">
        <f t="shared" si="86"/>
        <v>0.1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ht="13">
      <c r="A519" s="154"/>
      <c r="B519" s="56"/>
      <c r="C519" s="24">
        <f t="shared" si="85"/>
        <v>1</v>
      </c>
      <c r="D519" s="715"/>
      <c r="E519" s="24">
        <f t="shared" si="86"/>
        <v>0.1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ht="13">
      <c r="A520" s="154"/>
      <c r="B520" s="56"/>
      <c r="C520" s="24">
        <f t="shared" si="85"/>
        <v>1</v>
      </c>
      <c r="D520" s="715"/>
      <c r="E520" s="24">
        <f t="shared" si="86"/>
        <v>0.1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ht="13">
      <c r="A521" s="154"/>
      <c r="B521" s="56"/>
      <c r="C521" s="24">
        <f t="shared" si="85"/>
        <v>1</v>
      </c>
      <c r="D521" s="715"/>
      <c r="E521" s="24">
        <f t="shared" si="86"/>
        <v>0.1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ht="13">
      <c r="A522" s="154"/>
      <c r="B522" s="56"/>
      <c r="C522" s="24">
        <f t="shared" si="85"/>
        <v>1</v>
      </c>
      <c r="D522" s="715"/>
      <c r="E522" s="24">
        <f t="shared" si="86"/>
        <v>0.1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ht="13">
      <c r="A523" s="154"/>
      <c r="B523" s="56"/>
      <c r="C523" s="24">
        <f t="shared" si="85"/>
        <v>1</v>
      </c>
      <c r="D523" s="715"/>
      <c r="E523" s="24">
        <f t="shared" si="86"/>
        <v>0.1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ht="13">
      <c r="A524" s="154"/>
      <c r="B524" s="56"/>
      <c r="C524" s="24">
        <f t="shared" si="85"/>
        <v>1</v>
      </c>
      <c r="D524" s="715"/>
      <c r="E524" s="24">
        <f t="shared" si="86"/>
        <v>0.1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L80:N84"/>
  <sheetViews>
    <sheetView topLeftCell="A13" workbookViewId="0">
      <selection activeCell="M84" sqref="M84"/>
    </sheetView>
  </sheetViews>
  <sheetFormatPr defaultRowHeight="14"/>
  <sheetData>
    <row r="80" spans="12:14">
      <c r="L80">
        <v>1</v>
      </c>
      <c r="M80">
        <v>1</v>
      </c>
      <c r="N80">
        <f>M80*L80</f>
        <v>1</v>
      </c>
    </row>
    <row r="81" spans="12:14">
      <c r="L81">
        <v>1</v>
      </c>
      <c r="M81">
        <v>0.6</v>
      </c>
      <c r="N81">
        <f>M81*L81</f>
        <v>0.6</v>
      </c>
    </row>
    <row r="82" spans="12:14">
      <c r="L82">
        <v>2</v>
      </c>
      <c r="M82">
        <f>N82/L82</f>
        <v>0.8</v>
      </c>
      <c r="N82">
        <f>SUM(N80:N81)</f>
        <v>1.6</v>
      </c>
    </row>
    <row r="84" spans="12:14">
      <c r="L84">
        <v>25000</v>
      </c>
      <c r="M84">
        <f>L84*M82</f>
        <v>20000</v>
      </c>
    </row>
  </sheetData>
  <phoneticPr fontId="14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topLeftCell="A22" zoomScale="70" zoomScaleNormal="70" zoomScaleSheetLayoutView="90" workbookViewId="0">
      <selection activeCell="F41" sqref="F41"/>
    </sheetView>
  </sheetViews>
  <sheetFormatPr defaultColWidth="9" defaultRowHeight="12.5"/>
  <cols>
    <col min="1" max="1" width="9" style="297" customWidth="1"/>
    <col min="2" max="2" width="20.6328125" style="702" customWidth="1"/>
    <col min="3" max="3" width="11.90625" style="702" customWidth="1"/>
    <col min="4" max="4" width="40.453125" style="297" customWidth="1"/>
    <col min="5" max="5" width="15.90625" style="297" customWidth="1"/>
    <col min="6" max="6" width="10.6328125" style="297" customWidth="1"/>
    <col min="7" max="7" width="4.90625" style="297" customWidth="1"/>
    <col min="8" max="8" width="8.453125" style="297" customWidth="1"/>
    <col min="9" max="9" width="21.08984375" style="297" customWidth="1"/>
    <col min="10" max="10" width="12.08984375" style="297" customWidth="1"/>
    <col min="11" max="11" width="45.08984375" style="1929" customWidth="1"/>
    <col min="12" max="12" width="16.36328125" style="297" customWidth="1"/>
    <col min="13" max="13" width="13" style="297" customWidth="1"/>
    <col min="14" max="14" width="13.90625" style="1837" customWidth="1"/>
    <col min="15" max="15" width="5.08984375" style="1837" customWidth="1"/>
    <col min="16" max="16" width="25.90625" style="1837" customWidth="1"/>
    <col min="17" max="17" width="13.90625" style="1837" customWidth="1"/>
    <col min="18" max="18" width="20.453125" style="1837" customWidth="1"/>
    <col min="19" max="19" width="13.08984375" style="1837" customWidth="1"/>
    <col min="20" max="37" width="9" style="1837"/>
    <col min="38" max="16384" width="9" style="297"/>
  </cols>
  <sheetData>
    <row r="1" spans="1:37" s="332" customFormat="1" ht="21">
      <c r="A1" s="1828" t="s">
        <v>1583</v>
      </c>
      <c r="B1" s="777"/>
      <c r="C1" s="1832" t="s">
        <v>1372</v>
      </c>
      <c r="D1" s="1815" t="s">
        <v>3274</v>
      </c>
      <c r="E1" s="1816" t="s">
        <v>1381</v>
      </c>
      <c r="F1" s="1278">
        <f ca="1">J53</f>
        <v>31.54</v>
      </c>
      <c r="G1" s="1831">
        <f>MATCH(C1,'数据-取费表'!A6:A16,0)+5</f>
        <v>9</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1509</v>
      </c>
      <c r="B2" s="1839">
        <f ca="1">C40+J29+L46</f>
        <v>23051</v>
      </c>
      <c r="C2" s="1840" t="s">
        <v>1510</v>
      </c>
      <c r="D2" s="1840"/>
      <c r="E2" s="1841"/>
      <c r="F2" s="1842"/>
      <c r="G2" s="1843"/>
      <c r="H2" s="1835"/>
      <c r="I2" s="1835"/>
      <c r="J2" s="1835"/>
      <c r="K2" s="1836"/>
      <c r="L2" s="1835"/>
      <c r="M2" s="1835"/>
    </row>
    <row r="3" spans="1:37" ht="18" customHeight="1" thickBot="1">
      <c r="A3" s="1844" t="s">
        <v>1511</v>
      </c>
      <c r="B3" s="1845">
        <f ca="1">IF(ISERROR(B2*10000/F43),0,ROUND(B2*10000/F43,0))</f>
        <v>20715</v>
      </c>
      <c r="C3" s="1840" t="s">
        <v>1512</v>
      </c>
      <c r="D3" s="1840"/>
      <c r="E3" s="1841"/>
      <c r="F3" s="1842"/>
      <c r="G3" s="1843"/>
      <c r="H3" s="739" t="s">
        <v>1582</v>
      </c>
      <c r="I3" s="1835"/>
      <c r="J3" s="1835"/>
      <c r="K3" s="1836"/>
      <c r="L3" s="1835"/>
      <c r="M3" s="1835"/>
    </row>
    <row r="4" spans="1:37" ht="18" customHeight="1">
      <c r="A4" s="335" t="s">
        <v>1390</v>
      </c>
      <c r="B4" s="336" t="s">
        <v>1391</v>
      </c>
      <c r="C4" s="336" t="s">
        <v>1392</v>
      </c>
      <c r="D4" s="336" t="s">
        <v>1393</v>
      </c>
      <c r="E4" s="337" t="s">
        <v>1394</v>
      </c>
      <c r="F4" s="338"/>
      <c r="G4" s="1846"/>
      <c r="H4" s="335" t="s">
        <v>1390</v>
      </c>
      <c r="I4" s="336" t="s">
        <v>1391</v>
      </c>
      <c r="J4" s="336" t="s">
        <v>1392</v>
      </c>
      <c r="K4" s="336" t="s">
        <v>1393</v>
      </c>
      <c r="L4" s="337" t="s">
        <v>1394</v>
      </c>
      <c r="M4" s="338"/>
    </row>
    <row r="5" spans="1:37" ht="18" customHeight="1">
      <c r="A5" s="339">
        <v>1</v>
      </c>
      <c r="B5" s="340" t="s">
        <v>1395</v>
      </c>
      <c r="C5" s="1287">
        <f ca="1">C6+C10+C12</f>
        <v>1383</v>
      </c>
      <c r="D5" s="1817" t="s">
        <v>1396</v>
      </c>
      <c r="E5" s="1288"/>
      <c r="F5" s="1289"/>
      <c r="G5" s="1846"/>
      <c r="H5" s="339">
        <v>1</v>
      </c>
      <c r="I5" s="340" t="s">
        <v>1395</v>
      </c>
      <c r="J5" s="1287">
        <f ca="1">J6+J10+J12</f>
        <v>0</v>
      </c>
      <c r="K5" s="1817" t="s">
        <v>1396</v>
      </c>
      <c r="L5" s="1288"/>
      <c r="M5" s="1289"/>
    </row>
    <row r="6" spans="1:37" ht="18" customHeight="1">
      <c r="A6" s="1286" t="s">
        <v>1031</v>
      </c>
      <c r="B6" s="3289" t="s">
        <v>1397</v>
      </c>
      <c r="C6" s="1291">
        <f ca="1">ROUND(F6*F8*F7*(1-F9)/10000,0)</f>
        <v>1381</v>
      </c>
      <c r="D6" s="159" t="s">
        <v>3021</v>
      </c>
      <c r="E6" s="342" t="s">
        <v>1399</v>
      </c>
      <c r="F6" s="343">
        <f ca="1">INDIRECT("'数据-取费表'!u"&amp;$G$1)</f>
        <v>4</v>
      </c>
      <c r="G6" s="1846"/>
      <c r="H6" s="1286" t="s">
        <v>1031</v>
      </c>
      <c r="I6" s="3289" t="s">
        <v>1397</v>
      </c>
      <c r="J6" s="341">
        <f ca="1">ROUND(M6*M8*M7*(1-M9)/10000,0)</f>
        <v>0</v>
      </c>
      <c r="K6" s="159" t="s">
        <v>3020</v>
      </c>
      <c r="L6" s="342" t="s">
        <v>1399</v>
      </c>
      <c r="M6" s="343">
        <f ca="1">INDIRECT("'数据-取费表'!z"&amp;$G$1)</f>
        <v>0</v>
      </c>
    </row>
    <row r="7" spans="1:37" ht="18" customHeight="1">
      <c r="A7" s="1290"/>
      <c r="B7" s="3290"/>
      <c r="C7" s="1292"/>
      <c r="D7" s="347"/>
      <c r="E7" s="1293" t="s">
        <v>1400</v>
      </c>
      <c r="F7" s="343">
        <f ca="1">IF(INDIRECT("'数据-取费表'!ah"&amp;$G$1)="",INDIRECT("'数据-取费表'!k"&amp;$G$1),INDIRECT("'数据-取费表'!ah"&amp;$G$1))</f>
        <v>11127.55</v>
      </c>
      <c r="G7" s="1846"/>
      <c r="H7" s="344"/>
      <c r="I7" s="3290"/>
      <c r="J7" s="346"/>
      <c r="K7" s="347"/>
      <c r="L7" s="342" t="s">
        <v>1400</v>
      </c>
      <c r="M7" s="343">
        <f ca="1">F7</f>
        <v>11127.55</v>
      </c>
    </row>
    <row r="8" spans="1:37" ht="18" customHeight="1">
      <c r="A8" s="344"/>
      <c r="B8" s="3290"/>
      <c r="C8" s="346"/>
      <c r="D8" s="347"/>
      <c r="E8" s="342" t="s">
        <v>1401</v>
      </c>
      <c r="F8" s="343">
        <f ca="1">INDIRECT("'数据-取费表'!ai"&amp;$G$1)</f>
        <v>365</v>
      </c>
      <c r="G8" s="1846"/>
      <c r="H8" s="344"/>
      <c r="I8" s="3290"/>
      <c r="J8" s="346"/>
      <c r="K8" s="347"/>
      <c r="L8" s="342" t="s">
        <v>1401</v>
      </c>
      <c r="M8" s="343">
        <f ca="1">INDIRECT("'数据-取费表'!ai"&amp;$G$1)</f>
        <v>365</v>
      </c>
    </row>
    <row r="9" spans="1:37" ht="18" customHeight="1">
      <c r="A9" s="344"/>
      <c r="B9" s="3291"/>
      <c r="C9" s="346"/>
      <c r="D9" s="347"/>
      <c r="E9" s="342" t="s">
        <v>1402</v>
      </c>
      <c r="F9" s="352">
        <f ca="1">INDIRECT("'数据-取费表'!w"&amp;$G$1)</f>
        <v>0.15</v>
      </c>
      <c r="G9" s="1846"/>
      <c r="H9" s="344"/>
      <c r="I9" s="3291"/>
      <c r="J9" s="346"/>
      <c r="K9" s="347"/>
      <c r="L9" s="353" t="s">
        <v>1402</v>
      </c>
      <c r="M9" s="354">
        <f ca="1">INDIRECT("'数据-取费表'!ab"&amp;$G$1)</f>
        <v>0</v>
      </c>
    </row>
    <row r="10" spans="1:37" ht="18" customHeight="1">
      <c r="A10" s="1286" t="s">
        <v>1035</v>
      </c>
      <c r="B10" s="1818" t="s">
        <v>1403</v>
      </c>
      <c r="C10" s="356">
        <f ca="1">ROUND(IF(F10="押一",C6/12*F11,IF(F10="押二",C6/12*2*F11,IF(F10="押三",C6/12*3*F11,C11*F11))),0)</f>
        <v>2</v>
      </c>
      <c r="D10" s="1819" t="s">
        <v>3030</v>
      </c>
      <c r="E10" s="353" t="s">
        <v>1404</v>
      </c>
      <c r="F10" s="1361" t="s">
        <v>3275</v>
      </c>
      <c r="G10" s="1846"/>
      <c r="H10" s="1286" t="s">
        <v>1035</v>
      </c>
      <c r="I10" s="1818" t="s">
        <v>1403</v>
      </c>
      <c r="J10" s="341">
        <f ca="1">ROUND(IF(M10="押一",J6/12*M11,IF(M10="押二",J6/12*2*M11,IF(M10="押三",J6/12*3*M11,J11*M11))),0)</f>
        <v>0</v>
      </c>
      <c r="K10" s="1819" t="s">
        <v>3029</v>
      </c>
      <c r="L10" s="353" t="s">
        <v>1404</v>
      </c>
      <c r="M10" s="1361" t="s">
        <v>1405</v>
      </c>
    </row>
    <row r="11" spans="1:37" ht="18" customHeight="1">
      <c r="A11" s="348"/>
      <c r="B11" s="1820" t="s">
        <v>1382</v>
      </c>
      <c r="C11" s="1173"/>
      <c r="D11" s="1821"/>
      <c r="E11" s="353" t="s">
        <v>1406</v>
      </c>
      <c r="F11" s="354">
        <f ca="1">'数据-取费表'!B39</f>
        <v>1.4999999999999999E-2</v>
      </c>
      <c r="G11" s="1846"/>
      <c r="H11" s="1294"/>
      <c r="I11" s="1820" t="s">
        <v>1382</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4565</v>
      </c>
      <c r="D13" s="1326" t="s">
        <v>1409</v>
      </c>
      <c r="E13" s="1326" t="s">
        <v>1410</v>
      </c>
      <c r="F13" s="1327">
        <f ca="1">INDIRECT("'数据-取费表'!y"&amp;$G$1)</f>
        <v>1</v>
      </c>
      <c r="G13" s="1846"/>
      <c r="H13" s="1324">
        <v>2</v>
      </c>
      <c r="I13" s="1325" t="s">
        <v>1408</v>
      </c>
      <c r="J13" s="1285">
        <f ca="1">ROUND(J14*J15,0)</f>
        <v>0</v>
      </c>
      <c r="K13" s="1332" t="s">
        <v>1409</v>
      </c>
      <c r="L13" s="1847"/>
      <c r="M13" s="1848"/>
    </row>
    <row r="14" spans="1:37" ht="18" customHeight="1">
      <c r="A14" s="1196" t="s">
        <v>1030</v>
      </c>
      <c r="B14" s="342" t="s">
        <v>1411</v>
      </c>
      <c r="C14" s="358">
        <f ca="1">INDIRECT("'数据-取费表'!m"&amp;$G$1)+INDIRECT("'数据-取费表'!t"&amp;$G$1)</f>
        <v>3028</v>
      </c>
      <c r="D14" s="1795" t="s">
        <v>1412</v>
      </c>
      <c r="E14" s="1789"/>
      <c r="F14" s="359"/>
      <c r="G14" s="1846"/>
      <c r="H14" s="1196" t="s">
        <v>1031</v>
      </c>
      <c r="I14" s="342" t="s">
        <v>1413</v>
      </c>
      <c r="J14" s="24">
        <f ca="1">C29</f>
        <v>4565</v>
      </c>
      <c r="K14" s="15"/>
      <c r="L14" s="974"/>
      <c r="M14" s="975"/>
    </row>
    <row r="15" spans="1:37" s="1853" customFormat="1" ht="18" customHeight="1" thickBot="1">
      <c r="A15" s="1196" t="s">
        <v>1032</v>
      </c>
      <c r="B15" s="342" t="s">
        <v>1414</v>
      </c>
      <c r="C15" s="24">
        <f ca="1">ROUND(C14*F15,0)</f>
        <v>91</v>
      </c>
      <c r="D15" s="360" t="s">
        <v>1415</v>
      </c>
      <c r="E15" s="360" t="s">
        <v>1416</v>
      </c>
      <c r="F15" s="361">
        <f>'数据-取费表'!B33</f>
        <v>0.03</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ROUND(INDIRECT("'数据-取费表'!m"&amp;$G$1)*F16,0)</f>
        <v>0</v>
      </c>
      <c r="D16" s="342" t="s">
        <v>1415</v>
      </c>
      <c r="E16" s="342" t="s">
        <v>1416</v>
      </c>
      <c r="F16" s="362">
        <f ca="1">IF(INDIRECT("'数据-取费表'!c"&amp;$G$1)="住宅",'数据-取费表'!B34,0)</f>
        <v>0</v>
      </c>
      <c r="G16" s="1846"/>
      <c r="H16" s="1324" t="s">
        <v>1026</v>
      </c>
      <c r="I16" s="1325" t="s">
        <v>1418</v>
      </c>
      <c r="J16" s="350">
        <f ca="1">ROUND(J17+J22+J23+J24,0)</f>
        <v>85</v>
      </c>
      <c r="K16" s="1332" t="s">
        <v>1419</v>
      </c>
      <c r="L16" s="1333"/>
      <c r="M16" s="1289"/>
    </row>
    <row r="17" spans="1:37" s="1853" customFormat="1" ht="18" customHeight="1">
      <c r="A17" s="1196" t="s">
        <v>1384</v>
      </c>
      <c r="B17" s="342" t="s">
        <v>1420</v>
      </c>
      <c r="C17" s="24">
        <f ca="1">ROUND(F17*(F43+INDIRECT("'数据-取费表'!S"&amp;$G$1))/10000,0)</f>
        <v>252</v>
      </c>
      <c r="D17" s="342" t="s">
        <v>1421</v>
      </c>
      <c r="E17" s="342" t="s">
        <v>1422</v>
      </c>
      <c r="F17" s="26">
        <f>'数据-取费表'!B35</f>
        <v>200</v>
      </c>
      <c r="G17" s="1849"/>
      <c r="H17" s="1196" t="s">
        <v>1031</v>
      </c>
      <c r="I17" s="342" t="s">
        <v>1423</v>
      </c>
      <c r="J17" s="24">
        <f ca="1">ROUND(IF(项目基本情况!B11="自然人",J6*M17/(1+'数据-取费表'!C42),J18+J19+J20),1)</f>
        <v>39.299999999999997</v>
      </c>
      <c r="K17" s="1795" t="s">
        <v>1424</v>
      </c>
      <c r="L17" s="1793"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45</v>
      </c>
      <c r="D18" s="342" t="s">
        <v>1415</v>
      </c>
      <c r="E18" s="342" t="s">
        <v>1416</v>
      </c>
      <c r="F18" s="362">
        <f>'数据-取费表'!B36</f>
        <v>1.4999999999999999E-2</v>
      </c>
      <c r="G18" s="1849"/>
      <c r="H18" s="1196" t="s">
        <v>1030</v>
      </c>
      <c r="I18" s="342" t="s">
        <v>1427</v>
      </c>
      <c r="J18" s="24">
        <f ca="1">ROUND(J6*M18/(1+'数据-取费表'!C42),2)</f>
        <v>0</v>
      </c>
      <c r="K18" s="1793"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3416</v>
      </c>
      <c r="D19" s="135" t="s">
        <v>1430</v>
      </c>
      <c r="E19" s="1813"/>
      <c r="F19" s="26"/>
      <c r="G19" s="1846"/>
      <c r="H19" s="1196" t="s">
        <v>1032</v>
      </c>
      <c r="I19" s="342" t="s">
        <v>1431</v>
      </c>
      <c r="J19" s="24">
        <f ca="1">IF(K19="按租金收入计税",ROUND(J6*M19/(1+'数据-取费表'!C42),2),ROUND(C29*M19*0.7,2))</f>
        <v>38.35</v>
      </c>
      <c r="K19" s="1823" t="s">
        <v>1432</v>
      </c>
      <c r="L19" s="342" t="s">
        <v>1416</v>
      </c>
      <c r="M19" s="362">
        <f>IF(K19="按租金收入计税",'数据-取费表'!B51,'数据-取费表'!B50)</f>
        <v>1.2E-2</v>
      </c>
    </row>
    <row r="20" spans="1:37" s="1853" customFormat="1" ht="18" customHeight="1">
      <c r="A20" s="1196" t="s">
        <v>1035</v>
      </c>
      <c r="B20" s="342" t="s">
        <v>1433</v>
      </c>
      <c r="C20" s="24">
        <f ca="1">ROUND(C19*F20,0)</f>
        <v>68</v>
      </c>
      <c r="D20" s="364" t="s">
        <v>1434</v>
      </c>
      <c r="E20" s="342" t="s">
        <v>1416</v>
      </c>
      <c r="F20" s="362">
        <f>'数据-取费表'!B37</f>
        <v>0.02</v>
      </c>
      <c r="G20" s="1849"/>
      <c r="H20" s="1196" t="s">
        <v>1383</v>
      </c>
      <c r="I20" s="159" t="s">
        <v>1435</v>
      </c>
      <c r="J20" s="25">
        <f ca="1">ROUND(M20*M21/10000,2)</f>
        <v>0.93</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18</v>
      </c>
      <c r="D21" s="364" t="s">
        <v>1439</v>
      </c>
      <c r="E21" s="342" t="s">
        <v>1440</v>
      </c>
      <c r="F21" s="362">
        <f>'数据-取费表'!B38</f>
        <v>0.02</v>
      </c>
      <c r="G21" s="1849"/>
      <c r="H21" s="367"/>
      <c r="I21" s="351"/>
      <c r="J21" s="29"/>
      <c r="K21" s="368"/>
      <c r="L21" s="342" t="s">
        <v>1441</v>
      </c>
      <c r="M21" s="343">
        <f ca="1">INDIRECT("'数据-取费表'!r"&amp;$G$1)</f>
        <v>6197.03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1813"/>
      <c r="F22" s="26"/>
      <c r="G22" s="1846"/>
      <c r="H22" s="1196" t="s">
        <v>1035</v>
      </c>
      <c r="I22" s="342" t="s">
        <v>1443</v>
      </c>
      <c r="J22" s="24">
        <f ca="1">ROUND(J14*M22,1)</f>
        <v>45.7</v>
      </c>
      <c r="K22" s="1793" t="s">
        <v>1444</v>
      </c>
      <c r="L22" s="342" t="s">
        <v>1416</v>
      </c>
      <c r="M22" s="369">
        <f ca="1">INDIRECT("'数据-取费表'!Ak"&amp;$G$1)</f>
        <v>0.01</v>
      </c>
    </row>
    <row r="23" spans="1:37" s="1853" customFormat="1" ht="18" customHeight="1">
      <c r="A23" s="1196" t="s">
        <v>1030</v>
      </c>
      <c r="B23" s="342" t="s">
        <v>1445</v>
      </c>
      <c r="C23" s="24">
        <f ca="1">IF('数据-取费表'!B22&lt;=1,ROUND(C19*F24*F23/2,0)+ROUND(C20*F24*F23/2,0),ROUND(C19*(POWER((1+F24),F23/2)-1),0)+ROUND(C20*(POWER((1+F24),F23/2)-1),0))</f>
        <v>208</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ROUND(J13*M23,1)</f>
        <v>0</v>
      </c>
      <c r="K23" s="1793" t="s">
        <v>1448</v>
      </c>
      <c r="L23" s="342" t="s">
        <v>1449</v>
      </c>
      <c r="M23" s="371">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1450</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1387</v>
      </c>
      <c r="I24" s="1335" t="s">
        <v>1433</v>
      </c>
      <c r="J24" s="1336">
        <f ca="1">ROUND(J5*M24,1)</f>
        <v>0</v>
      </c>
      <c r="K24" s="1337" t="s">
        <v>1453</v>
      </c>
      <c r="L24" s="1335" t="s">
        <v>1449</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1454</v>
      </c>
      <c r="B25" s="342" t="s">
        <v>1455</v>
      </c>
      <c r="C25" s="24"/>
      <c r="D25" s="135" t="s">
        <v>1456</v>
      </c>
      <c r="E25" s="1813"/>
      <c r="F25" s="26"/>
      <c r="G25" s="1846"/>
      <c r="H25" s="1324" t="s">
        <v>1027</v>
      </c>
      <c r="I25" s="1339" t="s">
        <v>1457</v>
      </c>
      <c r="J25" s="350">
        <f ca="1">J5-J16</f>
        <v>-85</v>
      </c>
      <c r="K25" s="1340" t="s">
        <v>1458</v>
      </c>
      <c r="L25" s="1341"/>
      <c r="M25" s="1342"/>
    </row>
    <row r="26" spans="1:37" ht="13">
      <c r="A26" s="1196" t="s">
        <v>1030</v>
      </c>
      <c r="B26" s="342" t="s">
        <v>1459</v>
      </c>
      <c r="C26" s="24">
        <f ca="1">ROUND((C19+C20)*F26,0)</f>
        <v>523</v>
      </c>
      <c r="D26" s="364" t="s">
        <v>1460</v>
      </c>
      <c r="E26" s="353" t="s">
        <v>1461</v>
      </c>
      <c r="F26" s="352">
        <f ca="1">INDIRECT("'数据-取费表'!q"&amp;$G$1)</f>
        <v>0.15</v>
      </c>
      <c r="G26" s="1846"/>
      <c r="H26" s="339" t="s">
        <v>1028</v>
      </c>
      <c r="I26" s="340" t="s">
        <v>1462</v>
      </c>
      <c r="J26" s="341">
        <f ca="1">IF(J5&lt;&gt;0,ROUND(J25*(1-((1+M28)/(1+M26))^M27)/(M26-M28),0),0)</f>
        <v>0</v>
      </c>
      <c r="K26" s="365" t="s">
        <v>1463</v>
      </c>
      <c r="L26" s="342" t="s">
        <v>1464</v>
      </c>
      <c r="M26" s="352">
        <f ca="1">INDIRECT("'数据-取费表'!I"&amp;$G$1)</f>
        <v>5.5E-2</v>
      </c>
    </row>
    <row r="27" spans="1:37" ht="18" customHeight="1">
      <c r="A27" s="1196" t="s">
        <v>1032</v>
      </c>
      <c r="B27" s="342" t="s">
        <v>1465</v>
      </c>
      <c r="C27" s="24">
        <f ca="1">ROUND(F21*F26,4)</f>
        <v>3.0000000000000001E-3</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4565</v>
      </c>
      <c r="D29" s="1337"/>
      <c r="E29" s="1335"/>
      <c r="F29" s="1338"/>
      <c r="G29" s="1849"/>
      <c r="H29" s="375" t="s">
        <v>1029</v>
      </c>
      <c r="I29" s="376" t="s">
        <v>1473</v>
      </c>
      <c r="J29" s="377">
        <f ca="1">ROUND(J26/(1+F40)^F41,0)</f>
        <v>0</v>
      </c>
      <c r="K29" s="378" t="s">
        <v>1474</v>
      </c>
      <c r="L29" s="379"/>
      <c r="M29" s="380">
        <f ca="1">INDIRECT("'数据-取费表'!k"&amp;$G$1)</f>
        <v>11127.55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297</v>
      </c>
      <c r="D30" s="1332" t="s">
        <v>1419</v>
      </c>
      <c r="E30" s="1333"/>
      <c r="F30" s="1289"/>
      <c r="G30" s="1846"/>
      <c r="H30" s="740"/>
      <c r="I30" s="741"/>
      <c r="J30" s="742"/>
      <c r="K30" s="743"/>
      <c r="L30" s="744"/>
      <c r="M30" s="745"/>
    </row>
    <row r="31" spans="1:37" ht="18" customHeight="1">
      <c r="A31" s="1196" t="s">
        <v>1031</v>
      </c>
      <c r="B31" s="342" t="s">
        <v>1423</v>
      </c>
      <c r="C31" s="24">
        <f ca="1">ROUND(IF(项目基本情况!B11="自然人",C6*F31/(1+'数据-取费表'!C42),C32+C33+C34),1)</f>
        <v>231.1</v>
      </c>
      <c r="D31" s="1795" t="s">
        <v>1424</v>
      </c>
      <c r="E31" s="1793"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IF(项目基本情况!B11="自然人","——",ROUND(C6*F32/(1+'数据-取费表'!C42),2))</f>
        <v>72.34</v>
      </c>
      <c r="D32" s="1793"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IF(项目基本情况!B11="自然人","——",IF(D33="按租金收入计税",ROUND(C6*F33/(1+'数据-取费表'!C42),2),IF(D33="按房产原值计税",ROUND(C29*F33*0.7,2),INDIRECT("'数据-取费表'!Aj"&amp;$G$1))))</f>
        <v>157.83000000000001</v>
      </c>
      <c r="D33" s="1823" t="s">
        <v>3276</v>
      </c>
      <c r="E33" s="342" t="s">
        <v>1416</v>
      </c>
      <c r="F33" s="362">
        <f>IF(D33="按票据","——",IF(D33="按租金收入计税",'数据-取费表'!B51,'数据-取费表'!B50))</f>
        <v>0.12</v>
      </c>
      <c r="G33" s="1846"/>
      <c r="H33" s="1854"/>
      <c r="I33" s="1855"/>
      <c r="J33" s="1856"/>
      <c r="K33" s="1857"/>
      <c r="L33" s="1854"/>
      <c r="M33" s="1854"/>
    </row>
    <row r="34" spans="1:18" ht="18" customHeight="1">
      <c r="A34" s="1286" t="s">
        <v>1383</v>
      </c>
      <c r="B34" s="159" t="s">
        <v>1435</v>
      </c>
      <c r="C34" s="25">
        <f ca="1">IF(项目基本情况!B11="自然人","——",ROUND(F34*F35/10000,2))</f>
        <v>0.93</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6197.03</v>
      </c>
      <c r="G35" s="1846"/>
      <c r="H35" s="740"/>
      <c r="I35" s="1855"/>
      <c r="J35" s="1856"/>
      <c r="K35" s="1857"/>
      <c r="L35" s="1854"/>
      <c r="M35" s="1854"/>
    </row>
    <row r="36" spans="1:18" ht="18" customHeight="1">
      <c r="A36" s="1347" t="s">
        <v>1035</v>
      </c>
      <c r="B36" s="342" t="s">
        <v>1443</v>
      </c>
      <c r="C36" s="24">
        <f ca="1">ROUND(C29*F36,1)</f>
        <v>45.7</v>
      </c>
      <c r="D36" s="1793" t="s">
        <v>1476</v>
      </c>
      <c r="E36" s="342" t="s">
        <v>1416</v>
      </c>
      <c r="F36" s="369">
        <f ca="1">INDIRECT("'数据-取费表'!Ak"&amp;$G$1)</f>
        <v>0.01</v>
      </c>
      <c r="G36" s="1846"/>
      <c r="H36" s="1854"/>
      <c r="I36" s="1855"/>
      <c r="J36" s="1856"/>
      <c r="K36" s="746"/>
      <c r="L36" s="1854"/>
      <c r="M36" s="1854"/>
    </row>
    <row r="37" spans="1:18" ht="18" customHeight="1">
      <c r="A37" s="1196" t="s">
        <v>1071</v>
      </c>
      <c r="B37" s="342" t="s">
        <v>1447</v>
      </c>
      <c r="C37" s="24">
        <f ca="1">ROUND(C13*F37,1)</f>
        <v>6.8</v>
      </c>
      <c r="D37" s="1793" t="s">
        <v>1448</v>
      </c>
      <c r="E37" s="342" t="s">
        <v>1449</v>
      </c>
      <c r="F37" s="371">
        <f ca="1">INDIRECT("'数据-取费表'!Al"&amp;$G$1)</f>
        <v>1.5E-3</v>
      </c>
      <c r="G37" s="1846"/>
      <c r="H37" s="1854"/>
      <c r="I37" s="1855"/>
      <c r="J37" s="1856"/>
      <c r="K37" s="746"/>
      <c r="L37" s="1854"/>
      <c r="M37" s="1854"/>
    </row>
    <row r="38" spans="1:18" ht="18" customHeight="1" thickBot="1">
      <c r="A38" s="1334" t="s">
        <v>1387</v>
      </c>
      <c r="B38" s="1335" t="s">
        <v>1433</v>
      </c>
      <c r="C38" s="1336">
        <f ca="1">ROUND(C5*F38,1)</f>
        <v>13.8</v>
      </c>
      <c r="D38" s="1337" t="s">
        <v>1453</v>
      </c>
      <c r="E38" s="1335" t="s">
        <v>1449</v>
      </c>
      <c r="F38" s="1331">
        <f ca="1">INDIRECT("'数据-取费表'!Am"&amp;$G$1)</f>
        <v>0.01</v>
      </c>
      <c r="G38" s="1846"/>
      <c r="H38" s="1854"/>
      <c r="I38" s="1855"/>
      <c r="J38" s="1856"/>
      <c r="K38" s="1860"/>
      <c r="L38" s="1854"/>
      <c r="M38" s="1854"/>
    </row>
    <row r="39" spans="1:18" ht="24.65" customHeight="1" thickTop="1">
      <c r="A39" s="1324" t="s">
        <v>1027</v>
      </c>
      <c r="B39" s="1339" t="s">
        <v>1477</v>
      </c>
      <c r="C39" s="350">
        <f ca="1">C5-C30</f>
        <v>1086</v>
      </c>
      <c r="D39" s="1340" t="s">
        <v>1478</v>
      </c>
      <c r="E39" s="1341"/>
      <c r="F39" s="1342"/>
      <c r="G39" s="1846"/>
      <c r="H39" s="1854"/>
      <c r="I39" s="1855"/>
      <c r="J39" s="1856"/>
      <c r="K39" s="1860"/>
      <c r="L39" s="1854"/>
      <c r="M39" s="1854"/>
    </row>
    <row r="40" spans="1:18" ht="18" customHeight="1">
      <c r="A40" s="339" t="s">
        <v>1028</v>
      </c>
      <c r="B40" s="340" t="s">
        <v>1479</v>
      </c>
      <c r="C40" s="341">
        <f ca="1">ROUND(C39*(1-((1+F42)/(1+F40))^F41)/(F40-F42),0)</f>
        <v>23051</v>
      </c>
      <c r="D40" s="365" t="s">
        <v>1463</v>
      </c>
      <c r="E40" s="342" t="s">
        <v>1464</v>
      </c>
      <c r="F40" s="352">
        <f ca="1">INDIRECT("'数据-取费表'!I"&amp;$G$1)</f>
        <v>5.5E-2</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31.54</v>
      </c>
      <c r="G41" s="1846"/>
      <c r="H41" s="727"/>
      <c r="I41" s="1855"/>
      <c r="J41" s="1856"/>
      <c r="K41" s="746"/>
      <c r="L41" s="727"/>
      <c r="M41" s="727"/>
    </row>
    <row r="42" spans="1:18" ht="18" customHeight="1">
      <c r="A42" s="348"/>
      <c r="B42" s="349"/>
      <c r="C42" s="350"/>
      <c r="D42" s="368"/>
      <c r="E42" s="342" t="s">
        <v>1471</v>
      </c>
      <c r="F42" s="352">
        <f ca="1">INDIRECT("'数据-取费表'!v"&amp;$G$1)</f>
        <v>0.03</v>
      </c>
      <c r="G42" s="1846"/>
      <c r="H42" s="727"/>
      <c r="I42" s="1855"/>
      <c r="J42" s="1856"/>
      <c r="K42" s="746"/>
      <c r="L42" s="727"/>
      <c r="M42" s="727"/>
    </row>
    <row r="43" spans="1:18" ht="18" customHeight="1" thickBot="1">
      <c r="A43" s="375" t="s">
        <v>1029</v>
      </c>
      <c r="B43" s="376" t="s">
        <v>1481</v>
      </c>
      <c r="C43" s="377">
        <f ca="1">ROUND(C40*10000/F43,0)</f>
        <v>20715</v>
      </c>
      <c r="D43" s="378" t="s">
        <v>1482</v>
      </c>
      <c r="E43" s="379" t="s">
        <v>1483</v>
      </c>
      <c r="F43" s="380">
        <f ca="1">INDIRECT("'数据-取费表'!k"&amp;$G$1)</f>
        <v>11127.55</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1513</v>
      </c>
      <c r="P45" s="1834"/>
      <c r="Q45" s="1834"/>
      <c r="R45" s="1834"/>
    </row>
    <row r="46" spans="1:18" s="1837" customFormat="1" ht="14" thickBot="1">
      <c r="A46" s="1865" t="s">
        <v>1514</v>
      </c>
      <c r="C46" s="1866">
        <f ca="1">C68-C40</f>
        <v>-29528</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5" thickBot="1">
      <c r="A47" s="1160" t="s">
        <v>1390</v>
      </c>
      <c r="B47" s="1192" t="s">
        <v>1391</v>
      </c>
      <c r="C47" s="1362" t="s">
        <v>1392</v>
      </c>
      <c r="D47" s="1192" t="s">
        <v>1393</v>
      </c>
      <c r="E47" s="1274" t="s">
        <v>1394</v>
      </c>
      <c r="F47" s="1275"/>
      <c r="G47" s="787"/>
      <c r="I47" s="1875" t="s">
        <v>1520</v>
      </c>
      <c r="J47" s="1876" t="s">
        <v>3277</v>
      </c>
      <c r="K47" s="1877" t="s">
        <v>1521</v>
      </c>
      <c r="L47" s="1878">
        <f ca="1">INDIRECT("'数据-取费表'!d"&amp;$G$1)</f>
        <v>40</v>
      </c>
      <c r="M47" s="1833" t="str">
        <f>IF(ISNUMBER(FIND("住宅",C1)),"住宅","非住宅")</f>
        <v>非住宅</v>
      </c>
      <c r="O47" s="1879" t="s">
        <v>1036</v>
      </c>
      <c r="P47" s="1880" t="s">
        <v>1522</v>
      </c>
      <c r="Q47" s="1881">
        <f ca="1">C40+J29</f>
        <v>23051</v>
      </c>
      <c r="R47" s="1881" t="s">
        <v>1523</v>
      </c>
    </row>
    <row r="48" spans="1:18" s="1837" customFormat="1" ht="43.5" thickBot="1">
      <c r="A48" s="1355" t="s">
        <v>1131</v>
      </c>
      <c r="B48" s="340" t="s">
        <v>1395</v>
      </c>
      <c r="C48" s="1812">
        <f ca="1">C49+C53+C55</f>
        <v>0</v>
      </c>
      <c r="D48" s="1357"/>
      <c r="E48" s="1358"/>
      <c r="F48" s="1176"/>
      <c r="G48" s="787"/>
      <c r="H48" s="788"/>
      <c r="I48" s="1882" t="s">
        <v>1524</v>
      </c>
      <c r="J48" s="1883" t="s">
        <v>3278</v>
      </c>
      <c r="K48" s="1884" t="s">
        <v>1525</v>
      </c>
      <c r="L48" s="1885">
        <f ca="1">INDIRECT("'数据-取费表'!f"&amp;$G$1)</f>
        <v>33.5</v>
      </c>
      <c r="O48" s="1879" t="s">
        <v>1037</v>
      </c>
      <c r="P48" s="1880" t="s">
        <v>1526</v>
      </c>
      <c r="Q48" s="1881" t="str">
        <f ca="1">J60</f>
        <v>0</v>
      </c>
      <c r="R48" s="1881" t="s">
        <v>1527</v>
      </c>
    </row>
    <row r="49" spans="1:18" s="1837" customFormat="1" ht="13.5" thickBot="1">
      <c r="A49" s="1189" t="s">
        <v>1132</v>
      </c>
      <c r="B49" s="1824" t="s">
        <v>1484</v>
      </c>
      <c r="C49" s="1359">
        <f ca="1">ROUND(F49*F51*F50*(1-F52)/10000,0)</f>
        <v>0</v>
      </c>
      <c r="D49" s="1271" t="s">
        <v>3022</v>
      </c>
      <c r="E49" s="1825" t="s">
        <v>1485</v>
      </c>
      <c r="F49" s="1276"/>
      <c r="G49" s="1886"/>
      <c r="H49" s="788"/>
      <c r="I49" s="1882" t="s">
        <v>1528</v>
      </c>
      <c r="J49" s="1887"/>
      <c r="K49" s="1884" t="s">
        <v>1529</v>
      </c>
      <c r="L49" s="1888"/>
      <c r="O49" s="1889" t="s">
        <v>1038</v>
      </c>
      <c r="P49" s="1880" t="s">
        <v>1530</v>
      </c>
      <c r="Q49" s="1881">
        <f ca="1">C29</f>
        <v>4565</v>
      </c>
      <c r="R49" s="1881" t="s">
        <v>1523</v>
      </c>
    </row>
    <row r="50" spans="1:18" s="1837" customFormat="1" ht="13.5" thickBot="1">
      <c r="A50" s="1190"/>
      <c r="B50" s="1193"/>
      <c r="C50" s="1363"/>
      <c r="D50" s="1167"/>
      <c r="E50" s="1272" t="s">
        <v>1400</v>
      </c>
      <c r="F50" s="1273">
        <f ca="1">F7</f>
        <v>11127.55</v>
      </c>
      <c r="H50" s="788"/>
      <c r="I50" s="1882" t="s">
        <v>1531</v>
      </c>
      <c r="J50" s="1890">
        <f>SUMPRODUCT((I63:I65=J47)*(J62:L62=J48)*(J63:L65))</f>
        <v>60</v>
      </c>
      <c r="K50" s="1884" t="s">
        <v>1532</v>
      </c>
      <c r="L50" s="1888"/>
      <c r="M50" s="1891"/>
      <c r="O50" s="1889" t="s">
        <v>1039</v>
      </c>
      <c r="P50" s="1880" t="s">
        <v>1533</v>
      </c>
      <c r="Q50" s="1892" t="e">
        <f ca="1">J58</f>
        <v>#VALUE!</v>
      </c>
      <c r="R50" s="1881"/>
    </row>
    <row r="51" spans="1:18" s="1837" customFormat="1" ht="13.5" thickBot="1">
      <c r="A51" s="1191"/>
      <c r="B51" s="1193"/>
      <c r="C51" s="1194"/>
      <c r="D51" s="1167"/>
      <c r="E51" s="1195" t="s">
        <v>1401</v>
      </c>
      <c r="F51" s="343">
        <f ca="1">F8</f>
        <v>365</v>
      </c>
      <c r="I51" s="1893" t="s">
        <v>1534</v>
      </c>
      <c r="J51" s="1894">
        <f>IF(J49="",J50,J49+J50-YEAR('数据-取费表'!B2))</f>
        <v>60</v>
      </c>
      <c r="K51" s="1895" t="s">
        <v>1535</v>
      </c>
      <c r="L51" s="1896">
        <f ca="1">ROUND(-PV(INDIRECT("'数据-取费表'!h"&amp;$G$1),L48,(C39-C13*C76),0),0)</f>
        <v>11237</v>
      </c>
      <c r="M51" s="1897"/>
      <c r="O51" s="1889" t="s">
        <v>1040</v>
      </c>
      <c r="P51" s="1880" t="s">
        <v>1536</v>
      </c>
      <c r="Q51" s="1892">
        <f>J52</f>
        <v>0.09</v>
      </c>
      <c r="R51" s="1881"/>
    </row>
    <row r="52" spans="1:18" s="1837" customFormat="1" ht="13.5" thickBot="1">
      <c r="A52" s="1191"/>
      <c r="B52" s="1193"/>
      <c r="C52" s="1194"/>
      <c r="D52" s="1167"/>
      <c r="E52" s="1195" t="s">
        <v>1402</v>
      </c>
      <c r="F52" s="1270"/>
      <c r="I52" s="1898" t="s">
        <v>1537</v>
      </c>
      <c r="J52" s="1899">
        <v>0.09</v>
      </c>
      <c r="K52" s="1898" t="s">
        <v>1538</v>
      </c>
      <c r="L52" s="1899"/>
      <c r="O52" s="1889" t="s">
        <v>1041</v>
      </c>
      <c r="P52" s="1880" t="s">
        <v>1539</v>
      </c>
      <c r="Q52" s="1881">
        <f ca="1">J53</f>
        <v>31.54</v>
      </c>
      <c r="R52" s="1881" t="s">
        <v>1540</v>
      </c>
    </row>
    <row r="53" spans="1:18" s="1837" customFormat="1" ht="26.5" thickBot="1">
      <c r="A53" s="1400" t="s">
        <v>1133</v>
      </c>
      <c r="B53" s="1826" t="s">
        <v>1403</v>
      </c>
      <c r="C53" s="356">
        <f ca="1">ROUND(IF(F53="押一",C49/12*F11,IF(F53="押二",C49/12*2*F11,IF(F53="押三",C49/12*3*F11,C54*F11))),0)</f>
        <v>0</v>
      </c>
      <c r="D53" s="1819" t="s">
        <v>3029</v>
      </c>
      <c r="E53" s="353" t="s">
        <v>1404</v>
      </c>
      <c r="F53" s="1361"/>
      <c r="I53" s="1900" t="s">
        <v>1541</v>
      </c>
      <c r="J53" s="2936">
        <f ca="1">IF(M47="住宅",IF(D1="——",MAX(J51,L48),MAX(J51,L48-'数据-取费表'!B24)),IF(D1="——",MIN(J51,L48),MIN(J51,L48-'数据-取费表'!B24)))</f>
        <v>31.54</v>
      </c>
      <c r="K53" s="3287" t="s">
        <v>1542</v>
      </c>
      <c r="L53" s="3288"/>
      <c r="O53" s="1879" t="s">
        <v>1042</v>
      </c>
      <c r="P53" s="1880" t="s">
        <v>1543</v>
      </c>
      <c r="Q53" s="1881">
        <f ca="1">Q47+Q48</f>
        <v>23051</v>
      </c>
      <c r="R53" s="1881" t="s">
        <v>1043</v>
      </c>
    </row>
    <row r="54" spans="1:18" s="1837" customFormat="1" ht="26.5" thickBot="1">
      <c r="A54" s="1401"/>
      <c r="B54" s="1820" t="s">
        <v>1382</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5" thickBot="1">
      <c r="A55" s="1328" t="s">
        <v>1071</v>
      </c>
      <c r="B55" s="1822" t="s">
        <v>1407</v>
      </c>
      <c r="C55" s="1329"/>
      <c r="D55" s="1819"/>
      <c r="E55" s="1827"/>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40" thickTop="1" thickBot="1">
      <c r="A56" s="1171">
        <v>2</v>
      </c>
      <c r="B56" s="1172" t="s">
        <v>1408</v>
      </c>
      <c r="C56" s="271">
        <f ca="1">C13</f>
        <v>4565</v>
      </c>
      <c r="D56" s="1908"/>
      <c r="E56" s="1909"/>
      <c r="F56" s="1901"/>
      <c r="I56" s="1910" t="s">
        <v>1548</v>
      </c>
      <c r="J56" s="1911" t="s">
        <v>3056</v>
      </c>
      <c r="K56" s="1882" t="s">
        <v>1549</v>
      </c>
      <c r="L56" s="1885" t="str">
        <f ca="1">IF(L48&lt;J51,"——",L48-J53)</f>
        <v>——</v>
      </c>
      <c r="O56" s="1879" t="s">
        <v>1036</v>
      </c>
      <c r="P56" s="1880" t="s">
        <v>1522</v>
      </c>
      <c r="Q56" s="1881">
        <f ca="1">C40+J29</f>
        <v>23051</v>
      </c>
      <c r="R56" s="1881" t="s">
        <v>1523</v>
      </c>
    </row>
    <row r="57" spans="1:18" s="1837" customFormat="1" ht="26.5" thickBot="1">
      <c r="A57" s="1912"/>
      <c r="B57" s="1164" t="s">
        <v>1472</v>
      </c>
      <c r="C57" s="277">
        <f ca="1">C29</f>
        <v>4565</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6.5" thickBot="1">
      <c r="A58" s="355" t="s">
        <v>1026</v>
      </c>
      <c r="B58" s="1172" t="s">
        <v>1418</v>
      </c>
      <c r="C58" s="356">
        <f ca="1">ROUND(C59+C64+C65+C66,0)</f>
        <v>437</v>
      </c>
      <c r="D58" s="1174" t="s">
        <v>1419</v>
      </c>
      <c r="E58" s="1175"/>
      <c r="F58" s="1176"/>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6.5" thickBot="1">
      <c r="A59" s="1196" t="s">
        <v>1031</v>
      </c>
      <c r="B59" s="1164" t="s">
        <v>1423</v>
      </c>
      <c r="C59" s="24">
        <f ca="1">ROUND(IF(项目基本情况!B11="自然人",C48*F59,C60+C61+C62),1)</f>
        <v>384.4</v>
      </c>
      <c r="D59" s="1177" t="s">
        <v>1424</v>
      </c>
      <c r="E59" s="1178" t="s">
        <v>1425</v>
      </c>
      <c r="F59" s="363"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 thickBot="1">
      <c r="A60" s="1196" t="s">
        <v>1030</v>
      </c>
      <c r="B60" s="1164" t="s">
        <v>1427</v>
      </c>
      <c r="C60" s="24">
        <f ca="1">IF(项目基本情况!B11="自然人","——",ROUND(C48*F60/(1+'数据-取费表'!C42),2))</f>
        <v>0</v>
      </c>
      <c r="D60" s="1178" t="s">
        <v>1428</v>
      </c>
      <c r="E60" s="1164" t="s">
        <v>1416</v>
      </c>
      <c r="F60" s="372">
        <f t="shared" ref="F60:F66" si="0">F32</f>
        <v>5.5000000000000007E-2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5" thickBot="1">
      <c r="A61" s="1196" t="s">
        <v>1486</v>
      </c>
      <c r="B61" s="1164" t="s">
        <v>1487</v>
      </c>
      <c r="C61" s="24">
        <f ca="1">IF(项目基本情况!B11="自然人","——",IF(D61="按租金收入计税",ROUND(C48*F61,2),IF(D61="按房产原值计税",ROUND(C57*F61*0.7,2),INDIRECT("'数据-取费表'!Aj"&amp;$G$1))))</f>
        <v>383.46</v>
      </c>
      <c r="D61" s="1823" t="s">
        <v>1432</v>
      </c>
      <c r="E61" s="1164" t="s">
        <v>1488</v>
      </c>
      <c r="F61" s="362">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5" thickBot="1">
      <c r="A62" s="1196" t="s">
        <v>1489</v>
      </c>
      <c r="B62" s="1163" t="s">
        <v>1490</v>
      </c>
      <c r="C62" s="25">
        <f ca="1">IF(项目基本情况!B11="自然人","——",ROUND(F62*F63/10000,2))</f>
        <v>0.93</v>
      </c>
      <c r="D62" s="1179" t="s">
        <v>1491</v>
      </c>
      <c r="E62" s="1164" t="s">
        <v>1492</v>
      </c>
      <c r="F62" s="366">
        <f t="shared" si="0"/>
        <v>1.5</v>
      </c>
      <c r="I62" s="1923" t="s">
        <v>1564</v>
      </c>
      <c r="J62" s="1924" t="s">
        <v>1565</v>
      </c>
      <c r="K62" s="1924" t="s">
        <v>1566</v>
      </c>
      <c r="L62" s="1924" t="s">
        <v>1567</v>
      </c>
      <c r="M62" s="1925" t="s">
        <v>1568</v>
      </c>
      <c r="O62" s="1879" t="s">
        <v>1042</v>
      </c>
      <c r="P62" s="1880" t="s">
        <v>1569</v>
      </c>
      <c r="Q62" s="1881">
        <f ca="1">Q56+Q57</f>
        <v>23051</v>
      </c>
      <c r="R62" s="1881" t="s">
        <v>1043</v>
      </c>
    </row>
    <row r="63" spans="1:18" s="1837" customFormat="1" ht="13.5" thickBot="1">
      <c r="A63" s="367"/>
      <c r="B63" s="1170"/>
      <c r="C63" s="29"/>
      <c r="D63" s="1180"/>
      <c r="E63" s="1164" t="s">
        <v>1493</v>
      </c>
      <c r="F63" s="343">
        <f t="shared" ca="1" si="0"/>
        <v>6197.03</v>
      </c>
      <c r="I63" s="1923" t="s">
        <v>1570</v>
      </c>
      <c r="J63" s="1924">
        <v>70</v>
      </c>
      <c r="K63" s="1924">
        <v>50</v>
      </c>
      <c r="L63" s="1924">
        <v>80</v>
      </c>
      <c r="M63" s="1926">
        <v>0.02</v>
      </c>
      <c r="O63" s="1864" t="s">
        <v>1571</v>
      </c>
      <c r="P63" s="1834"/>
      <c r="Q63" s="1834"/>
      <c r="R63" s="1834"/>
    </row>
    <row r="64" spans="1:18" s="1837" customFormat="1" ht="13.5" thickBot="1">
      <c r="A64" s="1196" t="s">
        <v>1494</v>
      </c>
      <c r="B64" s="1164" t="s">
        <v>1495</v>
      </c>
      <c r="C64" s="24">
        <f ca="1">ROUND(C57*F64,1)</f>
        <v>45.7</v>
      </c>
      <c r="D64" s="1178" t="s">
        <v>1496</v>
      </c>
      <c r="E64" s="1164" t="s">
        <v>1488</v>
      </c>
      <c r="F64" s="369">
        <f t="shared" ca="1" si="0"/>
        <v>0.01</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ROUND(C56*F65,1)</f>
        <v>6.8</v>
      </c>
      <c r="D65" s="1178" t="s">
        <v>1448</v>
      </c>
      <c r="E65" s="1164" t="s">
        <v>1449</v>
      </c>
      <c r="F65" s="371">
        <f t="shared" ca="1" si="0"/>
        <v>1.5E-3</v>
      </c>
      <c r="I65" s="1923" t="s">
        <v>1573</v>
      </c>
      <c r="J65" s="1924">
        <v>40</v>
      </c>
      <c r="K65" s="1924">
        <v>30</v>
      </c>
      <c r="L65" s="1924">
        <v>50</v>
      </c>
      <c r="M65" s="1926">
        <v>0.02</v>
      </c>
      <c r="O65" s="1879" t="s">
        <v>1036</v>
      </c>
      <c r="P65" s="1880" t="s">
        <v>1574</v>
      </c>
      <c r="Q65" s="1881">
        <f ca="1">C40+J29</f>
        <v>23051</v>
      </c>
      <c r="R65" s="1881" t="s">
        <v>1523</v>
      </c>
    </row>
    <row r="66" spans="1:18" s="1837" customFormat="1" ht="16" thickBot="1">
      <c r="A66" s="1196" t="s">
        <v>1498</v>
      </c>
      <c r="B66" s="1164" t="s">
        <v>1433</v>
      </c>
      <c r="C66" s="24">
        <f ca="1">ROUND(C48*F66,1)</f>
        <v>0</v>
      </c>
      <c r="D66" s="1178" t="s">
        <v>1499</v>
      </c>
      <c r="E66" s="1164" t="s">
        <v>1416</v>
      </c>
      <c r="F66" s="352">
        <f t="shared" ca="1" si="0"/>
        <v>0.01</v>
      </c>
      <c r="O66" s="1879" t="s">
        <v>1037</v>
      </c>
      <c r="P66" s="1880" t="s">
        <v>1552</v>
      </c>
      <c r="Q66" s="1881">
        <f ca="1">L60</f>
        <v>0</v>
      </c>
      <c r="R66" s="1881" t="s">
        <v>1575</v>
      </c>
    </row>
    <row r="67" spans="1:18" s="1837" customFormat="1" ht="26.5" thickBot="1">
      <c r="A67" s="1171" t="s">
        <v>1027</v>
      </c>
      <c r="B67" s="1181" t="s">
        <v>1457</v>
      </c>
      <c r="C67" s="356">
        <f ca="1">C48-C58</f>
        <v>-437</v>
      </c>
      <c r="D67" s="1177" t="s">
        <v>1458</v>
      </c>
      <c r="E67" s="1182"/>
      <c r="F67" s="1183"/>
      <c r="O67" s="1889" t="s">
        <v>1038</v>
      </c>
      <c r="P67" s="1880" t="s">
        <v>1556</v>
      </c>
      <c r="Q67" s="1927">
        <f ca="1">L51</f>
        <v>11237</v>
      </c>
      <c r="R67" s="1881" t="s">
        <v>1576</v>
      </c>
    </row>
    <row r="68" spans="1:18" s="1837" customFormat="1" ht="16" thickBot="1">
      <c r="A68" s="1161" t="s">
        <v>1028</v>
      </c>
      <c r="B68" s="1162" t="s">
        <v>1479</v>
      </c>
      <c r="C68" s="341">
        <f ca="1">ROUND(C67*(1-((1+F70)/(1+F68))^F69)/(F68-F70),0)</f>
        <v>-6477</v>
      </c>
      <c r="D68" s="1179" t="s">
        <v>1463</v>
      </c>
      <c r="E68" s="1164" t="s">
        <v>1464</v>
      </c>
      <c r="F68" s="352">
        <f ca="1">F40</f>
        <v>5.5E-2</v>
      </c>
      <c r="O68" s="1889" t="s">
        <v>1039</v>
      </c>
      <c r="P68" s="1928" t="s">
        <v>1577</v>
      </c>
      <c r="Q68" s="1881">
        <f ca="1">ROUND(Q69-Q70*Q71,0)</f>
        <v>698</v>
      </c>
      <c r="R68" s="1881" t="s">
        <v>1047</v>
      </c>
    </row>
    <row r="69" spans="1:18" s="1837" customFormat="1" ht="13.5" thickBot="1">
      <c r="A69" s="1165"/>
      <c r="B69" s="1166"/>
      <c r="C69" s="346"/>
      <c r="D69" s="1184" t="s">
        <v>1467</v>
      </c>
      <c r="E69" s="1164" t="s">
        <v>1468</v>
      </c>
      <c r="F69" s="374">
        <f ca="1">F41</f>
        <v>31.54</v>
      </c>
      <c r="O69" s="1889" t="s">
        <v>1044</v>
      </c>
      <c r="P69" s="1928" t="s">
        <v>1578</v>
      </c>
      <c r="Q69" s="1881">
        <f ca="1">C39</f>
        <v>1086</v>
      </c>
      <c r="R69" s="1881" t="s">
        <v>1523</v>
      </c>
    </row>
    <row r="70" spans="1:18" s="1837" customFormat="1" ht="13.5" thickBot="1">
      <c r="A70" s="1168"/>
      <c r="B70" s="1169"/>
      <c r="C70" s="350"/>
      <c r="D70" s="1180"/>
      <c r="E70" s="1164" t="s">
        <v>1471</v>
      </c>
      <c r="F70" s="1270"/>
      <c r="O70" s="1889" t="s">
        <v>1045</v>
      </c>
      <c r="P70" s="1928" t="s">
        <v>1579</v>
      </c>
      <c r="Q70" s="1881">
        <f ca="1">C13</f>
        <v>4565</v>
      </c>
      <c r="R70" s="1881" t="s">
        <v>1523</v>
      </c>
    </row>
    <row r="71" spans="1:18" s="1837" customFormat="1" ht="13.5" thickBot="1">
      <c r="A71" s="1185" t="s">
        <v>1029</v>
      </c>
      <c r="B71" s="1186" t="s">
        <v>1481</v>
      </c>
      <c r="C71" s="377">
        <f ca="1">ROUND(C68*10000/F71,0)</f>
        <v>-5821</v>
      </c>
      <c r="D71" s="1187" t="s">
        <v>1482</v>
      </c>
      <c r="E71" s="1188" t="s">
        <v>1483</v>
      </c>
      <c r="F71" s="380">
        <f ca="1">F43</f>
        <v>11127.55</v>
      </c>
      <c r="O71" s="1889" t="s">
        <v>1046</v>
      </c>
      <c r="P71" s="1928" t="s">
        <v>1580</v>
      </c>
      <c r="Q71" s="1892">
        <f ca="1">C76</f>
        <v>8.5000000000000006E-2</v>
      </c>
      <c r="R71" s="1881"/>
    </row>
    <row r="72" spans="1:18" s="1837" customFormat="1" ht="13.5" thickBot="1">
      <c r="B72" s="791"/>
      <c r="C72" s="791"/>
      <c r="O72" s="1889" t="s">
        <v>1040</v>
      </c>
      <c r="P72" s="1880" t="s">
        <v>1558</v>
      </c>
      <c r="Q72" s="1892">
        <f>L52</f>
        <v>0</v>
      </c>
      <c r="R72" s="1881"/>
    </row>
    <row r="73" spans="1:18" ht="16"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续建工期及建筑物耐用年限下的土地年期修正系数Kn</v>
      </c>
      <c r="Q74" s="1881" t="e">
        <f ca="1">L59</f>
        <v>#DIV/0!</v>
      </c>
      <c r="R74" s="1881" t="s">
        <v>1563</v>
      </c>
    </row>
    <row r="75" spans="1:18" ht="13.5" thickBot="1">
      <c r="A75" s="1837"/>
      <c r="B75" s="381" t="s">
        <v>1500</v>
      </c>
      <c r="C75" s="382">
        <f ca="1">ROUND(C13*C76,0)</f>
        <v>388</v>
      </c>
      <c r="D75" s="1837"/>
      <c r="E75" s="1837"/>
      <c r="F75" s="1837"/>
      <c r="K75" s="1863"/>
      <c r="L75" s="1837"/>
      <c r="O75" s="1879" t="s">
        <v>1042</v>
      </c>
      <c r="P75" s="1880" t="s">
        <v>1543</v>
      </c>
      <c r="Q75" s="1881">
        <f ca="1">Q65+Q66</f>
        <v>23051</v>
      </c>
      <c r="R75" s="1881" t="s">
        <v>1043</v>
      </c>
    </row>
    <row r="76" spans="1:18" ht="13">
      <c r="B76" s="383" t="s">
        <v>1501</v>
      </c>
      <c r="C76" s="384">
        <f ca="1">INDIRECT("'数据-取费表'!j"&amp;$G$1)</f>
        <v>8.5000000000000006E-2</v>
      </c>
      <c r="I76" s="1837"/>
      <c r="J76" s="1837"/>
      <c r="K76" s="1863"/>
      <c r="L76" s="1837"/>
    </row>
    <row r="77" spans="1:18" ht="13.5">
      <c r="B77" s="385" t="s">
        <v>1502</v>
      </c>
      <c r="C77" s="386"/>
      <c r="I77" s="1837"/>
      <c r="J77" s="1837"/>
      <c r="K77" s="1863"/>
      <c r="L77" s="1837"/>
    </row>
    <row r="78" spans="1:18" ht="13.5">
      <c r="B78" s="309" t="s">
        <v>1503</v>
      </c>
      <c r="C78" s="387"/>
    </row>
    <row r="79" spans="1:18" ht="13">
      <c r="B79" s="381" t="s">
        <v>1504</v>
      </c>
      <c r="C79" s="313">
        <f ca="1">1-C80</f>
        <v>0.64300000000000002</v>
      </c>
    </row>
    <row r="80" spans="1:18" ht="13">
      <c r="B80" s="381" t="s">
        <v>1505</v>
      </c>
      <c r="C80" s="313">
        <f ca="1">ROUND(C75/C39,3)</f>
        <v>0.35699999999999998</v>
      </c>
    </row>
    <row r="81" spans="2:3" ht="13.5">
      <c r="B81" s="309" t="s">
        <v>1506</v>
      </c>
      <c r="C81" s="277"/>
    </row>
    <row r="82" spans="2:3" ht="13">
      <c r="B82" s="312" t="s">
        <v>1507</v>
      </c>
      <c r="C82" s="314">
        <f ca="1">1-C83</f>
        <v>0.80200000000000005</v>
      </c>
    </row>
    <row r="83" spans="2:3" ht="13">
      <c r="B83" s="312" t="s">
        <v>1508</v>
      </c>
      <c r="C83" s="313">
        <f ca="1">ROUND(C13/C40,3)</f>
        <v>0.19800000000000001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39" customWidth="1"/>
    <col min="2" max="16384" width="9" style="1939"/>
  </cols>
  <sheetData>
    <row r="1" spans="1:1" ht="23">
      <c r="A1" s="1938" t="s">
        <v>1605</v>
      </c>
    </row>
    <row r="2" spans="1:1">
      <c r="A2" s="1940"/>
    </row>
    <row r="3" spans="1:1" ht="18">
      <c r="A3" s="1941" t="str">
        <f>项目基本情况!B5&amp;"："</f>
        <v>北京京雁置业有限责任公司：</v>
      </c>
    </row>
    <row r="4" spans="1:1" ht="35">
      <c r="A4" s="1942" t="str">
        <f>"受贵公司委托，我公司对"&amp;项目基本情况!S1&amp;"进行了预评估。"</f>
        <v>受贵公司委托，我公司对北京市怀柔区雁栖湖柏崖厂村HR-0009-0113地块出让国有建设用地使用权及在建建筑物房地产抵押价值进行了预评估。</v>
      </c>
    </row>
    <row r="5" spans="1:1" ht="18">
      <c r="A5" s="1943" t="s">
        <v>1606</v>
      </c>
    </row>
    <row r="6" spans="1:1" ht="17.5">
      <c r="A6" s="1944" t="s">
        <v>1607</v>
      </c>
    </row>
    <row r="7" spans="1:1" ht="70">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柏崖厂村HR-0009-0113地块出让国有建设用地使用权及在建建筑物房地产，为北京京雁置业有限责任公司所有。根据《国有土地使用证》[]，估价对象（分摊）出让国有建设用地使用权面积为104283.06平方米，建筑面积为212264.8平方米。</v>
      </c>
    </row>
    <row r="8" spans="1:1" ht="53.5">
      <c r="A8" s="1945" t="s">
        <v>1608</v>
      </c>
    </row>
    <row r="9" spans="1:1" ht="17.5">
      <c r="A9" s="1944" t="s">
        <v>1609</v>
      </c>
    </row>
    <row r="10" spans="1:1" ht="87.5">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柏崖厂村HR-0009-0113地块出让国有建设用地使用权及在建建筑物房地产,为北京京雁置业有限责任公司开发建设的居住项目，该项目尚在开发建设中。根据《国有土地使用证》[]，估价对象（分摊）出让国有建设用地使用权面积为104283.06平方米，规划建筑面积为212264.8平方米。</v>
      </c>
    </row>
    <row r="11" spans="1:1" ht="71">
      <c r="A11" s="1945" t="s">
        <v>1610</v>
      </c>
    </row>
    <row r="12" spans="1:1" ht="18">
      <c r="A12" s="1943" t="s">
        <v>1611</v>
      </c>
    </row>
    <row r="13" spans="1:1" ht="38.25" customHeight="1">
      <c r="A13" s="1946" t="str">
        <f>IF(项目基本情况!B8="抵押",IF(项目基本情况!B5=项目基本情况!B6,定义!C51,定义!B51),定义!D51)</f>
        <v>为估价委托人在向兴业银行西城支行办理贷款手续过程中，确定房地产抵押贷款额度提供参考依据而评估房地产抵押价值。</v>
      </c>
    </row>
    <row r="14" spans="1:1" ht="18">
      <c r="A14" s="1947" t="s">
        <v>1612</v>
      </c>
    </row>
    <row r="15" spans="1:1" ht="17.5">
      <c r="A15" s="1948" t="str">
        <f>TEXT(项目基本情况!D3,"yyyy年m月d日;;")&amp;IF(项目基本情况!D3=项目基本情况!B3,"（评估专业人员实地查勘之日）","")</f>
        <v>2020年3月13日</v>
      </c>
    </row>
    <row r="16" spans="1:1" ht="18">
      <c r="A16" s="1947" t="s">
        <v>1613</v>
      </c>
    </row>
    <row r="17" spans="1:1" ht="70">
      <c r="A17" s="1942" t="s">
        <v>1614</v>
      </c>
    </row>
    <row r="18" spans="1:1" ht="70">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13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5">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5">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47" t="s">
        <v>1603</v>
      </c>
    </row>
    <row r="24" spans="1:1" ht="17.5">
      <c r="A24" s="1949" t="str">
        <f>"本次评估采用的主估价方法为"&amp;结果表!K4&amp;"和"&amp;结果表!L4&amp;"。"</f>
        <v>本次评估采用的主估价方法为成本法和假设开发法。</v>
      </c>
    </row>
    <row r="25" spans="1:1" ht="17.5">
      <c r="A25" s="1949"/>
    </row>
    <row r="26" spans="1:1" ht="17.5">
      <c r="A26" s="1950" t="s">
        <v>1604</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22" zoomScale="70" zoomScaleNormal="70" zoomScaleSheetLayoutView="90" workbookViewId="0">
      <selection activeCell="C39" sqref="C39"/>
    </sheetView>
  </sheetViews>
  <sheetFormatPr defaultColWidth="9" defaultRowHeight="12.5"/>
  <cols>
    <col min="1" max="1" width="9" style="297" customWidth="1"/>
    <col min="2" max="2" width="20.6328125" style="702" customWidth="1"/>
    <col min="3" max="3" width="11.90625" style="702" customWidth="1"/>
    <col min="4" max="4" width="40.453125" style="297" customWidth="1"/>
    <col min="5" max="5" width="15.90625" style="297" customWidth="1"/>
    <col min="6" max="6" width="10.6328125" style="297" customWidth="1"/>
    <col min="7" max="7" width="4.90625" style="297" customWidth="1"/>
    <col min="8" max="8" width="8.453125" style="297" customWidth="1"/>
    <col min="9" max="9" width="21.08984375" style="297" customWidth="1"/>
    <col min="10" max="10" width="12.08984375" style="297" customWidth="1"/>
    <col min="11" max="11" width="45.08984375" style="1929" customWidth="1"/>
    <col min="12" max="12" width="16.36328125" style="297" customWidth="1"/>
    <col min="13" max="13" width="13" style="297" customWidth="1"/>
    <col min="14" max="14" width="13.90625" style="1837" customWidth="1"/>
    <col min="15" max="15" width="5.08984375" style="1837" customWidth="1"/>
    <col min="16" max="16" width="25.90625" style="1837" customWidth="1"/>
    <col min="17" max="17" width="13.90625" style="1837" customWidth="1"/>
    <col min="18" max="18" width="20.453125" style="1837" customWidth="1"/>
    <col min="19" max="19" width="13.08984375" style="1837" customWidth="1"/>
    <col min="20" max="37" width="9" style="1837"/>
    <col min="38" max="16384" width="9" style="297"/>
  </cols>
  <sheetData>
    <row r="1" spans="1:37" s="332" customFormat="1" ht="21">
      <c r="A1" s="1828" t="s">
        <v>1583</v>
      </c>
      <c r="B1" s="777"/>
      <c r="C1" s="1832" t="s">
        <v>48</v>
      </c>
      <c r="D1" s="1815" t="s">
        <v>3274</v>
      </c>
      <c r="E1" s="1816" t="s">
        <v>1381</v>
      </c>
      <c r="F1" s="1278">
        <f ca="1">J53</f>
        <v>41.54</v>
      </c>
      <c r="G1" s="1831">
        <f>MATCH(C1,'数据-取费表'!A6:A16,0)+5</f>
        <v>11</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1509</v>
      </c>
      <c r="B2" s="1839">
        <f ca="1">C40+J29+L46</f>
        <v>21049</v>
      </c>
      <c r="C2" s="1840" t="s">
        <v>1510</v>
      </c>
      <c r="D2" s="1840"/>
      <c r="E2" s="1841"/>
      <c r="F2" s="1842"/>
      <c r="G2" s="1843"/>
      <c r="H2" s="1835"/>
      <c r="I2" s="1835"/>
      <c r="J2" s="1835"/>
      <c r="K2" s="1836"/>
      <c r="L2" s="1835"/>
      <c r="M2" s="1835"/>
    </row>
    <row r="3" spans="1:37" ht="18" customHeight="1" thickBot="1">
      <c r="A3" s="1844" t="s">
        <v>1511</v>
      </c>
      <c r="B3" s="1845">
        <f ca="1">IF(ISERROR(B2*10000/F43),0,ROUND(B2*10000/F43,0))</f>
        <v>3741</v>
      </c>
      <c r="C3" s="1840" t="s">
        <v>1512</v>
      </c>
      <c r="D3" s="1840"/>
      <c r="E3" s="1841"/>
      <c r="F3" s="1842"/>
      <c r="G3" s="1843"/>
      <c r="H3" s="739" t="s">
        <v>1582</v>
      </c>
      <c r="I3" s="1835"/>
      <c r="J3" s="1835"/>
      <c r="K3" s="1836"/>
      <c r="L3" s="1835"/>
      <c r="M3" s="1835"/>
    </row>
    <row r="4" spans="1:37" ht="18" customHeight="1">
      <c r="A4" s="335" t="s">
        <v>1390</v>
      </c>
      <c r="B4" s="336" t="s">
        <v>1391</v>
      </c>
      <c r="C4" s="336" t="s">
        <v>1392</v>
      </c>
      <c r="D4" s="336" t="s">
        <v>1393</v>
      </c>
      <c r="E4" s="337" t="s">
        <v>1394</v>
      </c>
      <c r="F4" s="338"/>
      <c r="G4" s="1846"/>
      <c r="H4" s="335" t="s">
        <v>1390</v>
      </c>
      <c r="I4" s="336" t="s">
        <v>1391</v>
      </c>
      <c r="J4" s="336" t="s">
        <v>1392</v>
      </c>
      <c r="K4" s="336" t="s">
        <v>1393</v>
      </c>
      <c r="L4" s="337" t="s">
        <v>1394</v>
      </c>
      <c r="M4" s="338"/>
    </row>
    <row r="5" spans="1:37" ht="18" customHeight="1">
      <c r="A5" s="339">
        <v>1</v>
      </c>
      <c r="B5" s="340" t="s">
        <v>1395</v>
      </c>
      <c r="C5" s="1287">
        <f ca="1">C6+C10+C12</f>
        <v>1311</v>
      </c>
      <c r="D5" s="1817" t="s">
        <v>1396</v>
      </c>
      <c r="E5" s="1288"/>
      <c r="F5" s="1289"/>
      <c r="G5" s="1846"/>
      <c r="H5" s="339">
        <v>1</v>
      </c>
      <c r="I5" s="340" t="s">
        <v>1395</v>
      </c>
      <c r="J5" s="1287">
        <f ca="1">J6+J10+J12</f>
        <v>0</v>
      </c>
      <c r="K5" s="1817" t="s">
        <v>1396</v>
      </c>
      <c r="L5" s="1288"/>
      <c r="M5" s="1289"/>
    </row>
    <row r="6" spans="1:37" ht="18" customHeight="1">
      <c r="A6" s="1286" t="s">
        <v>1031</v>
      </c>
      <c r="B6" s="3289" t="s">
        <v>1397</v>
      </c>
      <c r="C6" s="1291">
        <f ca="1">ROUND(F6*F8*F7*(1-F9)/10000,0)</f>
        <v>1311</v>
      </c>
      <c r="D6" s="159" t="s">
        <v>3021</v>
      </c>
      <c r="E6" s="342" t="s">
        <v>1399</v>
      </c>
      <c r="F6" s="343">
        <f ca="1">INDIRECT("'数据-取费表'!u"&amp;$G$1)</f>
        <v>800</v>
      </c>
      <c r="G6" s="1846"/>
      <c r="H6" s="1286" t="s">
        <v>1031</v>
      </c>
      <c r="I6" s="3289" t="s">
        <v>1397</v>
      </c>
      <c r="J6" s="341">
        <f ca="1">ROUND(M6*M8*M7*(1-M9)/10000,0)</f>
        <v>0</v>
      </c>
      <c r="K6" s="159" t="s">
        <v>3020</v>
      </c>
      <c r="L6" s="342" t="s">
        <v>1399</v>
      </c>
      <c r="M6" s="343">
        <f ca="1">INDIRECT("'数据-取费表'!z"&amp;$G$1)</f>
        <v>0</v>
      </c>
    </row>
    <row r="7" spans="1:37" ht="18" customHeight="1">
      <c r="A7" s="1290"/>
      <c r="B7" s="3290"/>
      <c r="C7" s="1292"/>
      <c r="D7" s="347"/>
      <c r="E7" s="2942" t="s">
        <v>1400</v>
      </c>
      <c r="F7" s="343">
        <f ca="1">IF(INDIRECT("'数据-取费表'!ah"&amp;$G$1)="",INDIRECT("'数据-取费表'!k"&amp;$G$1),INDIRECT("'数据-取费表'!ah"&amp;$G$1))</f>
        <v>1607</v>
      </c>
      <c r="G7" s="1846"/>
      <c r="H7" s="344"/>
      <c r="I7" s="3290"/>
      <c r="J7" s="346"/>
      <c r="K7" s="347"/>
      <c r="L7" s="342" t="s">
        <v>1400</v>
      </c>
      <c r="M7" s="343">
        <f ca="1">F7</f>
        <v>1607</v>
      </c>
    </row>
    <row r="8" spans="1:37" ht="18" customHeight="1">
      <c r="A8" s="344"/>
      <c r="B8" s="3290"/>
      <c r="C8" s="346"/>
      <c r="D8" s="347"/>
      <c r="E8" s="342" t="s">
        <v>1401</v>
      </c>
      <c r="F8" s="343">
        <f ca="1">INDIRECT("'数据-取费表'!ai"&amp;$G$1)</f>
        <v>12</v>
      </c>
      <c r="G8" s="1846"/>
      <c r="H8" s="344"/>
      <c r="I8" s="3290"/>
      <c r="J8" s="346"/>
      <c r="K8" s="347"/>
      <c r="L8" s="342" t="s">
        <v>1401</v>
      </c>
      <c r="M8" s="343">
        <f ca="1">INDIRECT("'数据-取费表'!ai"&amp;$G$1)</f>
        <v>12</v>
      </c>
    </row>
    <row r="9" spans="1:37" ht="18" customHeight="1">
      <c r="A9" s="344"/>
      <c r="B9" s="3291"/>
      <c r="C9" s="346"/>
      <c r="D9" s="347"/>
      <c r="E9" s="342" t="s">
        <v>1402</v>
      </c>
      <c r="F9" s="352">
        <f ca="1">INDIRECT("'数据-取费表'!w"&amp;$G$1)</f>
        <v>0.15</v>
      </c>
      <c r="G9" s="1846"/>
      <c r="H9" s="344"/>
      <c r="I9" s="3291"/>
      <c r="J9" s="346"/>
      <c r="K9" s="347"/>
      <c r="L9" s="353" t="s">
        <v>1402</v>
      </c>
      <c r="M9" s="354">
        <f ca="1">INDIRECT("'数据-取费表'!ab"&amp;$G$1)</f>
        <v>0</v>
      </c>
    </row>
    <row r="10" spans="1:37" ht="18" customHeight="1">
      <c r="A10" s="1286" t="s">
        <v>1035</v>
      </c>
      <c r="B10" s="1818" t="s">
        <v>1403</v>
      </c>
      <c r="C10" s="356">
        <f ca="1">ROUND(IF(F10="押一",C6/12*F11,IF(F10="押二",C6/12*2*F11,IF(F10="押三",C6/12*3*F11,C11*F11))),0)</f>
        <v>0</v>
      </c>
      <c r="D10" s="1819" t="s">
        <v>3029</v>
      </c>
      <c r="E10" s="353" t="s">
        <v>1404</v>
      </c>
      <c r="F10" s="1361" t="s">
        <v>3351</v>
      </c>
      <c r="G10" s="1846"/>
      <c r="H10" s="1286" t="s">
        <v>1035</v>
      </c>
      <c r="I10" s="1818" t="s">
        <v>1403</v>
      </c>
      <c r="J10" s="341">
        <f ca="1">ROUND(IF(M10="押一",J6/12*M11,IF(M10="押二",J6/12*2*M11,IF(M10="押三",J6/12*3*M11,J11*M11))),0)</f>
        <v>0</v>
      </c>
      <c r="K10" s="1819" t="s">
        <v>3029</v>
      </c>
      <c r="L10" s="353" t="s">
        <v>1404</v>
      </c>
      <c r="M10" s="1361" t="s">
        <v>1405</v>
      </c>
    </row>
    <row r="11" spans="1:37" ht="18" customHeight="1">
      <c r="A11" s="348"/>
      <c r="B11" s="1820" t="s">
        <v>1382</v>
      </c>
      <c r="C11" s="1173"/>
      <c r="D11" s="1821"/>
      <c r="E11" s="353" t="s">
        <v>1406</v>
      </c>
      <c r="F11" s="354">
        <f ca="1">'数据-取费表'!B39</f>
        <v>1.4999999999999999E-2</v>
      </c>
      <c r="G11" s="1846"/>
      <c r="H11" s="1294"/>
      <c r="I11" s="1820" t="s">
        <v>1382</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21127</v>
      </c>
      <c r="D13" s="1326" t="s">
        <v>1409</v>
      </c>
      <c r="E13" s="1326" t="s">
        <v>1410</v>
      </c>
      <c r="F13" s="1327">
        <f ca="1">INDIRECT("'数据-取费表'!y"&amp;$G$1)</f>
        <v>1</v>
      </c>
      <c r="G13" s="1846"/>
      <c r="H13" s="1324">
        <v>2</v>
      </c>
      <c r="I13" s="1325" t="s">
        <v>1408</v>
      </c>
      <c r="J13" s="1285">
        <f ca="1">ROUND(J14*J15,0)</f>
        <v>0</v>
      </c>
      <c r="K13" s="1332" t="s">
        <v>1409</v>
      </c>
      <c r="L13" s="1847"/>
      <c r="M13" s="1848"/>
    </row>
    <row r="14" spans="1:37" ht="18" customHeight="1">
      <c r="A14" s="1196" t="s">
        <v>1030</v>
      </c>
      <c r="B14" s="342" t="s">
        <v>1411</v>
      </c>
      <c r="C14" s="358">
        <f ca="1">INDIRECT("'数据-取费表'!m"&amp;$G$1)+INDIRECT("'数据-取费表'!t"&amp;$G$1)</f>
        <v>15307</v>
      </c>
      <c r="D14" s="2945" t="s">
        <v>1412</v>
      </c>
      <c r="E14" s="2944"/>
      <c r="F14" s="359"/>
      <c r="G14" s="1846"/>
      <c r="H14" s="1196" t="s">
        <v>1031</v>
      </c>
      <c r="I14" s="342" t="s">
        <v>1413</v>
      </c>
      <c r="J14" s="24">
        <f ca="1">C29</f>
        <v>21127</v>
      </c>
      <c r="K14" s="2941"/>
      <c r="L14" s="974"/>
      <c r="M14" s="975"/>
    </row>
    <row r="15" spans="1:37" s="1853" customFormat="1" ht="18" customHeight="1" thickBot="1">
      <c r="A15" s="1196" t="s">
        <v>1032</v>
      </c>
      <c r="B15" s="342" t="s">
        <v>1414</v>
      </c>
      <c r="C15" s="24">
        <f ca="1">ROUND(C14*F15,0)</f>
        <v>459</v>
      </c>
      <c r="D15" s="360" t="s">
        <v>1415</v>
      </c>
      <c r="E15" s="360" t="s">
        <v>1416</v>
      </c>
      <c r="F15" s="361">
        <f>'数据-取费表'!B33</f>
        <v>0.03</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ROUND(INDIRECT("'数据-取费表'!m"&amp;$G$1)*F16,0)</f>
        <v>0</v>
      </c>
      <c r="D16" s="342" t="s">
        <v>1415</v>
      </c>
      <c r="E16" s="342" t="s">
        <v>1416</v>
      </c>
      <c r="F16" s="362">
        <f ca="1">IF(INDIRECT("'数据-取费表'!c"&amp;$G$1)="住宅",'数据-取费表'!B34,0)</f>
        <v>0</v>
      </c>
      <c r="G16" s="1846"/>
      <c r="H16" s="1324" t="s">
        <v>1026</v>
      </c>
      <c r="I16" s="1325" t="s">
        <v>1418</v>
      </c>
      <c r="J16" s="350">
        <f ca="1">ROUND(J17+J22+J23+J24,0)</f>
        <v>394</v>
      </c>
      <c r="K16" s="1332" t="s">
        <v>1419</v>
      </c>
      <c r="L16" s="2947"/>
      <c r="M16" s="1289"/>
    </row>
    <row r="17" spans="1:37" s="1853" customFormat="1" ht="18" customHeight="1">
      <c r="A17" s="1196" t="s">
        <v>1384</v>
      </c>
      <c r="B17" s="342" t="s">
        <v>1420</v>
      </c>
      <c r="C17" s="24">
        <f ca="1">ROUND(F17*(F43+INDIRECT("'数据-取费表'!S"&amp;$G$1))/10000,0)</f>
        <v>1276</v>
      </c>
      <c r="D17" s="342" t="s">
        <v>1421</v>
      </c>
      <c r="E17" s="342" t="s">
        <v>1422</v>
      </c>
      <c r="F17" s="26">
        <f>'数据-取费表'!B35</f>
        <v>200</v>
      </c>
      <c r="G17" s="1849"/>
      <c r="H17" s="1196" t="s">
        <v>1031</v>
      </c>
      <c r="I17" s="342" t="s">
        <v>1423</v>
      </c>
      <c r="J17" s="24">
        <f ca="1">ROUND(IF(项目基本情况!B11="自然人",J6*M17/(1+'数据-取费表'!C42),J18+J19+J20),1)</f>
        <v>182.2</v>
      </c>
      <c r="K17" s="2945" t="s">
        <v>1424</v>
      </c>
      <c r="L17" s="2946"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230</v>
      </c>
      <c r="D18" s="342" t="s">
        <v>1415</v>
      </c>
      <c r="E18" s="342" t="s">
        <v>1416</v>
      </c>
      <c r="F18" s="362">
        <f>'数据-取费表'!B36</f>
        <v>1.4999999999999999E-2</v>
      </c>
      <c r="G18" s="1849"/>
      <c r="H18" s="1196" t="s">
        <v>1030</v>
      </c>
      <c r="I18" s="342" t="s">
        <v>1427</v>
      </c>
      <c r="J18" s="24">
        <f ca="1">ROUND(J6*M18/(1+'数据-取费表'!C42),2)</f>
        <v>0</v>
      </c>
      <c r="K18" s="2946"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17272</v>
      </c>
      <c r="D19" s="135" t="s">
        <v>1430</v>
      </c>
      <c r="E19" s="2940"/>
      <c r="F19" s="26"/>
      <c r="G19" s="1846"/>
      <c r="H19" s="1196" t="s">
        <v>1032</v>
      </c>
      <c r="I19" s="342" t="s">
        <v>1431</v>
      </c>
      <c r="J19" s="24">
        <f ca="1">IF(K19="按租金收入计税",ROUND(J6*M19/(1+'数据-取费表'!C42),2),ROUND(C29*M19*0.7,2))</f>
        <v>177.47</v>
      </c>
      <c r="K19" s="1823" t="s">
        <v>1432</v>
      </c>
      <c r="L19" s="342" t="s">
        <v>1416</v>
      </c>
      <c r="M19" s="362">
        <f>IF(K19="按租金收入计税",'数据-取费表'!B51,'数据-取费表'!B50)</f>
        <v>1.2E-2</v>
      </c>
    </row>
    <row r="20" spans="1:37" s="1853" customFormat="1" ht="18" customHeight="1">
      <c r="A20" s="1196" t="s">
        <v>1035</v>
      </c>
      <c r="B20" s="342" t="s">
        <v>1433</v>
      </c>
      <c r="C20" s="24">
        <f ca="1">ROUND(C19*F20,0)</f>
        <v>345</v>
      </c>
      <c r="D20" s="364" t="s">
        <v>1434</v>
      </c>
      <c r="E20" s="342" t="s">
        <v>1416</v>
      </c>
      <c r="F20" s="362">
        <f>'数据-取费表'!B37</f>
        <v>0.02</v>
      </c>
      <c r="G20" s="1849"/>
      <c r="H20" s="1196" t="s">
        <v>1383</v>
      </c>
      <c r="I20" s="159" t="s">
        <v>1435</v>
      </c>
      <c r="J20" s="25">
        <f ca="1">ROUND(M20*M21/10000,2)</f>
        <v>4.7</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v>
      </c>
      <c r="D21" s="364" t="s">
        <v>1439</v>
      </c>
      <c r="E21" s="342" t="s">
        <v>1440</v>
      </c>
      <c r="F21" s="362">
        <f>'数据-取费表'!B38</f>
        <v>0.02</v>
      </c>
      <c r="G21" s="1849"/>
      <c r="H21" s="367"/>
      <c r="I21" s="351"/>
      <c r="J21" s="29"/>
      <c r="K21" s="368"/>
      <c r="L21" s="342" t="s">
        <v>1441</v>
      </c>
      <c r="M21" s="343">
        <f ca="1">INDIRECT("'数据-取费表'!r"&amp;$G$1)</f>
        <v>31332.17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2940"/>
      <c r="F22" s="26"/>
      <c r="G22" s="1846"/>
      <c r="H22" s="1196" t="s">
        <v>1035</v>
      </c>
      <c r="I22" s="342" t="s">
        <v>1443</v>
      </c>
      <c r="J22" s="24">
        <f ca="1">ROUND(J14*M22,1)</f>
        <v>211.3</v>
      </c>
      <c r="K22" s="2946" t="s">
        <v>1444</v>
      </c>
      <c r="L22" s="342" t="s">
        <v>1416</v>
      </c>
      <c r="M22" s="369">
        <f ca="1">INDIRECT("'数据-取费表'!Ak"&amp;$G$1)</f>
        <v>0.01</v>
      </c>
    </row>
    <row r="23" spans="1:37" s="1853" customFormat="1" ht="18" customHeight="1">
      <c r="A23" s="1196" t="s">
        <v>1030</v>
      </c>
      <c r="B23" s="342" t="s">
        <v>1445</v>
      </c>
      <c r="C23" s="24">
        <f ca="1">IF('数据-取费表'!B22&lt;=1,ROUND(C19*F24*F23/2,0)+ROUND(C20*F24*F23/2,0),ROUND(C19*(POWER((1+F24),F23/2)-1),0)+ROUND(C20*(POWER((1+F24),F23/2)-1),0))</f>
        <v>1053</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ROUND(J13*M23,1)</f>
        <v>0</v>
      </c>
      <c r="K23" s="2946" t="s">
        <v>1448</v>
      </c>
      <c r="L23" s="342" t="s">
        <v>1416</v>
      </c>
      <c r="M23" s="371">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1386</v>
      </c>
      <c r="I24" s="1335" t="s">
        <v>1433</v>
      </c>
      <c r="J24" s="1336">
        <f ca="1">ROUND(J5*M24,1)</f>
        <v>0</v>
      </c>
      <c r="K24" s="1337" t="s">
        <v>1453</v>
      </c>
      <c r="L24" s="1335" t="s">
        <v>1416</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1454</v>
      </c>
      <c r="B25" s="342" t="s">
        <v>1455</v>
      </c>
      <c r="C25" s="24"/>
      <c r="D25" s="135" t="s">
        <v>1456</v>
      </c>
      <c r="E25" s="2940"/>
      <c r="F25" s="26"/>
      <c r="G25" s="1846"/>
      <c r="H25" s="1324" t="s">
        <v>1027</v>
      </c>
      <c r="I25" s="1339" t="s">
        <v>1457</v>
      </c>
      <c r="J25" s="350">
        <f ca="1">J5-J16</f>
        <v>-394</v>
      </c>
      <c r="K25" s="1340" t="s">
        <v>1458</v>
      </c>
      <c r="L25" s="1341"/>
      <c r="M25" s="1342"/>
    </row>
    <row r="26" spans="1:37" ht="13">
      <c r="A26" s="1196" t="s">
        <v>1030</v>
      </c>
      <c r="B26" s="342" t="s">
        <v>1459</v>
      </c>
      <c r="C26" s="24">
        <f ca="1">ROUND((C19+C20)*F26,0)</f>
        <v>881</v>
      </c>
      <c r="D26" s="364" t="s">
        <v>1460</v>
      </c>
      <c r="E26" s="353" t="s">
        <v>1461</v>
      </c>
      <c r="F26" s="352">
        <f ca="1">INDIRECT("'数据-取费表'!q"&amp;$G$1)</f>
        <v>0.05</v>
      </c>
      <c r="G26" s="1846"/>
      <c r="H26" s="339" t="s">
        <v>1028</v>
      </c>
      <c r="I26" s="340" t="s">
        <v>1462</v>
      </c>
      <c r="J26" s="341">
        <f ca="1">IF(J5&lt;&gt;0,ROUND(J25*(1-((1+M28)/(1+M26))^M27)/(M26-M28),0),0)</f>
        <v>0</v>
      </c>
      <c r="K26" s="365" t="s">
        <v>1463</v>
      </c>
      <c r="L26" s="342" t="s">
        <v>1464</v>
      </c>
      <c r="M26" s="352">
        <f ca="1">INDIRECT("'数据-取费表'!I"&amp;$G$1)</f>
        <v>0.05</v>
      </c>
    </row>
    <row r="27" spans="1:37" ht="18" customHeight="1">
      <c r="A27" s="1196" t="s">
        <v>1032</v>
      </c>
      <c r="B27" s="342" t="s">
        <v>1465</v>
      </c>
      <c r="C27" s="24">
        <f ca="1">ROUND(F21*F26,4)</f>
        <v>1E-3</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21127</v>
      </c>
      <c r="D29" s="1337"/>
      <c r="E29" s="1335"/>
      <c r="F29" s="1338"/>
      <c r="G29" s="1849"/>
      <c r="H29" s="375" t="s">
        <v>1029</v>
      </c>
      <c r="I29" s="376" t="s">
        <v>1473</v>
      </c>
      <c r="J29" s="377">
        <f ca="1">ROUND(J26/(1+F40)^F41,0)</f>
        <v>0</v>
      </c>
      <c r="K29" s="378" t="s">
        <v>1474</v>
      </c>
      <c r="L29" s="379"/>
      <c r="M29" s="380">
        <f ca="1">INDIRECT("'数据-取费表'!k"&amp;$G$1)</f>
        <v>56260.9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479</v>
      </c>
      <c r="D30" s="1332" t="s">
        <v>1419</v>
      </c>
      <c r="E30" s="2947"/>
      <c r="F30" s="1289"/>
      <c r="G30" s="1846"/>
      <c r="H30" s="740"/>
      <c r="I30" s="741"/>
      <c r="J30" s="742"/>
      <c r="K30" s="743"/>
      <c r="L30" s="744"/>
      <c r="M30" s="745"/>
    </row>
    <row r="31" spans="1:37" ht="18" customHeight="1">
      <c r="A31" s="1196" t="s">
        <v>1031</v>
      </c>
      <c r="B31" s="342" t="s">
        <v>1423</v>
      </c>
      <c r="C31" s="24">
        <f ca="1">ROUND(IF(项目基本情况!B11="自然人",C6*F31/(1+'数据-取费表'!C42),C32+C33+C34),1)</f>
        <v>223.2</v>
      </c>
      <c r="D31" s="2945" t="s">
        <v>1424</v>
      </c>
      <c r="E31" s="2946"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IF(项目基本情况!B11="自然人","——",ROUND(C6*F32/(1+'数据-取费表'!C42),2))</f>
        <v>68.67</v>
      </c>
      <c r="D32" s="2946"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IF(项目基本情况!B11="自然人","——",IF(D33="按租金收入计税",ROUND(C6*F33/(1+'数据-取费表'!C42),2),IF(D33="按房产原值计税",ROUND(C29*F33*0.7,2),INDIRECT("'数据-取费表'!Aj"&amp;$G$1))))</f>
        <v>149.83000000000001</v>
      </c>
      <c r="D33" s="1823" t="s">
        <v>3276</v>
      </c>
      <c r="E33" s="342" t="s">
        <v>1416</v>
      </c>
      <c r="F33" s="362">
        <f>IF(D33="按票据","——",IF(D33="按租金收入计税",'数据-取费表'!B51,'数据-取费表'!B50))</f>
        <v>0.12</v>
      </c>
      <c r="G33" s="1846"/>
      <c r="H33" s="1854"/>
      <c r="I33" s="1855"/>
      <c r="J33" s="1856"/>
      <c r="K33" s="1857"/>
      <c r="L33" s="1854"/>
      <c r="M33" s="1854"/>
    </row>
    <row r="34" spans="1:18" ht="18" customHeight="1">
      <c r="A34" s="1286" t="s">
        <v>1383</v>
      </c>
      <c r="B34" s="159" t="s">
        <v>1435</v>
      </c>
      <c r="C34" s="25">
        <f ca="1">IF(项目基本情况!B11="自然人","——",ROUND(F34*F35/10000,2))</f>
        <v>4.7</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31332.17</v>
      </c>
      <c r="G35" s="1846"/>
      <c r="H35" s="740"/>
      <c r="I35" s="1855"/>
      <c r="J35" s="1856"/>
      <c r="K35" s="1857"/>
      <c r="L35" s="1854"/>
      <c r="M35" s="1854"/>
    </row>
    <row r="36" spans="1:18" ht="18" customHeight="1">
      <c r="A36" s="1347" t="s">
        <v>1035</v>
      </c>
      <c r="B36" s="342" t="s">
        <v>1443</v>
      </c>
      <c r="C36" s="24">
        <f ca="1">ROUND(C29*F36,1)</f>
        <v>211.3</v>
      </c>
      <c r="D36" s="2946" t="s">
        <v>1476</v>
      </c>
      <c r="E36" s="342" t="s">
        <v>1416</v>
      </c>
      <c r="F36" s="369">
        <f ca="1">INDIRECT("'数据-取费表'!Ak"&amp;$G$1)</f>
        <v>0.01</v>
      </c>
      <c r="G36" s="1846"/>
      <c r="H36" s="1854"/>
      <c r="I36" s="1855"/>
      <c r="J36" s="1856"/>
      <c r="K36" s="746"/>
      <c r="L36" s="1854"/>
      <c r="M36" s="1854"/>
    </row>
    <row r="37" spans="1:18" ht="18" customHeight="1">
      <c r="A37" s="1196" t="s">
        <v>1071</v>
      </c>
      <c r="B37" s="342" t="s">
        <v>1447</v>
      </c>
      <c r="C37" s="24">
        <f ca="1">ROUND(C13*F37,1)</f>
        <v>31.7</v>
      </c>
      <c r="D37" s="2946" t="s">
        <v>1448</v>
      </c>
      <c r="E37" s="342" t="s">
        <v>1416</v>
      </c>
      <c r="F37" s="371">
        <f ca="1">INDIRECT("'数据-取费表'!Al"&amp;$G$1)</f>
        <v>1.5E-3</v>
      </c>
      <c r="G37" s="1846"/>
      <c r="H37" s="1854"/>
      <c r="I37" s="1855"/>
      <c r="J37" s="1856"/>
      <c r="K37" s="746"/>
      <c r="L37" s="1854"/>
      <c r="M37" s="1854"/>
    </row>
    <row r="38" spans="1:18" ht="18" customHeight="1" thickBot="1">
      <c r="A38" s="1334" t="s">
        <v>1386</v>
      </c>
      <c r="B38" s="1335" t="s">
        <v>1433</v>
      </c>
      <c r="C38" s="1336">
        <f ca="1">ROUND(C5*F38,1)</f>
        <v>13.1</v>
      </c>
      <c r="D38" s="1337" t="s">
        <v>1453</v>
      </c>
      <c r="E38" s="1335" t="s">
        <v>1416</v>
      </c>
      <c r="F38" s="1331">
        <f ca="1">INDIRECT("'数据-取费表'!Am"&amp;$G$1)</f>
        <v>0.01</v>
      </c>
      <c r="G38" s="1846"/>
      <c r="H38" s="1854"/>
      <c r="I38" s="1855"/>
      <c r="J38" s="1856"/>
      <c r="K38" s="1860"/>
      <c r="L38" s="1854"/>
      <c r="M38" s="1854"/>
    </row>
    <row r="39" spans="1:18" ht="24.65" customHeight="1" thickTop="1">
      <c r="A39" s="1324" t="s">
        <v>1027</v>
      </c>
      <c r="B39" s="1339" t="s">
        <v>1457</v>
      </c>
      <c r="C39" s="350">
        <f ca="1">C5-C30</f>
        <v>832</v>
      </c>
      <c r="D39" s="1340" t="s">
        <v>1458</v>
      </c>
      <c r="E39" s="1341"/>
      <c r="F39" s="1342"/>
      <c r="G39" s="1846"/>
      <c r="H39" s="1854"/>
      <c r="I39" s="1855"/>
      <c r="J39" s="1856"/>
      <c r="K39" s="1860"/>
      <c r="L39" s="1854"/>
      <c r="M39" s="1854"/>
    </row>
    <row r="40" spans="1:18" ht="18" customHeight="1">
      <c r="A40" s="339" t="s">
        <v>1028</v>
      </c>
      <c r="B40" s="340" t="s">
        <v>1479</v>
      </c>
      <c r="C40" s="341">
        <f ca="1">ROUND(C39*(1-((1+F42)/(1+F40))^F41)/(F40-F42),0)</f>
        <v>21049</v>
      </c>
      <c r="D40" s="365" t="s">
        <v>1463</v>
      </c>
      <c r="E40" s="342" t="s">
        <v>1464</v>
      </c>
      <c r="F40" s="352">
        <f ca="1">INDIRECT("'数据-取费表'!I"&amp;$G$1)</f>
        <v>0.05</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41.54</v>
      </c>
      <c r="G41" s="1846"/>
      <c r="H41" s="727"/>
      <c r="I41" s="1855"/>
      <c r="J41" s="1856"/>
      <c r="K41" s="746"/>
      <c r="L41" s="727"/>
      <c r="M41" s="727"/>
    </row>
    <row r="42" spans="1:18" ht="18" customHeight="1">
      <c r="A42" s="348"/>
      <c r="B42" s="349"/>
      <c r="C42" s="350"/>
      <c r="D42" s="368"/>
      <c r="E42" s="342" t="s">
        <v>1471</v>
      </c>
      <c r="F42" s="352">
        <f ca="1">INDIRECT("'数据-取费表'!v"&amp;$G$1)</f>
        <v>2.5000000000000001E-2</v>
      </c>
      <c r="G42" s="1846"/>
      <c r="H42" s="727"/>
      <c r="I42" s="1855"/>
      <c r="J42" s="1856"/>
      <c r="K42" s="746"/>
      <c r="L42" s="727"/>
      <c r="M42" s="727"/>
    </row>
    <row r="43" spans="1:18" ht="18" customHeight="1" thickBot="1">
      <c r="A43" s="375" t="s">
        <v>1029</v>
      </c>
      <c r="B43" s="376" t="s">
        <v>1481</v>
      </c>
      <c r="C43" s="377">
        <f ca="1">ROUND(C40*10000/F43,0)</f>
        <v>3741</v>
      </c>
      <c r="D43" s="378" t="s">
        <v>1482</v>
      </c>
      <c r="E43" s="379" t="s">
        <v>1483</v>
      </c>
      <c r="F43" s="380">
        <f ca="1">INDIRECT("'数据-取费表'!k"&amp;$G$1)</f>
        <v>56260.9</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1513</v>
      </c>
      <c r="P45" s="1834"/>
      <c r="Q45" s="1834"/>
      <c r="R45" s="1834"/>
    </row>
    <row r="46" spans="1:18" s="1837" customFormat="1" ht="14" thickBot="1">
      <c r="A46" s="1865" t="s">
        <v>1514</v>
      </c>
      <c r="C46" s="1866">
        <f ca="1">C68-C40</f>
        <v>-56160</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5" thickBot="1">
      <c r="A47" s="1160" t="s">
        <v>1390</v>
      </c>
      <c r="B47" s="1192" t="s">
        <v>1391</v>
      </c>
      <c r="C47" s="1362" t="s">
        <v>1392</v>
      </c>
      <c r="D47" s="1192" t="s">
        <v>1393</v>
      </c>
      <c r="E47" s="1274" t="s">
        <v>1394</v>
      </c>
      <c r="F47" s="1275"/>
      <c r="G47" s="787"/>
      <c r="I47" s="1875" t="s">
        <v>1520</v>
      </c>
      <c r="J47" s="1876" t="s">
        <v>3277</v>
      </c>
      <c r="K47" s="1877" t="s">
        <v>1521</v>
      </c>
      <c r="L47" s="1878">
        <f ca="1">INDIRECT("'数据-取费表'!d"&amp;$G$1)</f>
        <v>50</v>
      </c>
      <c r="M47" s="1833" t="str">
        <f>IF(ISNUMBER(FIND("住宅",C1)),"住宅","非住宅")</f>
        <v>非住宅</v>
      </c>
      <c r="O47" s="1879" t="s">
        <v>1036</v>
      </c>
      <c r="P47" s="1880" t="s">
        <v>1522</v>
      </c>
      <c r="Q47" s="1881">
        <f ca="1">C40+J29</f>
        <v>21049</v>
      </c>
      <c r="R47" s="1881" t="s">
        <v>1523</v>
      </c>
    </row>
    <row r="48" spans="1:18" s="1837" customFormat="1" ht="43.5" thickBot="1">
      <c r="A48" s="1355" t="s">
        <v>1131</v>
      </c>
      <c r="B48" s="340" t="s">
        <v>1395</v>
      </c>
      <c r="C48" s="2939">
        <f ca="1">C49+C53+C55</f>
        <v>0</v>
      </c>
      <c r="D48" s="1357"/>
      <c r="E48" s="1358"/>
      <c r="F48" s="1176"/>
      <c r="G48" s="787"/>
      <c r="H48" s="788"/>
      <c r="I48" s="1882" t="s">
        <v>1524</v>
      </c>
      <c r="J48" s="1883" t="s">
        <v>3278</v>
      </c>
      <c r="K48" s="1884" t="s">
        <v>1525</v>
      </c>
      <c r="L48" s="1885">
        <f ca="1">INDIRECT("'数据-取费表'!f"&amp;$G$1)</f>
        <v>43.5</v>
      </c>
      <c r="O48" s="1879" t="s">
        <v>1037</v>
      </c>
      <c r="P48" s="1880" t="s">
        <v>1526</v>
      </c>
      <c r="Q48" s="1881" t="str">
        <f ca="1">J60</f>
        <v>0</v>
      </c>
      <c r="R48" s="1881" t="s">
        <v>1527</v>
      </c>
    </row>
    <row r="49" spans="1:18" s="1837" customFormat="1" ht="13.5" thickBot="1">
      <c r="A49" s="1189" t="s">
        <v>1132</v>
      </c>
      <c r="B49" s="1824" t="s">
        <v>1484</v>
      </c>
      <c r="C49" s="1359">
        <f ca="1">ROUND(F49*F51*F50*(1-F52)/10000,0)</f>
        <v>0</v>
      </c>
      <c r="D49" s="1271" t="s">
        <v>3020</v>
      </c>
      <c r="E49" s="1825" t="s">
        <v>1485</v>
      </c>
      <c r="F49" s="1276"/>
      <c r="G49" s="1886"/>
      <c r="H49" s="788"/>
      <c r="I49" s="1882" t="s">
        <v>1528</v>
      </c>
      <c r="J49" s="1887"/>
      <c r="K49" s="1884" t="s">
        <v>1529</v>
      </c>
      <c r="L49" s="1888"/>
      <c r="O49" s="1889" t="s">
        <v>1038</v>
      </c>
      <c r="P49" s="1880" t="s">
        <v>1530</v>
      </c>
      <c r="Q49" s="1881">
        <f ca="1">C29</f>
        <v>21127</v>
      </c>
      <c r="R49" s="1881" t="s">
        <v>1523</v>
      </c>
    </row>
    <row r="50" spans="1:18" s="1837" customFormat="1" ht="13.5" thickBot="1">
      <c r="A50" s="1190"/>
      <c r="B50" s="1193"/>
      <c r="C50" s="1363"/>
      <c r="D50" s="1167"/>
      <c r="E50" s="1272" t="s">
        <v>1400</v>
      </c>
      <c r="F50" s="1273">
        <f ca="1">F7</f>
        <v>1607</v>
      </c>
      <c r="H50" s="788"/>
      <c r="I50" s="1882" t="s">
        <v>1531</v>
      </c>
      <c r="J50" s="1890">
        <f>SUMPRODUCT((I63:I65=J47)*(J62:L62=J48)*(J63:L65))</f>
        <v>60</v>
      </c>
      <c r="K50" s="1884" t="s">
        <v>1532</v>
      </c>
      <c r="L50" s="1888"/>
      <c r="M50" s="1891"/>
      <c r="O50" s="1889" t="s">
        <v>1039</v>
      </c>
      <c r="P50" s="1880" t="s">
        <v>1533</v>
      </c>
      <c r="Q50" s="1892" t="e">
        <f ca="1">J58</f>
        <v>#VALUE!</v>
      </c>
      <c r="R50" s="1881"/>
    </row>
    <row r="51" spans="1:18" s="1837" customFormat="1" ht="13.5" thickBot="1">
      <c r="A51" s="1191"/>
      <c r="B51" s="1193"/>
      <c r="C51" s="1194"/>
      <c r="D51" s="1167"/>
      <c r="E51" s="1195" t="s">
        <v>1401</v>
      </c>
      <c r="F51" s="343">
        <f ca="1">F8</f>
        <v>12</v>
      </c>
      <c r="I51" s="1893" t="s">
        <v>1534</v>
      </c>
      <c r="J51" s="1894">
        <f>IF(J49="",J50,J49+J50-YEAR('数据-取费表'!B2))</f>
        <v>60</v>
      </c>
      <c r="K51" s="1895" t="s">
        <v>1535</v>
      </c>
      <c r="L51" s="1896">
        <f ca="1">ROUND(-PV(INDIRECT("'数据-取费表'!h"&amp;$G$1),L48,(C39-C13*C76),0),0)</f>
        <v>-18261</v>
      </c>
      <c r="M51" s="1897"/>
      <c r="O51" s="1889" t="s">
        <v>1040</v>
      </c>
      <c r="P51" s="1880" t="s">
        <v>1536</v>
      </c>
      <c r="Q51" s="1892">
        <f>J52</f>
        <v>0.09</v>
      </c>
      <c r="R51" s="1881"/>
    </row>
    <row r="52" spans="1:18" s="1837" customFormat="1" ht="13.5" thickBot="1">
      <c r="A52" s="1191"/>
      <c r="B52" s="1193"/>
      <c r="C52" s="1194"/>
      <c r="D52" s="1167"/>
      <c r="E52" s="1195" t="s">
        <v>1402</v>
      </c>
      <c r="F52" s="1270"/>
      <c r="I52" s="1898" t="s">
        <v>1537</v>
      </c>
      <c r="J52" s="1899">
        <v>0.09</v>
      </c>
      <c r="K52" s="1898" t="s">
        <v>1538</v>
      </c>
      <c r="L52" s="1899"/>
      <c r="O52" s="1889" t="s">
        <v>1041</v>
      </c>
      <c r="P52" s="1880" t="s">
        <v>1539</v>
      </c>
      <c r="Q52" s="1881">
        <f ca="1">J53</f>
        <v>41.54</v>
      </c>
      <c r="R52" s="1881" t="s">
        <v>1540</v>
      </c>
    </row>
    <row r="53" spans="1:18" s="1837" customFormat="1" ht="26.5" thickBot="1">
      <c r="A53" s="1400" t="s">
        <v>1133</v>
      </c>
      <c r="B53" s="1826" t="s">
        <v>1403</v>
      </c>
      <c r="C53" s="356">
        <f ca="1">ROUND(IF(F53="押一",C49/12*F11,IF(F53="押二",C49/12*2*F11,IF(F53="押三",C49/12*3*F11,C54*F11))),0)</f>
        <v>0</v>
      </c>
      <c r="D53" s="1819" t="s">
        <v>3029</v>
      </c>
      <c r="E53" s="353" t="s">
        <v>1404</v>
      </c>
      <c r="F53" s="1361"/>
      <c r="I53" s="1900" t="s">
        <v>1541</v>
      </c>
      <c r="J53" s="2936">
        <f ca="1">IF(M47="住宅",IF(D1="——",MAX(J51,L48),MAX(J51,L48-'数据-取费表'!B24)),IF(D1="——",MIN(J51,L48),MIN(J51,L48-'数据-取费表'!B24)))</f>
        <v>41.54</v>
      </c>
      <c r="K53" s="3287" t="s">
        <v>1542</v>
      </c>
      <c r="L53" s="3288"/>
      <c r="O53" s="1879" t="s">
        <v>1042</v>
      </c>
      <c r="P53" s="1880" t="s">
        <v>1543</v>
      </c>
      <c r="Q53" s="1881">
        <f ca="1">Q47+Q48</f>
        <v>21049</v>
      </c>
      <c r="R53" s="1881" t="s">
        <v>1043</v>
      </c>
    </row>
    <row r="54" spans="1:18" s="1837" customFormat="1" ht="26.5" thickBot="1">
      <c r="A54" s="1401"/>
      <c r="B54" s="1820" t="s">
        <v>1382</v>
      </c>
      <c r="C54" s="1173"/>
      <c r="D54" s="1819"/>
      <c r="E54" s="2943"/>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5" thickBot="1">
      <c r="A55" s="1328" t="s">
        <v>1071</v>
      </c>
      <c r="B55" s="1822" t="s">
        <v>1407</v>
      </c>
      <c r="C55" s="1329"/>
      <c r="D55" s="1819"/>
      <c r="E55" s="2943"/>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40" thickTop="1" thickBot="1">
      <c r="A56" s="1171">
        <v>2</v>
      </c>
      <c r="B56" s="1172" t="s">
        <v>1408</v>
      </c>
      <c r="C56" s="271">
        <f ca="1">C13</f>
        <v>21127</v>
      </c>
      <c r="D56" s="1908"/>
      <c r="E56" s="1909"/>
      <c r="F56" s="1901"/>
      <c r="I56" s="1910" t="s">
        <v>1548</v>
      </c>
      <c r="J56" s="1911" t="s">
        <v>3056</v>
      </c>
      <c r="K56" s="1882" t="s">
        <v>1549</v>
      </c>
      <c r="L56" s="1885" t="str">
        <f ca="1">IF(L48&lt;J51,"——",L48-J53)</f>
        <v>——</v>
      </c>
      <c r="O56" s="1879" t="s">
        <v>1036</v>
      </c>
      <c r="P56" s="1880" t="s">
        <v>1522</v>
      </c>
      <c r="Q56" s="1881">
        <f ca="1">C40+J29</f>
        <v>21049</v>
      </c>
      <c r="R56" s="1881" t="s">
        <v>1523</v>
      </c>
    </row>
    <row r="57" spans="1:18" s="1837" customFormat="1" ht="26.5" thickBot="1">
      <c r="A57" s="1912"/>
      <c r="B57" s="1164" t="s">
        <v>1472</v>
      </c>
      <c r="C57" s="277">
        <f ca="1">C29</f>
        <v>21127</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6.5" thickBot="1">
      <c r="A58" s="355" t="s">
        <v>1026</v>
      </c>
      <c r="B58" s="1172" t="s">
        <v>1418</v>
      </c>
      <c r="C58" s="356">
        <f ca="1">ROUND(C59+C64+C65+C66,0)</f>
        <v>2022</v>
      </c>
      <c r="D58" s="1174" t="s">
        <v>1419</v>
      </c>
      <c r="E58" s="1175"/>
      <c r="F58" s="1176"/>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6.5" thickBot="1">
      <c r="A59" s="1196" t="s">
        <v>1031</v>
      </c>
      <c r="B59" s="1164" t="s">
        <v>1423</v>
      </c>
      <c r="C59" s="24">
        <f ca="1">ROUND(IF(项目基本情况!B11="自然人",C48*F59,C60+C61+C62),1)</f>
        <v>1779.4</v>
      </c>
      <c r="D59" s="1177" t="s">
        <v>1424</v>
      </c>
      <c r="E59" s="1178" t="s">
        <v>1425</v>
      </c>
      <c r="F59" s="363"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 thickBot="1">
      <c r="A60" s="1196" t="s">
        <v>1030</v>
      </c>
      <c r="B60" s="1164" t="s">
        <v>1427</v>
      </c>
      <c r="C60" s="24">
        <f ca="1">IF(项目基本情况!B11="自然人","——",ROUND(C48*F60/(1+'数据-取费表'!C42),2))</f>
        <v>0</v>
      </c>
      <c r="D60" s="1178" t="s">
        <v>1428</v>
      </c>
      <c r="E60" s="1164" t="s">
        <v>1416</v>
      </c>
      <c r="F60" s="372">
        <f t="shared" ref="F60:F66" si="0">F32</f>
        <v>5.5000000000000007E-2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5" thickBot="1">
      <c r="A61" s="1196" t="s">
        <v>1486</v>
      </c>
      <c r="B61" s="1164" t="s">
        <v>1431</v>
      </c>
      <c r="C61" s="24">
        <f ca="1">IF(项目基本情况!B11="自然人","——",IF(D61="按租金收入计税",ROUND(C48*F61,2),IF(D61="按房产原值计税",ROUND(C57*F61*0.7,2),INDIRECT("'数据-取费表'!Aj"&amp;$G$1))))</f>
        <v>1774.67</v>
      </c>
      <c r="D61" s="1823" t="s">
        <v>1432</v>
      </c>
      <c r="E61" s="1164" t="s">
        <v>1416</v>
      </c>
      <c r="F61" s="362">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5" thickBot="1">
      <c r="A62" s="1196" t="s">
        <v>1489</v>
      </c>
      <c r="B62" s="1163" t="s">
        <v>1435</v>
      </c>
      <c r="C62" s="25">
        <f ca="1">IF(项目基本情况!B11="自然人","——",ROUND(F62*F63/10000,2))</f>
        <v>4.7</v>
      </c>
      <c r="D62" s="1179" t="s">
        <v>1436</v>
      </c>
      <c r="E62" s="1164" t="s">
        <v>1437</v>
      </c>
      <c r="F62" s="366">
        <f t="shared" si="0"/>
        <v>1.5</v>
      </c>
      <c r="I62" s="1923" t="s">
        <v>1564</v>
      </c>
      <c r="J62" s="1924" t="s">
        <v>1565</v>
      </c>
      <c r="K62" s="1924" t="s">
        <v>1566</v>
      </c>
      <c r="L62" s="1924" t="s">
        <v>1567</v>
      </c>
      <c r="M62" s="1925" t="s">
        <v>1568</v>
      </c>
      <c r="O62" s="1879" t="s">
        <v>1042</v>
      </c>
      <c r="P62" s="1880" t="s">
        <v>1543</v>
      </c>
      <c r="Q62" s="1881">
        <f ca="1">Q56+Q57</f>
        <v>21049</v>
      </c>
      <c r="R62" s="1881" t="s">
        <v>1043</v>
      </c>
    </row>
    <row r="63" spans="1:18" s="1837" customFormat="1" ht="13.5" thickBot="1">
      <c r="A63" s="367"/>
      <c r="B63" s="1170"/>
      <c r="C63" s="29"/>
      <c r="D63" s="1180"/>
      <c r="E63" s="1164" t="s">
        <v>1441</v>
      </c>
      <c r="F63" s="343">
        <f t="shared" ca="1" si="0"/>
        <v>31332.17</v>
      </c>
      <c r="I63" s="1923" t="s">
        <v>1570</v>
      </c>
      <c r="J63" s="1924">
        <v>70</v>
      </c>
      <c r="K63" s="1924">
        <v>50</v>
      </c>
      <c r="L63" s="1924">
        <v>80</v>
      </c>
      <c r="M63" s="1926">
        <v>0.02</v>
      </c>
      <c r="O63" s="1864" t="s">
        <v>1571</v>
      </c>
      <c r="P63" s="1834"/>
      <c r="Q63" s="1834"/>
      <c r="R63" s="1834"/>
    </row>
    <row r="64" spans="1:18" s="1837" customFormat="1" ht="13.5" thickBot="1">
      <c r="A64" s="1196" t="s">
        <v>1035</v>
      </c>
      <c r="B64" s="1164" t="s">
        <v>1443</v>
      </c>
      <c r="C64" s="24">
        <f ca="1">ROUND(C57*F64,1)</f>
        <v>211.3</v>
      </c>
      <c r="D64" s="1178" t="s">
        <v>1476</v>
      </c>
      <c r="E64" s="1164" t="s">
        <v>1416</v>
      </c>
      <c r="F64" s="369">
        <f t="shared" ca="1" si="0"/>
        <v>0.01</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ROUND(C56*F65,1)</f>
        <v>31.7</v>
      </c>
      <c r="D65" s="1178" t="s">
        <v>1448</v>
      </c>
      <c r="E65" s="1164" t="s">
        <v>1416</v>
      </c>
      <c r="F65" s="371">
        <f t="shared" ca="1" si="0"/>
        <v>1.5E-3</v>
      </c>
      <c r="I65" s="1923" t="s">
        <v>1573</v>
      </c>
      <c r="J65" s="1924">
        <v>40</v>
      </c>
      <c r="K65" s="1924">
        <v>30</v>
      </c>
      <c r="L65" s="1924">
        <v>50</v>
      </c>
      <c r="M65" s="1926">
        <v>0.02</v>
      </c>
      <c r="O65" s="1879" t="s">
        <v>1036</v>
      </c>
      <c r="P65" s="1880" t="s">
        <v>1522</v>
      </c>
      <c r="Q65" s="1881">
        <f ca="1">C40+J29</f>
        <v>21049</v>
      </c>
      <c r="R65" s="1881" t="s">
        <v>1523</v>
      </c>
    </row>
    <row r="66" spans="1:18" s="1837" customFormat="1" ht="16" thickBot="1">
      <c r="A66" s="1196" t="s">
        <v>1498</v>
      </c>
      <c r="B66" s="1164" t="s">
        <v>1433</v>
      </c>
      <c r="C66" s="24">
        <f ca="1">ROUND(C48*F66,1)</f>
        <v>0</v>
      </c>
      <c r="D66" s="1178" t="s">
        <v>1453</v>
      </c>
      <c r="E66" s="1164" t="s">
        <v>1416</v>
      </c>
      <c r="F66" s="352">
        <f t="shared" ca="1" si="0"/>
        <v>0.01</v>
      </c>
      <c r="O66" s="1879" t="s">
        <v>1037</v>
      </c>
      <c r="P66" s="1880" t="s">
        <v>1552</v>
      </c>
      <c r="Q66" s="1881">
        <f ca="1">L60</f>
        <v>0</v>
      </c>
      <c r="R66" s="1881" t="s">
        <v>1575</v>
      </c>
    </row>
    <row r="67" spans="1:18" s="1837" customFormat="1" ht="26.5" thickBot="1">
      <c r="A67" s="1171" t="s">
        <v>1027</v>
      </c>
      <c r="B67" s="1181" t="s">
        <v>1457</v>
      </c>
      <c r="C67" s="356">
        <f ca="1">C48-C58</f>
        <v>-2022</v>
      </c>
      <c r="D67" s="1177" t="s">
        <v>1458</v>
      </c>
      <c r="E67" s="1182"/>
      <c r="F67" s="1183"/>
      <c r="O67" s="1889" t="s">
        <v>1038</v>
      </c>
      <c r="P67" s="1880" t="s">
        <v>1556</v>
      </c>
      <c r="Q67" s="1927">
        <f ca="1">L51</f>
        <v>-18261</v>
      </c>
      <c r="R67" s="1881" t="s">
        <v>1576</v>
      </c>
    </row>
    <row r="68" spans="1:18" s="1837" customFormat="1" ht="16" thickBot="1">
      <c r="A68" s="1161" t="s">
        <v>1028</v>
      </c>
      <c r="B68" s="1162" t="s">
        <v>1479</v>
      </c>
      <c r="C68" s="341">
        <f ca="1">ROUND(C67*(1-((1+F70)/(1+F68))^F69)/(F68-F70),0)</f>
        <v>-35111</v>
      </c>
      <c r="D68" s="1179" t="s">
        <v>1463</v>
      </c>
      <c r="E68" s="1164" t="s">
        <v>1464</v>
      </c>
      <c r="F68" s="352">
        <f ca="1">F40</f>
        <v>0.05</v>
      </c>
      <c r="O68" s="1889" t="s">
        <v>1039</v>
      </c>
      <c r="P68" s="1928" t="s">
        <v>1577</v>
      </c>
      <c r="Q68" s="1881">
        <f ca="1">ROUND(Q69-Q70*Q71,0)</f>
        <v>-964</v>
      </c>
      <c r="R68" s="1881" t="s">
        <v>1047</v>
      </c>
    </row>
    <row r="69" spans="1:18" s="1837" customFormat="1" ht="13.5" thickBot="1">
      <c r="A69" s="1165"/>
      <c r="B69" s="1166"/>
      <c r="C69" s="346"/>
      <c r="D69" s="1184" t="s">
        <v>1467</v>
      </c>
      <c r="E69" s="1164" t="s">
        <v>1468</v>
      </c>
      <c r="F69" s="374">
        <f ca="1">F41</f>
        <v>41.54</v>
      </c>
      <c r="O69" s="1889" t="s">
        <v>1044</v>
      </c>
      <c r="P69" s="1928" t="s">
        <v>1578</v>
      </c>
      <c r="Q69" s="1881">
        <f ca="1">C39</f>
        <v>832</v>
      </c>
      <c r="R69" s="1881" t="s">
        <v>1523</v>
      </c>
    </row>
    <row r="70" spans="1:18" s="1837" customFormat="1" ht="13.5" thickBot="1">
      <c r="A70" s="1168"/>
      <c r="B70" s="1169"/>
      <c r="C70" s="350"/>
      <c r="D70" s="1180"/>
      <c r="E70" s="1164" t="s">
        <v>1471</v>
      </c>
      <c r="F70" s="1270"/>
      <c r="O70" s="1889" t="s">
        <v>1045</v>
      </c>
      <c r="P70" s="1928" t="s">
        <v>1579</v>
      </c>
      <c r="Q70" s="1881">
        <f ca="1">C13</f>
        <v>21127</v>
      </c>
      <c r="R70" s="1881" t="s">
        <v>1523</v>
      </c>
    </row>
    <row r="71" spans="1:18" s="1837" customFormat="1" ht="13.5" thickBot="1">
      <c r="A71" s="1185" t="s">
        <v>1029</v>
      </c>
      <c r="B71" s="1186" t="s">
        <v>1481</v>
      </c>
      <c r="C71" s="377">
        <f ca="1">ROUND(C68*10000/F71,0)</f>
        <v>-6241</v>
      </c>
      <c r="D71" s="1187" t="s">
        <v>1482</v>
      </c>
      <c r="E71" s="1188" t="s">
        <v>1483</v>
      </c>
      <c r="F71" s="380">
        <f ca="1">F43</f>
        <v>56260.9</v>
      </c>
      <c r="O71" s="1889" t="s">
        <v>1046</v>
      </c>
      <c r="P71" s="1928" t="s">
        <v>1580</v>
      </c>
      <c r="Q71" s="1892">
        <f ca="1">C76</f>
        <v>8.5000000000000006E-2</v>
      </c>
      <c r="R71" s="1881"/>
    </row>
    <row r="72" spans="1:18" s="1837" customFormat="1" ht="13.5" thickBot="1">
      <c r="B72" s="791"/>
      <c r="C72" s="791"/>
      <c r="O72" s="1889" t="s">
        <v>1040</v>
      </c>
      <c r="P72" s="1880" t="s">
        <v>1558</v>
      </c>
      <c r="Q72" s="1892">
        <f>L52</f>
        <v>0</v>
      </c>
      <c r="R72" s="1881"/>
    </row>
    <row r="73" spans="1:18" ht="16"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续建工期及建筑物耐用年限下的土地年期修正系数Kn</v>
      </c>
      <c r="Q74" s="1881" t="e">
        <f ca="1">L59</f>
        <v>#DIV/0!</v>
      </c>
      <c r="R74" s="1881" t="s">
        <v>1563</v>
      </c>
    </row>
    <row r="75" spans="1:18" ht="13.5" thickBot="1">
      <c r="A75" s="1837"/>
      <c r="B75" s="381" t="s">
        <v>1500</v>
      </c>
      <c r="C75" s="382">
        <f ca="1">ROUND(C13*C76,0)</f>
        <v>1796</v>
      </c>
      <c r="D75" s="1837"/>
      <c r="E75" s="1837"/>
      <c r="F75" s="1837"/>
      <c r="K75" s="1863"/>
      <c r="L75" s="1837"/>
      <c r="O75" s="1879" t="s">
        <v>1042</v>
      </c>
      <c r="P75" s="1880" t="s">
        <v>1543</v>
      </c>
      <c r="Q75" s="1881">
        <f ca="1">Q65+Q66</f>
        <v>21049</v>
      </c>
      <c r="R75" s="1881" t="s">
        <v>1043</v>
      </c>
    </row>
    <row r="76" spans="1:18" ht="13">
      <c r="B76" s="383" t="s">
        <v>1501</v>
      </c>
      <c r="C76" s="384">
        <f ca="1">INDIRECT("'数据-取费表'!j"&amp;$G$1)</f>
        <v>8.5000000000000006E-2</v>
      </c>
      <c r="I76" s="1837"/>
      <c r="J76" s="1837"/>
      <c r="K76" s="1863"/>
      <c r="L76" s="1837"/>
    </row>
    <row r="77" spans="1:18" ht="13.5">
      <c r="B77" s="385" t="s">
        <v>1502</v>
      </c>
      <c r="C77" s="386"/>
      <c r="I77" s="1837"/>
      <c r="J77" s="1837"/>
      <c r="K77" s="1863"/>
      <c r="L77" s="1837"/>
    </row>
    <row r="78" spans="1:18" ht="13.5">
      <c r="B78" s="309" t="s">
        <v>1503</v>
      </c>
      <c r="C78" s="387"/>
    </row>
    <row r="79" spans="1:18" ht="13">
      <c r="B79" s="381" t="s">
        <v>1504</v>
      </c>
      <c r="C79" s="313">
        <f ca="1">1-C80</f>
        <v>-1.1589999999999998</v>
      </c>
    </row>
    <row r="80" spans="1:18" ht="13">
      <c r="B80" s="381" t="s">
        <v>1505</v>
      </c>
      <c r="C80" s="313">
        <f ca="1">ROUND(C75/C39,3)</f>
        <v>2.1589999999999998</v>
      </c>
    </row>
    <row r="81" spans="2:3" ht="13.5">
      <c r="B81" s="309" t="s">
        <v>1506</v>
      </c>
      <c r="C81" s="277"/>
    </row>
    <row r="82" spans="2:3" ht="13">
      <c r="B82" s="312" t="s">
        <v>1507</v>
      </c>
      <c r="C82" s="314">
        <f ca="1">1-C83</f>
        <v>-4.0000000000000036E-3</v>
      </c>
    </row>
    <row r="83" spans="2:3" ht="13">
      <c r="B83" s="312" t="s">
        <v>1508</v>
      </c>
      <c r="C83" s="313">
        <f ca="1">ROUND(C13/C40,3)</f>
        <v>1.004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297" customWidth="1"/>
    <col min="2" max="2" width="20.6328125" style="702" customWidth="1"/>
    <col min="3" max="3" width="11.90625" style="702" customWidth="1"/>
    <col min="4" max="4" width="40.453125" style="297" customWidth="1"/>
    <col min="5" max="5" width="15.90625" style="297" customWidth="1"/>
    <col min="6" max="6" width="10.6328125" style="297" customWidth="1"/>
    <col min="7" max="7" width="4.90625" style="297" customWidth="1"/>
    <col min="8" max="8" width="8.453125" style="297" customWidth="1"/>
    <col min="9" max="9" width="21.08984375" style="297" customWidth="1"/>
    <col min="10" max="10" width="12.08984375" style="297" customWidth="1"/>
    <col min="11" max="11" width="40.08984375" style="1929" customWidth="1"/>
    <col min="12" max="12" width="16.36328125" style="297" customWidth="1"/>
    <col min="13" max="13" width="13" style="297" customWidth="1"/>
    <col min="14" max="14" width="13.90625" style="1837" customWidth="1"/>
    <col min="15" max="15" width="5.08984375" style="1837" customWidth="1"/>
    <col min="16" max="16" width="25.90625" style="1837" customWidth="1"/>
    <col min="17" max="17" width="13.90625" style="1837" customWidth="1"/>
    <col min="18" max="18" width="20.453125" style="1837" customWidth="1"/>
    <col min="19" max="19" width="13.08984375" style="1837" customWidth="1"/>
    <col min="20" max="37" width="9" style="1837"/>
    <col min="38" max="16384" width="9" style="297"/>
  </cols>
  <sheetData>
    <row r="1" spans="1:37" s="332" customFormat="1" ht="21">
      <c r="A1" s="1828" t="s">
        <v>1583</v>
      </c>
      <c r="B1" s="777"/>
      <c r="C1" s="1832"/>
      <c r="D1" s="1815"/>
      <c r="E1" s="1816" t="s">
        <v>1381</v>
      </c>
      <c r="F1" s="1278">
        <f ca="1">J53</f>
        <v>-1.96</v>
      </c>
      <c r="G1" s="1831">
        <f>MATCH(C1,'数据-取费表'!A6:A16,0)+5</f>
        <v>12</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1584</v>
      </c>
      <c r="B2" s="1839" t="e">
        <f ca="1">ROUND(D2/10000,0)</f>
        <v>#DIV/0!</v>
      </c>
      <c r="C2" s="1840" t="s">
        <v>1585</v>
      </c>
      <c r="D2" s="1932" t="e">
        <f ca="1">C40+J29+L46</f>
        <v>#DIV/0!</v>
      </c>
      <c r="E2" s="1841" t="s">
        <v>1586</v>
      </c>
      <c r="F2" s="1842"/>
      <c r="G2" s="1843"/>
      <c r="H2" s="1835"/>
      <c r="I2" s="1835"/>
      <c r="J2" s="1835"/>
      <c r="K2" s="1836"/>
      <c r="L2" s="1835"/>
      <c r="M2" s="1835"/>
    </row>
    <row r="3" spans="1:37" ht="18" customHeight="1" thickBot="1">
      <c r="A3" s="1844" t="s">
        <v>1587</v>
      </c>
      <c r="B3" s="1845">
        <f ca="1">IF(ISERROR(D2/F43),0,ROUND(D2/F43,0))</f>
        <v>0</v>
      </c>
      <c r="C3" s="1840" t="s">
        <v>1588</v>
      </c>
      <c r="D3" s="1840"/>
      <c r="E3" s="1841"/>
      <c r="F3" s="1842"/>
      <c r="G3" s="1843"/>
      <c r="H3" s="739" t="s">
        <v>1582</v>
      </c>
      <c r="I3" s="1835"/>
      <c r="J3" s="1835"/>
      <c r="K3" s="1836"/>
      <c r="L3" s="1835"/>
      <c r="M3" s="1835"/>
    </row>
    <row r="4" spans="1:37" ht="18" customHeight="1">
      <c r="A4" s="335" t="s">
        <v>1589</v>
      </c>
      <c r="B4" s="336" t="s">
        <v>1590</v>
      </c>
      <c r="C4" s="336" t="s">
        <v>1591</v>
      </c>
      <c r="D4" s="336" t="s">
        <v>1592</v>
      </c>
      <c r="E4" s="337" t="s">
        <v>1593</v>
      </c>
      <c r="F4" s="338"/>
      <c r="G4" s="1846"/>
      <c r="H4" s="335" t="s">
        <v>1589</v>
      </c>
      <c r="I4" s="336" t="s">
        <v>1590</v>
      </c>
      <c r="J4" s="336" t="s">
        <v>1591</v>
      </c>
      <c r="K4" s="336" t="s">
        <v>1592</v>
      </c>
      <c r="L4" s="337" t="s">
        <v>1593</v>
      </c>
      <c r="M4" s="338"/>
    </row>
    <row r="5" spans="1:37" ht="18" customHeight="1">
      <c r="A5" s="339">
        <v>1</v>
      </c>
      <c r="B5" s="340" t="s">
        <v>1594</v>
      </c>
      <c r="C5" s="1287">
        <f ca="1">C6+C10+C12</f>
        <v>0</v>
      </c>
      <c r="D5" s="1817" t="s">
        <v>1595</v>
      </c>
      <c r="E5" s="1288"/>
      <c r="F5" s="1289"/>
      <c r="G5" s="1846"/>
      <c r="H5" s="339">
        <v>1</v>
      </c>
      <c r="I5" s="340" t="s">
        <v>1594</v>
      </c>
      <c r="J5" s="1287">
        <f ca="1">J6+J10+J12</f>
        <v>0</v>
      </c>
      <c r="K5" s="1817" t="s">
        <v>1595</v>
      </c>
      <c r="L5" s="1288"/>
      <c r="M5" s="1289"/>
    </row>
    <row r="6" spans="1:37" ht="18" customHeight="1">
      <c r="A6" s="1286" t="s">
        <v>1031</v>
      </c>
      <c r="B6" s="3289" t="s">
        <v>1397</v>
      </c>
      <c r="C6" s="1291">
        <f ca="1">ROUND(F6*F8*F7*(1-F9),0)</f>
        <v>0</v>
      </c>
      <c r="D6" s="159" t="s">
        <v>3018</v>
      </c>
      <c r="E6" s="342" t="s">
        <v>1399</v>
      </c>
      <c r="F6" s="343">
        <f ca="1">INDIRECT("'数据-取费表'!u"&amp;$G$1)</f>
        <v>0</v>
      </c>
      <c r="G6" s="1846"/>
      <c r="H6" s="1286" t="s">
        <v>1031</v>
      </c>
      <c r="I6" s="3289" t="s">
        <v>1397</v>
      </c>
      <c r="J6" s="341">
        <f ca="1">ROUND(M6*M8*M7*(1-M9),0)</f>
        <v>0</v>
      </c>
      <c r="K6" s="1829" t="s">
        <v>3019</v>
      </c>
      <c r="L6" s="342" t="s">
        <v>1399</v>
      </c>
      <c r="M6" s="343">
        <f ca="1">INDIRECT("'数据-取费表'!z"&amp;$G$1)</f>
        <v>0</v>
      </c>
    </row>
    <row r="7" spans="1:37" ht="18" customHeight="1">
      <c r="A7" s="1290"/>
      <c r="B7" s="3290"/>
      <c r="C7" s="1292"/>
      <c r="D7" s="347"/>
      <c r="E7" s="1293" t="s">
        <v>1400</v>
      </c>
      <c r="F7" s="343">
        <f ca="1">IF(INDIRECT("'数据-取费表'!ah"&amp;$G$1)="",INDIRECT("'数据-取费表'!k"&amp;$G$1),INDIRECT("'数据-取费表'!ah"&amp;$G$1))</f>
        <v>0</v>
      </c>
      <c r="G7" s="1846"/>
      <c r="H7" s="344"/>
      <c r="I7" s="3290"/>
      <c r="J7" s="346"/>
      <c r="K7" s="347"/>
      <c r="L7" s="342" t="s">
        <v>1400</v>
      </c>
      <c r="M7" s="343">
        <f ca="1">F7</f>
        <v>0</v>
      </c>
    </row>
    <row r="8" spans="1:37" ht="18" customHeight="1">
      <c r="A8" s="344"/>
      <c r="B8" s="3290"/>
      <c r="C8" s="346"/>
      <c r="D8" s="347"/>
      <c r="E8" s="342" t="s">
        <v>1401</v>
      </c>
      <c r="F8" s="343">
        <f ca="1">INDIRECT("'数据-取费表'!ai"&amp;$G$1)</f>
        <v>0</v>
      </c>
      <c r="G8" s="1846"/>
      <c r="H8" s="344"/>
      <c r="I8" s="3290"/>
      <c r="J8" s="346"/>
      <c r="K8" s="347"/>
      <c r="L8" s="342" t="s">
        <v>1401</v>
      </c>
      <c r="M8" s="343">
        <f ca="1">INDIRECT("'数据-取费表'!ai"&amp;$G$1)</f>
        <v>0</v>
      </c>
    </row>
    <row r="9" spans="1:37" ht="18" customHeight="1">
      <c r="A9" s="344"/>
      <c r="B9" s="3291"/>
      <c r="C9" s="346"/>
      <c r="D9" s="347"/>
      <c r="E9" s="342" t="s">
        <v>1402</v>
      </c>
      <c r="F9" s="352">
        <f ca="1">INDIRECT("'数据-取费表'!w"&amp;$G$1)</f>
        <v>0</v>
      </c>
      <c r="G9" s="1846"/>
      <c r="H9" s="344"/>
      <c r="I9" s="3291"/>
      <c r="J9" s="346"/>
      <c r="K9" s="347"/>
      <c r="L9" s="353" t="s">
        <v>1402</v>
      </c>
      <c r="M9" s="354">
        <f ca="1">INDIRECT("'数据-取费表'!ab"&amp;$G$1)</f>
        <v>0</v>
      </c>
    </row>
    <row r="10" spans="1:37" ht="18" customHeight="1">
      <c r="A10" s="1286" t="s">
        <v>1035</v>
      </c>
      <c r="B10" s="1818" t="s">
        <v>1403</v>
      </c>
      <c r="C10" s="356">
        <f ca="1">ROUND(IF(F10="押一",C6/12*F11,IF(F10="押二",C6/12*2*F11,IF(F10="押三",C6/12*3*F11,C11*F11))),0)</f>
        <v>0</v>
      </c>
      <c r="D10" s="1819" t="s">
        <v>3029</v>
      </c>
      <c r="E10" s="353" t="s">
        <v>1404</v>
      </c>
      <c r="F10" s="1361"/>
      <c r="G10" s="1846"/>
      <c r="H10" s="1286" t="s">
        <v>1035</v>
      </c>
      <c r="I10" s="1818" t="s">
        <v>1403</v>
      </c>
      <c r="J10" s="341">
        <f ca="1">ROUND(IF(M10="押一",J6/12*M11,IF(M10="押二",J6/12*2*M11,IF(M10="押三",J6/12*3*M11,J11*M11))),0)</f>
        <v>0</v>
      </c>
      <c r="K10" s="1830" t="s">
        <v>3031</v>
      </c>
      <c r="L10" s="353" t="s">
        <v>1404</v>
      </c>
      <c r="M10" s="1361"/>
    </row>
    <row r="11" spans="1:37" ht="18" customHeight="1">
      <c r="A11" s="348"/>
      <c r="B11" s="1820" t="s">
        <v>1596</v>
      </c>
      <c r="C11" s="1173"/>
      <c r="D11" s="347"/>
      <c r="E11" s="353" t="s">
        <v>1406</v>
      </c>
      <c r="F11" s="354">
        <f ca="1">'数据-取费表'!B39</f>
        <v>1.4999999999999999E-2</v>
      </c>
      <c r="G11" s="1846"/>
      <c r="H11" s="1294"/>
      <c r="I11" s="1820" t="s">
        <v>1597</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0</v>
      </c>
      <c r="D13" s="1326" t="s">
        <v>1409</v>
      </c>
      <c r="E13" s="1326" t="s">
        <v>1410</v>
      </c>
      <c r="F13" s="1327">
        <f ca="1">INDIRECT("'数据-取费表'!y"&amp;$G$1)</f>
        <v>0</v>
      </c>
      <c r="G13" s="1846"/>
      <c r="H13" s="1324">
        <v>2</v>
      </c>
      <c r="I13" s="1325" t="s">
        <v>1408</v>
      </c>
      <c r="J13" s="1285">
        <f ca="1">ROUND(J14*J15,0)</f>
        <v>0</v>
      </c>
      <c r="K13" s="1332" t="s">
        <v>1409</v>
      </c>
      <c r="L13" s="1847"/>
      <c r="M13" s="1848"/>
    </row>
    <row r="14" spans="1:37" ht="18" customHeight="1">
      <c r="A14" s="1196" t="s">
        <v>1030</v>
      </c>
      <c r="B14" s="342" t="s">
        <v>1411</v>
      </c>
      <c r="C14" s="358">
        <f ca="1">ROUND(INDIRECT("'数据-取费表'!l"&amp;$G$1)*F43+'数据-取费表'!L14*INDIRECT("'数据-取费表'!S"&amp;$G$1),0)</f>
        <v>0</v>
      </c>
      <c r="D14" s="1795" t="s">
        <v>1412</v>
      </c>
      <c r="E14" s="1789"/>
      <c r="F14" s="359"/>
      <c r="G14" s="1846"/>
      <c r="H14" s="1196" t="s">
        <v>1031</v>
      </c>
      <c r="I14" s="342" t="s">
        <v>1413</v>
      </c>
      <c r="J14" s="24">
        <f ca="1">C29</f>
        <v>0</v>
      </c>
      <c r="K14" s="15"/>
      <c r="L14" s="974"/>
      <c r="M14" s="975"/>
    </row>
    <row r="15" spans="1:37" s="1853" customFormat="1" ht="18" customHeight="1" thickBot="1">
      <c r="A15" s="1196" t="s">
        <v>1032</v>
      </c>
      <c r="B15" s="342" t="s">
        <v>1414</v>
      </c>
      <c r="C15" s="24">
        <f ca="1">ROUND(C14*F15,0)</f>
        <v>0</v>
      </c>
      <c r="D15" s="360" t="s">
        <v>1415</v>
      </c>
      <c r="E15" s="360" t="s">
        <v>1416</v>
      </c>
      <c r="F15" s="361">
        <f>'数据-取费表'!B33</f>
        <v>0.03</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ROUND(INDIRECT("'数据-取费表'!l"&amp;$G$1)*F43*F16,0)</f>
        <v>0</v>
      </c>
      <c r="D16" s="342" t="s">
        <v>1415</v>
      </c>
      <c r="E16" s="342" t="s">
        <v>1416</v>
      </c>
      <c r="F16" s="362">
        <f ca="1">IF(INDIRECT("'数据-取费表'!c"&amp;$G$1)="住宅",'数据-取费表'!B34,0)</f>
        <v>0</v>
      </c>
      <c r="G16" s="1846"/>
      <c r="H16" s="1324" t="s">
        <v>1026</v>
      </c>
      <c r="I16" s="1325" t="s">
        <v>1418</v>
      </c>
      <c r="J16" s="350">
        <f ca="1">ROUND(J17+J22+J23+J24,0)</f>
        <v>0</v>
      </c>
      <c r="K16" s="1332" t="s">
        <v>1419</v>
      </c>
      <c r="L16" s="1333"/>
      <c r="M16" s="1289"/>
    </row>
    <row r="17" spans="1:37" s="1853" customFormat="1" ht="18" customHeight="1">
      <c r="A17" s="1196" t="s">
        <v>1384</v>
      </c>
      <c r="B17" s="342" t="s">
        <v>1420</v>
      </c>
      <c r="C17" s="24">
        <f ca="1">ROUND(F17*(F43+INDIRECT("'数据-取费表'!S"&amp;$G$1)),0)</f>
        <v>0</v>
      </c>
      <c r="D17" s="342" t="s">
        <v>1421</v>
      </c>
      <c r="E17" s="342" t="s">
        <v>1422</v>
      </c>
      <c r="F17" s="26">
        <f>'数据-取费表'!B35</f>
        <v>200</v>
      </c>
      <c r="G17" s="1849"/>
      <c r="H17" s="1196" t="s">
        <v>1031</v>
      </c>
      <c r="I17" s="342" t="s">
        <v>1423</v>
      </c>
      <c r="J17" s="24">
        <f ca="1">ROUND(IF(项目基本情况!B11="自然人",J6*M17/(1+'数据-取费表'!C42),J18+J19+J20),0)</f>
        <v>0</v>
      </c>
      <c r="K17" s="1795" t="s">
        <v>1424</v>
      </c>
      <c r="L17" s="1793"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0</v>
      </c>
      <c r="D18" s="342" t="s">
        <v>1415</v>
      </c>
      <c r="E18" s="342" t="s">
        <v>1416</v>
      </c>
      <c r="F18" s="362">
        <f>'数据-取费表'!B36</f>
        <v>1.4999999999999999E-2</v>
      </c>
      <c r="G18" s="1849"/>
      <c r="H18" s="1196" t="s">
        <v>1030</v>
      </c>
      <c r="I18" s="342" t="s">
        <v>1427</v>
      </c>
      <c r="J18" s="24">
        <f ca="1">ROUND(J6*M18/(1+'数据-取费表'!C42),0)</f>
        <v>0</v>
      </c>
      <c r="K18" s="1793"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0</v>
      </c>
      <c r="D19" s="135" t="s">
        <v>1430</v>
      </c>
      <c r="E19" s="1813"/>
      <c r="F19" s="26"/>
      <c r="G19" s="1846"/>
      <c r="H19" s="1196" t="s">
        <v>1032</v>
      </c>
      <c r="I19" s="342" t="s">
        <v>1431</v>
      </c>
      <c r="J19" s="24">
        <f ca="1">IF(K19="按租金收入计税",ROUND(J6*M19/(1+'数据-取费表'!C42),0),ROUND(C29*M19*0.7,0))</f>
        <v>0</v>
      </c>
      <c r="K19" s="1823" t="s">
        <v>1432</v>
      </c>
      <c r="L19" s="342" t="s">
        <v>1416</v>
      </c>
      <c r="M19" s="362">
        <f>IF(K19="按租金收入计税",'数据-取费表'!B51,'数据-取费表'!B50)</f>
        <v>1.2E-2</v>
      </c>
    </row>
    <row r="20" spans="1:37" s="1853" customFormat="1" ht="18" customHeight="1">
      <c r="A20" s="1196" t="s">
        <v>1035</v>
      </c>
      <c r="B20" s="342" t="s">
        <v>1433</v>
      </c>
      <c r="C20" s="24">
        <f ca="1">ROUND(C19*F20,0)</f>
        <v>0</v>
      </c>
      <c r="D20" s="364" t="s">
        <v>1434</v>
      </c>
      <c r="E20" s="342" t="s">
        <v>1416</v>
      </c>
      <c r="F20" s="362">
        <f>'数据-取费表'!B37</f>
        <v>0.02</v>
      </c>
      <c r="G20" s="1849"/>
      <c r="H20" s="1196" t="s">
        <v>1383</v>
      </c>
      <c r="I20" s="159" t="s">
        <v>1435</v>
      </c>
      <c r="J20" s="25">
        <f ca="1">ROUND(M20*M21,0)</f>
        <v>0</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v>
      </c>
      <c r="D21" s="364" t="s">
        <v>1439</v>
      </c>
      <c r="E21" s="342" t="s">
        <v>1440</v>
      </c>
      <c r="F21" s="362">
        <f>'数据-取费表'!B38</f>
        <v>0.02</v>
      </c>
      <c r="G21" s="1849"/>
      <c r="H21" s="367"/>
      <c r="I21" s="351"/>
      <c r="J21" s="29"/>
      <c r="K21" s="368"/>
      <c r="L21" s="342" t="s">
        <v>1441</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1813"/>
      <c r="F22" s="26"/>
      <c r="G22" s="1846"/>
      <c r="H22" s="1196" t="s">
        <v>1035</v>
      </c>
      <c r="I22" s="342" t="s">
        <v>1443</v>
      </c>
      <c r="J22" s="24">
        <f ca="1">ROUND(J14*M22,0)</f>
        <v>0</v>
      </c>
      <c r="K22" s="1793" t="s">
        <v>1444</v>
      </c>
      <c r="L22" s="342" t="s">
        <v>1416</v>
      </c>
      <c r="M22" s="369">
        <f ca="1">INDIRECT("'数据-取费表'!Ak"&amp;$G$1)</f>
        <v>0</v>
      </c>
    </row>
    <row r="23" spans="1:37" s="1853" customFormat="1" ht="18" customHeight="1">
      <c r="A23" s="1196" t="s">
        <v>1030</v>
      </c>
      <c r="B23" s="342" t="s">
        <v>1445</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ROUND(J13*M23,0)</f>
        <v>0</v>
      </c>
      <c r="K23" s="1793" t="s">
        <v>1448</v>
      </c>
      <c r="L23" s="342" t="s">
        <v>1449</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1450</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1387</v>
      </c>
      <c r="I24" s="1335" t="s">
        <v>1433</v>
      </c>
      <c r="J24" s="1336">
        <f ca="1">ROUND(J5*M24,0)</f>
        <v>0</v>
      </c>
      <c r="K24" s="1337" t="s">
        <v>1453</v>
      </c>
      <c r="L24" s="1335" t="s">
        <v>1449</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1454</v>
      </c>
      <c r="B25" s="342" t="s">
        <v>1455</v>
      </c>
      <c r="C25" s="24"/>
      <c r="D25" s="135" t="s">
        <v>1456</v>
      </c>
      <c r="E25" s="1813"/>
      <c r="F25" s="26"/>
      <c r="G25" s="1846"/>
      <c r="H25" s="1324" t="s">
        <v>1027</v>
      </c>
      <c r="I25" s="1339" t="s">
        <v>1457</v>
      </c>
      <c r="J25" s="350">
        <f ca="1">J5-J16</f>
        <v>0</v>
      </c>
      <c r="K25" s="1340" t="s">
        <v>1458</v>
      </c>
      <c r="L25" s="1341"/>
      <c r="M25" s="1342"/>
    </row>
    <row r="26" spans="1:37" ht="18" customHeight="1">
      <c r="A26" s="1196" t="s">
        <v>1030</v>
      </c>
      <c r="B26" s="342" t="s">
        <v>1459</v>
      </c>
      <c r="C26" s="24">
        <f ca="1">ROUND((C19+C20)*F26,0)</f>
        <v>0</v>
      </c>
      <c r="D26" s="364" t="s">
        <v>1460</v>
      </c>
      <c r="E26" s="353" t="s">
        <v>1461</v>
      </c>
      <c r="F26" s="352">
        <f ca="1">INDIRECT("'数据-取费表'!q"&amp;$G$1)</f>
        <v>0</v>
      </c>
      <c r="G26" s="1846"/>
      <c r="H26" s="339" t="s">
        <v>1028</v>
      </c>
      <c r="I26" s="340" t="s">
        <v>1462</v>
      </c>
      <c r="J26" s="341">
        <f ca="1">IF(J5&lt;&gt;0,ROUND(J25*(1-((1+M28)/(1+M26))^M27)/(M26-M28),0),0)</f>
        <v>0</v>
      </c>
      <c r="K26" s="365" t="s">
        <v>1463</v>
      </c>
      <c r="L26" s="342" t="s">
        <v>1464</v>
      </c>
      <c r="M26" s="352">
        <f ca="1">INDIRECT("'数据-取费表'!I"&amp;$G$1)</f>
        <v>0</v>
      </c>
    </row>
    <row r="27" spans="1:37" ht="18" customHeight="1">
      <c r="A27" s="1196" t="s">
        <v>1032</v>
      </c>
      <c r="B27" s="342" t="s">
        <v>1465</v>
      </c>
      <c r="C27" s="24">
        <f ca="1">ROUND(F21*F26,4)</f>
        <v>0</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0</v>
      </c>
      <c r="D29" s="1337"/>
      <c r="E29" s="1335"/>
      <c r="F29" s="1338"/>
      <c r="G29" s="1849"/>
      <c r="H29" s="375" t="s">
        <v>1029</v>
      </c>
      <c r="I29" s="376" t="s">
        <v>1473</v>
      </c>
      <c r="J29" s="377">
        <f ca="1">ROUND(J26/(1+F40)^F41,0)</f>
        <v>0</v>
      </c>
      <c r="K29" s="378" t="s">
        <v>1474</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0</v>
      </c>
      <c r="D30" s="1332" t="s">
        <v>1419</v>
      </c>
      <c r="E30" s="1333"/>
      <c r="F30" s="1289"/>
      <c r="G30" s="1846"/>
      <c r="H30" s="740"/>
      <c r="I30" s="741"/>
      <c r="J30" s="742"/>
      <c r="K30" s="743"/>
      <c r="L30" s="744"/>
      <c r="M30" s="745"/>
    </row>
    <row r="31" spans="1:37" ht="18" customHeight="1">
      <c r="A31" s="1196" t="s">
        <v>1031</v>
      </c>
      <c r="B31" s="342" t="s">
        <v>1423</v>
      </c>
      <c r="C31" s="24">
        <f ca="1">ROUND(IF(项目基本情况!B11="自然人",C6*F31/(1+'数据-取费表'!C42),C32+C33+C34),0)</f>
        <v>0</v>
      </c>
      <c r="D31" s="1795" t="s">
        <v>1424</v>
      </c>
      <c r="E31" s="1793"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IF(项目基本情况!B11="自然人","——",ROUND(C6*F32/(1+'数据-取费表'!C42),0))</f>
        <v>0</v>
      </c>
      <c r="D32" s="1793"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IF(项目基本情况!B11="自然人","——",IF(D33="按租金收入计税",ROUND(C6*F33/(1+'数据-取费表'!C42),0),IF(D33="按房产原值计税",ROUND(C29*F33*0.7,0),INDIRECT("'数据-取费表'!Aj"&amp;$G$1))))</f>
        <v>0</v>
      </c>
      <c r="D33" s="1823" t="s">
        <v>1432</v>
      </c>
      <c r="E33" s="342" t="s">
        <v>1416</v>
      </c>
      <c r="F33" s="362">
        <f>IF(D33="按票据","——",IF(D33="按租金收入计税",'数据-取费表'!B51,'数据-取费表'!B50))</f>
        <v>1.2E-2</v>
      </c>
      <c r="G33" s="1846"/>
      <c r="H33" s="1854"/>
      <c r="I33" s="1855"/>
      <c r="J33" s="1856"/>
      <c r="K33" s="1857"/>
      <c r="L33" s="1854"/>
      <c r="M33" s="1854"/>
    </row>
    <row r="34" spans="1:18" ht="18" customHeight="1">
      <c r="A34" s="1286" t="s">
        <v>1383</v>
      </c>
      <c r="B34" s="159" t="s">
        <v>1435</v>
      </c>
      <c r="C34" s="25">
        <f ca="1">IF(项目基本情况!B11="自然人","——",ROUND(F34*F35,))</f>
        <v>0</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0</v>
      </c>
      <c r="G35" s="1846"/>
      <c r="H35" s="740"/>
      <c r="I35" s="1855"/>
      <c r="J35" s="1856"/>
      <c r="K35" s="1857"/>
      <c r="L35" s="1854"/>
      <c r="M35" s="1854"/>
    </row>
    <row r="36" spans="1:18" ht="18" customHeight="1">
      <c r="A36" s="1347" t="s">
        <v>1035</v>
      </c>
      <c r="B36" s="342" t="s">
        <v>1443</v>
      </c>
      <c r="C36" s="24">
        <f ca="1">ROUND(C29*F36,0)</f>
        <v>0</v>
      </c>
      <c r="D36" s="1793" t="s">
        <v>1476</v>
      </c>
      <c r="E36" s="342" t="s">
        <v>1416</v>
      </c>
      <c r="F36" s="369">
        <f ca="1">INDIRECT("'数据-取费表'!Ak"&amp;$G$1)</f>
        <v>0</v>
      </c>
      <c r="G36" s="1846"/>
      <c r="H36" s="1854"/>
      <c r="I36" s="1855"/>
      <c r="J36" s="1856"/>
      <c r="K36" s="746"/>
      <c r="L36" s="1854"/>
      <c r="M36" s="1854"/>
    </row>
    <row r="37" spans="1:18" ht="18" customHeight="1">
      <c r="A37" s="1196" t="s">
        <v>1071</v>
      </c>
      <c r="B37" s="342" t="s">
        <v>1447</v>
      </c>
      <c r="C37" s="24">
        <f ca="1">ROUND(C13*F37,0)</f>
        <v>0</v>
      </c>
      <c r="D37" s="1793" t="s">
        <v>1448</v>
      </c>
      <c r="E37" s="342" t="s">
        <v>1449</v>
      </c>
      <c r="F37" s="371">
        <f ca="1">INDIRECT("'数据-取费表'!Al"&amp;$G$1)</f>
        <v>0</v>
      </c>
      <c r="G37" s="1846"/>
      <c r="H37" s="1854"/>
      <c r="I37" s="1855"/>
      <c r="J37" s="1856"/>
      <c r="K37" s="746"/>
      <c r="L37" s="1854"/>
      <c r="M37" s="1854"/>
    </row>
    <row r="38" spans="1:18" ht="18" customHeight="1" thickBot="1">
      <c r="A38" s="1334" t="s">
        <v>1387</v>
      </c>
      <c r="B38" s="1335" t="s">
        <v>1433</v>
      </c>
      <c r="C38" s="1336">
        <f ca="1">ROUND(C5*F38,1)</f>
        <v>0</v>
      </c>
      <c r="D38" s="1337" t="s">
        <v>1453</v>
      </c>
      <c r="E38" s="1335" t="s">
        <v>1449</v>
      </c>
      <c r="F38" s="1331">
        <f ca="1">INDIRECT("'数据-取费表'!Am"&amp;$G$1)</f>
        <v>0</v>
      </c>
      <c r="G38" s="1846"/>
      <c r="H38" s="1854"/>
      <c r="I38" s="1855"/>
      <c r="J38" s="1856"/>
      <c r="K38" s="1860"/>
      <c r="L38" s="1854"/>
      <c r="M38" s="1854"/>
    </row>
    <row r="39" spans="1:18" ht="24.65" customHeight="1" thickTop="1">
      <c r="A39" s="1324" t="s">
        <v>1027</v>
      </c>
      <c r="B39" s="1339" t="s">
        <v>1477</v>
      </c>
      <c r="C39" s="350">
        <f ca="1">C5-C30</f>
        <v>0</v>
      </c>
      <c r="D39" s="1340" t="s">
        <v>1478</v>
      </c>
      <c r="E39" s="1341"/>
      <c r="F39" s="1342"/>
      <c r="G39" s="1846"/>
      <c r="H39" s="1854"/>
      <c r="I39" s="1855"/>
      <c r="J39" s="1856"/>
      <c r="K39" s="1860"/>
      <c r="L39" s="1854"/>
      <c r="M39" s="1854"/>
    </row>
    <row r="40" spans="1:18" ht="18" customHeight="1">
      <c r="A40" s="339" t="s">
        <v>1028</v>
      </c>
      <c r="B40" s="340" t="s">
        <v>1479</v>
      </c>
      <c r="C40" s="341" t="e">
        <f ca="1">ROUND(C39*(1-((1+F42)/(1+F40))^F41)/(F40-F42),0)</f>
        <v>#DIV/0!</v>
      </c>
      <c r="D40" s="365" t="s">
        <v>1463</v>
      </c>
      <c r="E40" s="342" t="s">
        <v>1464</v>
      </c>
      <c r="F40" s="352">
        <f ca="1">INDIRECT("'数据-取费表'!I"&amp;$G$1)</f>
        <v>0</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0</v>
      </c>
      <c r="G41" s="1846"/>
      <c r="H41" s="727"/>
      <c r="I41" s="1855"/>
      <c r="J41" s="1856"/>
      <c r="K41" s="746"/>
      <c r="L41" s="727"/>
      <c r="M41" s="727"/>
    </row>
    <row r="42" spans="1:18" ht="18" customHeight="1">
      <c r="A42" s="348"/>
      <c r="B42" s="349"/>
      <c r="C42" s="350"/>
      <c r="D42" s="368"/>
      <c r="E42" s="342" t="s">
        <v>1471</v>
      </c>
      <c r="F42" s="352">
        <f ca="1">INDIRECT("'数据-取费表'!v"&amp;$G$1)</f>
        <v>0</v>
      </c>
      <c r="G42" s="1846"/>
      <c r="H42" s="727"/>
      <c r="I42" s="1855"/>
      <c r="J42" s="1856"/>
      <c r="K42" s="746"/>
      <c r="L42" s="727"/>
      <c r="M42" s="727"/>
    </row>
    <row r="43" spans="1:18" ht="18" customHeight="1" thickBot="1">
      <c r="A43" s="375" t="s">
        <v>1029</v>
      </c>
      <c r="B43" s="376" t="s">
        <v>1481</v>
      </c>
      <c r="C43" s="377" t="e">
        <f ca="1">ROUND(C40/F43,0)</f>
        <v>#DIV/0!</v>
      </c>
      <c r="D43" s="378" t="s">
        <v>1482</v>
      </c>
      <c r="E43" s="379" t="s">
        <v>1483</v>
      </c>
      <c r="F43" s="380">
        <f ca="1">INDIRECT("'数据-取费表'!k"&amp;$G$1)</f>
        <v>0</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1598</v>
      </c>
      <c r="E45" s="1861"/>
      <c r="F45" s="1861"/>
      <c r="O45" s="1864" t="s">
        <v>1513</v>
      </c>
      <c r="P45" s="1834"/>
      <c r="Q45" s="1834"/>
      <c r="R45" s="1834"/>
    </row>
    <row r="46" spans="1:18" s="1837" customFormat="1" ht="14" thickBot="1">
      <c r="A46" s="1865" t="s">
        <v>1514</v>
      </c>
      <c r="C46" s="1866" t="e">
        <f ca="1">ROUND(C45/10000,0)</f>
        <v>#DIV/0!</v>
      </c>
      <c r="D46" s="1867" t="str">
        <f>C2</f>
        <v>万元</v>
      </c>
      <c r="I46" s="1868" t="s">
        <v>1515</v>
      </c>
      <c r="J46" s="1869"/>
      <c r="K46" s="1870"/>
      <c r="L46" s="1871" t="e">
        <f ca="1">IF(M47="住宅",0,IF(L48&gt;J51,L60,J60))</f>
        <v>#DIV/0!</v>
      </c>
      <c r="O46" s="1872" t="s">
        <v>1516</v>
      </c>
      <c r="P46" s="1873" t="s">
        <v>1517</v>
      </c>
      <c r="Q46" s="1874" t="s">
        <v>1518</v>
      </c>
      <c r="R46" s="1874" t="s">
        <v>1519</v>
      </c>
    </row>
    <row r="47" spans="1:18" s="1837" customFormat="1" ht="13.5" thickBot="1">
      <c r="A47" s="1160" t="s">
        <v>1390</v>
      </c>
      <c r="B47" s="1192" t="s">
        <v>1391</v>
      </c>
      <c r="C47" s="1192" t="s">
        <v>1392</v>
      </c>
      <c r="D47" s="1192" t="s">
        <v>1393</v>
      </c>
      <c r="E47" s="1274" t="s">
        <v>1394</v>
      </c>
      <c r="F47" s="1275"/>
      <c r="G47" s="787"/>
      <c r="I47" s="1875" t="s">
        <v>1520</v>
      </c>
      <c r="J47" s="1876"/>
      <c r="K47" s="1877" t="s">
        <v>1521</v>
      </c>
      <c r="L47" s="1878">
        <f ca="1">INDIRECT("'数据-取费表'!d"&amp;$G$1)</f>
        <v>0</v>
      </c>
      <c r="M47" s="1833" t="str">
        <f>IF(ISNUMBER(FIND("住宅",C1)),"住宅","非住宅")</f>
        <v>非住宅</v>
      </c>
      <c r="O47" s="1879" t="s">
        <v>1036</v>
      </c>
      <c r="P47" s="1880" t="s">
        <v>1522</v>
      </c>
      <c r="Q47" s="1881" t="e">
        <f ca="1">C40+J29</f>
        <v>#DIV/0!</v>
      </c>
      <c r="R47" s="1881" t="s">
        <v>1523</v>
      </c>
    </row>
    <row r="48" spans="1:18" s="1837" customFormat="1" ht="43.5" thickBot="1">
      <c r="A48" s="1355" t="s">
        <v>1131</v>
      </c>
      <c r="B48" s="340" t="s">
        <v>1395</v>
      </c>
      <c r="C48" s="1812">
        <f ca="1">C49+C53+C55</f>
        <v>0</v>
      </c>
      <c r="D48" s="1357"/>
      <c r="E48" s="1358"/>
      <c r="F48" s="1176"/>
      <c r="G48" s="787"/>
      <c r="H48" s="788"/>
      <c r="I48" s="1882" t="s">
        <v>1524</v>
      </c>
      <c r="J48" s="1883"/>
      <c r="K48" s="1884" t="s">
        <v>1525</v>
      </c>
      <c r="L48" s="1885">
        <f ca="1">INDIRECT("'数据-取费表'!f"&amp;$G$1)</f>
        <v>0</v>
      </c>
      <c r="O48" s="1879" t="s">
        <v>1037</v>
      </c>
      <c r="P48" s="1880" t="s">
        <v>1526</v>
      </c>
      <c r="Q48" s="1881" t="e">
        <f ca="1">J60</f>
        <v>#DIV/0!</v>
      </c>
      <c r="R48" s="1881" t="s">
        <v>1527</v>
      </c>
    </row>
    <row r="49" spans="1:18" s="1837" customFormat="1" ht="13.5" thickBot="1">
      <c r="A49" s="1189" t="s">
        <v>1132</v>
      </c>
      <c r="B49" s="1824" t="s">
        <v>1484</v>
      </c>
      <c r="C49" s="1359">
        <f ca="1">ROUND(F49*F51*F50*(1-F52),0)</f>
        <v>0</v>
      </c>
      <c r="D49" s="1271" t="s">
        <v>1398</v>
      </c>
      <c r="E49" s="1825" t="s">
        <v>1485</v>
      </c>
      <c r="F49" s="1276"/>
      <c r="G49" s="1886"/>
      <c r="H49" s="788"/>
      <c r="I49" s="1882" t="s">
        <v>1528</v>
      </c>
      <c r="J49" s="1887"/>
      <c r="K49" s="1884" t="s">
        <v>1529</v>
      </c>
      <c r="L49" s="1888"/>
      <c r="O49" s="1889" t="s">
        <v>1038</v>
      </c>
      <c r="P49" s="1880" t="s">
        <v>1530</v>
      </c>
      <c r="Q49" s="1881">
        <f ca="1">C29</f>
        <v>0</v>
      </c>
      <c r="R49" s="1881" t="s">
        <v>1523</v>
      </c>
    </row>
    <row r="50" spans="1:18" s="1837" customFormat="1" ht="13.5" thickBot="1">
      <c r="A50" s="1190"/>
      <c r="B50" s="1193"/>
      <c r="C50" s="1194"/>
      <c r="D50" s="1167"/>
      <c r="E50" s="1272" t="s">
        <v>1400</v>
      </c>
      <c r="F50" s="1273">
        <f ca="1">F7</f>
        <v>0</v>
      </c>
      <c r="H50" s="788"/>
      <c r="I50" s="1882" t="s">
        <v>1531</v>
      </c>
      <c r="J50" s="1890">
        <f>SUMPRODUCT((I63:I65=J47)*(J62:L62=J48)*(J63:L65))</f>
        <v>0</v>
      </c>
      <c r="K50" s="1884" t="s">
        <v>1532</v>
      </c>
      <c r="L50" s="1888"/>
      <c r="M50" s="1891"/>
      <c r="O50" s="1889" t="s">
        <v>1039</v>
      </c>
      <c r="P50" s="1880" t="s">
        <v>1533</v>
      </c>
      <c r="Q50" s="1892" t="e">
        <f ca="1">J58</f>
        <v>#DIV/0!</v>
      </c>
      <c r="R50" s="1881"/>
    </row>
    <row r="51" spans="1:18" s="1837" customFormat="1" ht="13.5" thickBot="1">
      <c r="A51" s="1191"/>
      <c r="B51" s="1193"/>
      <c r="C51" s="1194"/>
      <c r="D51" s="1167"/>
      <c r="E51" s="1195" t="s">
        <v>1401</v>
      </c>
      <c r="F51" s="343">
        <f ca="1">F8</f>
        <v>0</v>
      </c>
      <c r="I51" s="1893" t="s">
        <v>1534</v>
      </c>
      <c r="J51" s="1894">
        <f>IF(J49="",J50,J49+J50-YEAR('数据-取费表'!B2))</f>
        <v>0</v>
      </c>
      <c r="K51" s="1895" t="s">
        <v>1535</v>
      </c>
      <c r="L51" s="1896">
        <f ca="1">ROUND(-PV(INDIRECT("'数据-取费表'!h"&amp;$G$1),L48,(C39-C13*C76),0),0)</f>
        <v>0</v>
      </c>
      <c r="M51" s="1897"/>
      <c r="O51" s="1889" t="s">
        <v>1040</v>
      </c>
      <c r="P51" s="1880" t="s">
        <v>1536</v>
      </c>
      <c r="Q51" s="1892">
        <f>J52</f>
        <v>0</v>
      </c>
      <c r="R51" s="1881"/>
    </row>
    <row r="52" spans="1:18" s="1837" customFormat="1" ht="13.5" thickBot="1">
      <c r="A52" s="1191"/>
      <c r="B52" s="1193"/>
      <c r="C52" s="1194"/>
      <c r="D52" s="1167"/>
      <c r="E52" s="1195" t="s">
        <v>1402</v>
      </c>
      <c r="F52" s="1270"/>
      <c r="I52" s="1898" t="s">
        <v>1537</v>
      </c>
      <c r="J52" s="1899"/>
      <c r="K52" s="1898" t="s">
        <v>1538</v>
      </c>
      <c r="L52" s="1899"/>
      <c r="O52" s="1889" t="s">
        <v>1041</v>
      </c>
      <c r="P52" s="1880" t="s">
        <v>1539</v>
      </c>
      <c r="Q52" s="1881">
        <f ca="1">J53</f>
        <v>-1.96</v>
      </c>
      <c r="R52" s="1881" t="s">
        <v>1540</v>
      </c>
    </row>
    <row r="53" spans="1:18" s="1837" customFormat="1" ht="30.75" customHeight="1" thickBot="1">
      <c r="A53" s="1356" t="s">
        <v>1133</v>
      </c>
      <c r="B53" s="364" t="s">
        <v>1403</v>
      </c>
      <c r="C53" s="356">
        <f ca="1">ROUND(IF(F53="押一",C49/12*F11,IF(F53="押二",C49/12*2*F11,IF(F53="押三",C49/12*3*F11,C54*F11))),0)</f>
        <v>0</v>
      </c>
      <c r="D53" s="1819" t="s">
        <v>3032</v>
      </c>
      <c r="E53" s="353" t="s">
        <v>1404</v>
      </c>
      <c r="F53" s="1361"/>
      <c r="I53" s="1900" t="s">
        <v>1541</v>
      </c>
      <c r="J53" s="2936">
        <f ca="1">IF(M47="住宅",IF(D1="——",MAX(J51,L48),MAX(J51,L48-'数据-取费表'!B24)),IF(D1="——",MIN(J51,L48),MIN(J51,L48-'数据-取费表'!B24)))</f>
        <v>-1.96</v>
      </c>
      <c r="K53" s="3287" t="s">
        <v>1542</v>
      </c>
      <c r="L53" s="3288"/>
      <c r="O53" s="1879" t="s">
        <v>1042</v>
      </c>
      <c r="P53" s="1880" t="s">
        <v>1543</v>
      </c>
      <c r="Q53" s="1881" t="e">
        <f ca="1">Q47+Q48</f>
        <v>#DIV/0!</v>
      </c>
      <c r="R53" s="1881" t="s">
        <v>1043</v>
      </c>
    </row>
    <row r="54" spans="1:18" s="1837" customFormat="1" ht="13.5" thickBot="1">
      <c r="A54" s="1189"/>
      <c r="B54" s="1935" t="s">
        <v>1597</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1544</v>
      </c>
      <c r="P54" s="1834"/>
      <c r="Q54" s="1834"/>
      <c r="R54" s="1834"/>
    </row>
    <row r="55" spans="1:18" s="1837" customFormat="1" ht="13.5" thickBot="1">
      <c r="A55" s="1328" t="s">
        <v>1071</v>
      </c>
      <c r="B55" s="1822" t="s">
        <v>1407</v>
      </c>
      <c r="C55" s="1329"/>
      <c r="D55" s="1819"/>
      <c r="E55" s="1827"/>
      <c r="F55" s="1901"/>
      <c r="I55" s="1904" t="s">
        <v>1545</v>
      </c>
      <c r="J55" s="1905" t="e">
        <f ca="1">ROUND(IF(J47="钢混",J57/J50,1-(1-2%)*(J50-J57)/J50),3)</f>
        <v>#DIV/0!</v>
      </c>
      <c r="K55" s="1906" t="s">
        <v>1546</v>
      </c>
      <c r="L55" s="1907"/>
      <c r="O55" s="1872" t="s">
        <v>1516</v>
      </c>
      <c r="P55" s="1873" t="s">
        <v>1517</v>
      </c>
      <c r="Q55" s="1874" t="s">
        <v>1518</v>
      </c>
      <c r="R55" s="1874" t="s">
        <v>1519</v>
      </c>
    </row>
    <row r="56" spans="1:18" s="1837" customFormat="1" ht="36" customHeight="1" thickTop="1" thickBot="1">
      <c r="A56" s="1171">
        <v>2</v>
      </c>
      <c r="B56" s="1172" t="s">
        <v>1408</v>
      </c>
      <c r="C56" s="271">
        <f ca="1">C13</f>
        <v>0</v>
      </c>
      <c r="D56" s="1908"/>
      <c r="E56" s="1909"/>
      <c r="F56" s="1901"/>
      <c r="I56" s="1910" t="s">
        <v>1548</v>
      </c>
      <c r="J56" s="1911"/>
      <c r="K56" s="1882" t="s">
        <v>1549</v>
      </c>
      <c r="L56" s="1885">
        <f ca="1">IF(L48&lt;J51,"——",L48-J51)</f>
        <v>0</v>
      </c>
      <c r="O56" s="1879" t="s">
        <v>1036</v>
      </c>
      <c r="P56" s="1880" t="s">
        <v>1522</v>
      </c>
      <c r="Q56" s="1881" t="e">
        <f ca="1">C40+J29</f>
        <v>#DIV/0!</v>
      </c>
      <c r="R56" s="1881" t="s">
        <v>1523</v>
      </c>
    </row>
    <row r="57" spans="1:18" s="1837" customFormat="1" ht="26.5" thickBot="1">
      <c r="A57" s="1912"/>
      <c r="B57" s="1164" t="s">
        <v>1472</v>
      </c>
      <c r="C57" s="277">
        <f ca="1">C29</f>
        <v>0</v>
      </c>
      <c r="D57" s="1913"/>
      <c r="E57" s="1914"/>
      <c r="F57" s="1915"/>
      <c r="I57" s="1916" t="s">
        <v>1550</v>
      </c>
      <c r="J57" s="1917">
        <f ca="1">IF(OR(M47="住宅",J51&lt;L48,J56="是"),"——",J51-L48)</f>
        <v>0</v>
      </c>
      <c r="K57" s="1882" t="s">
        <v>1599</v>
      </c>
      <c r="L57" s="1885">
        <f ca="1">IF(L48&lt;J51,"——",IF(L55="比较法",L49,IF(L55="基准地价",L50,L51)))</f>
        <v>0</v>
      </c>
      <c r="O57" s="1879" t="s">
        <v>1037</v>
      </c>
      <c r="P57" s="1880" t="s">
        <v>1600</v>
      </c>
      <c r="Q57" s="1881" t="e">
        <f ca="1">L60</f>
        <v>#DIV/0!</v>
      </c>
      <c r="R57" s="1881" t="s">
        <v>1601</v>
      </c>
    </row>
    <row r="58" spans="1:18" s="1837" customFormat="1" ht="26.5" thickBot="1">
      <c r="A58" s="355" t="s">
        <v>1026</v>
      </c>
      <c r="B58" s="1172" t="s">
        <v>1418</v>
      </c>
      <c r="C58" s="356">
        <f ca="1">ROUND(C59+C64+C65+C66,0)</f>
        <v>0</v>
      </c>
      <c r="D58" s="1174" t="s">
        <v>1419</v>
      </c>
      <c r="E58" s="1175"/>
      <c r="F58" s="1176"/>
      <c r="I58" s="1916" t="s">
        <v>1554</v>
      </c>
      <c r="J58" s="1918" t="e">
        <f ca="1">IF(J55&lt;0.4,0.4,J55)</f>
        <v>#DIV/0!</v>
      </c>
      <c r="K58" s="1895" t="s">
        <v>1602</v>
      </c>
      <c r="L58" s="1885" t="e">
        <f ca="1">ROUND(POWER(1+L52,L47-L48)*(POWER(1+L52,L48)-1)/(POWER(1+L52,L47)-1),4)</f>
        <v>#DIV/0!</v>
      </c>
      <c r="O58" s="1889" t="s">
        <v>1038</v>
      </c>
      <c r="P58" s="1880" t="s">
        <v>1556</v>
      </c>
      <c r="Q58" s="1881">
        <f>IF(L55="比较法",L49,IF(L55="基准地价",L50,0))</f>
        <v>0</v>
      </c>
      <c r="R58" s="1881" t="s">
        <v>1523</v>
      </c>
    </row>
    <row r="59" spans="1:18" s="1837" customFormat="1" ht="26.5" thickBot="1">
      <c r="A59" s="1196" t="s">
        <v>1031</v>
      </c>
      <c r="B59" s="1164" t="s">
        <v>1423</v>
      </c>
      <c r="C59" s="24">
        <f ca="1">ROUND(IF(项目基本情况!B11="自然人",C48*F59,C60+C61+C62),0)</f>
        <v>0</v>
      </c>
      <c r="D59" s="1177" t="s">
        <v>1424</v>
      </c>
      <c r="E59" s="1178" t="s">
        <v>1425</v>
      </c>
      <c r="F59" s="363" t="str">
        <f ca="1">IF(项目基本情况!B11="企业","",IF(INDIRECT("'数据-取费表'!c"&amp;$G$1)="住宅",5%,IF(F49*F50*F51/12/(1+'数据-取费表'!C42)&gt;20000,12%,7%)))</f>
        <v/>
      </c>
      <c r="I59" s="1916" t="s">
        <v>1557</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1558</v>
      </c>
      <c r="Q59" s="1892">
        <f>L52</f>
        <v>0</v>
      </c>
      <c r="R59" s="1881"/>
    </row>
    <row r="60" spans="1:18" s="1837" customFormat="1" ht="16" thickBot="1">
      <c r="A60" s="1196" t="s">
        <v>1030</v>
      </c>
      <c r="B60" s="1164" t="s">
        <v>1427</v>
      </c>
      <c r="C60" s="24">
        <f ca="1">IF(项目基本情况!B11="自然人","——",ROUND(C48*F60/(1+'数据-取费表'!C42),0))</f>
        <v>0</v>
      </c>
      <c r="D60" s="1178" t="s">
        <v>1428</v>
      </c>
      <c r="E60" s="1164" t="s">
        <v>1416</v>
      </c>
      <c r="F60" s="372">
        <f t="shared" ref="F60:F66" si="0">F32</f>
        <v>5.5000000000000007E-2</v>
      </c>
      <c r="I60" s="1919" t="s">
        <v>1559</v>
      </c>
      <c r="J60" s="1920" t="e">
        <f ca="1">IF(OR(M47="住宅",J51&lt;L48,J56="是"),"0",ROUND(J59/(1+J52)^J53,0))</f>
        <v>#DIV/0!</v>
      </c>
      <c r="K60" s="1921" t="s">
        <v>1560</v>
      </c>
      <c r="L60" s="1920" t="e">
        <f ca="1">IF(OR(M47="住宅",L48&lt;J51),0,ROUND(L57*(L58/L59-1),0))</f>
        <v>#DIV/0!</v>
      </c>
      <c r="O60" s="1889" t="s">
        <v>1040</v>
      </c>
      <c r="P60" s="1880" t="s">
        <v>1561</v>
      </c>
      <c r="Q60" s="1881" t="e">
        <f ca="1">L58</f>
        <v>#DIV/0!</v>
      </c>
      <c r="R60" s="1881" t="s">
        <v>1562</v>
      </c>
    </row>
    <row r="61" spans="1:18" s="1837" customFormat="1" ht="13.5" thickBot="1">
      <c r="A61" s="1196" t="s">
        <v>1486</v>
      </c>
      <c r="B61" s="1164" t="s">
        <v>1487</v>
      </c>
      <c r="C61" s="24">
        <f ca="1">IF(项目基本情况!B11="自然人","——",IF(D61="按租金收入计税",ROUND(C48*F61,0),IF(D61="按房产原值计税",ROUND(C57*F61*0.7,0),INDIRECT("'数据-取费表'!Aj"&amp;$G$1))))</f>
        <v>0</v>
      </c>
      <c r="D61" s="1823" t="s">
        <v>1432</v>
      </c>
      <c r="E61" s="1164" t="s">
        <v>1488</v>
      </c>
      <c r="F61" s="362">
        <f t="shared" si="0"/>
        <v>1.2E-2</v>
      </c>
      <c r="I61" s="1922"/>
      <c r="J61" s="1922"/>
      <c r="K61" s="1922"/>
      <c r="L61" s="1922"/>
      <c r="O61" s="1889" t="s">
        <v>1041</v>
      </c>
      <c r="P61" s="1880" t="str">
        <f>K59</f>
        <v>建设期及建筑物耐用年限下的土地年期修正系数Kn</v>
      </c>
      <c r="Q61" s="1881" t="e">
        <f ca="1">L59</f>
        <v>#DIV/0!</v>
      </c>
      <c r="R61" s="1881" t="s">
        <v>1563</v>
      </c>
    </row>
    <row r="62" spans="1:18" s="1837" customFormat="1" ht="13.5" thickBot="1">
      <c r="A62" s="1196" t="s">
        <v>1489</v>
      </c>
      <c r="B62" s="1163" t="s">
        <v>1490</v>
      </c>
      <c r="C62" s="25">
        <f ca="1">IF(项目基本情况!B11="自然人","——",ROUND(F62*F63,0))</f>
        <v>0</v>
      </c>
      <c r="D62" s="1179" t="s">
        <v>1491</v>
      </c>
      <c r="E62" s="1164" t="s">
        <v>1492</v>
      </c>
      <c r="F62" s="366">
        <f t="shared" si="0"/>
        <v>1.5</v>
      </c>
      <c r="I62" s="1923" t="s">
        <v>1564</v>
      </c>
      <c r="J62" s="1924" t="s">
        <v>1565</v>
      </c>
      <c r="K62" s="1924" t="s">
        <v>1566</v>
      </c>
      <c r="L62" s="1924" t="s">
        <v>1567</v>
      </c>
      <c r="M62" s="1925" t="s">
        <v>1568</v>
      </c>
      <c r="O62" s="1879" t="s">
        <v>1042</v>
      </c>
      <c r="P62" s="1880" t="s">
        <v>1569</v>
      </c>
      <c r="Q62" s="1881" t="e">
        <f ca="1">Q56+Q57</f>
        <v>#DIV/0!</v>
      </c>
      <c r="R62" s="1881" t="s">
        <v>1043</v>
      </c>
    </row>
    <row r="63" spans="1:18" s="1837" customFormat="1" ht="13.5" thickBot="1">
      <c r="A63" s="367"/>
      <c r="B63" s="1170"/>
      <c r="C63" s="29"/>
      <c r="D63" s="1180"/>
      <c r="E63" s="1164" t="s">
        <v>1493</v>
      </c>
      <c r="F63" s="343">
        <f t="shared" ca="1" si="0"/>
        <v>0</v>
      </c>
      <c r="I63" s="1923" t="s">
        <v>1570</v>
      </c>
      <c r="J63" s="1924">
        <v>70</v>
      </c>
      <c r="K63" s="1924">
        <v>50</v>
      </c>
      <c r="L63" s="1924">
        <v>80</v>
      </c>
      <c r="M63" s="1926">
        <v>0.02</v>
      </c>
      <c r="O63" s="1864" t="s">
        <v>1571</v>
      </c>
      <c r="P63" s="1834"/>
      <c r="Q63" s="1834"/>
      <c r="R63" s="1834"/>
    </row>
    <row r="64" spans="1:18" s="1837" customFormat="1" ht="13.5" thickBot="1">
      <c r="A64" s="1196" t="s">
        <v>1494</v>
      </c>
      <c r="B64" s="1164" t="s">
        <v>1495</v>
      </c>
      <c r="C64" s="24">
        <f ca="1">ROUND(C57*F64,0)</f>
        <v>0</v>
      </c>
      <c r="D64" s="1178" t="s">
        <v>1496</v>
      </c>
      <c r="E64" s="1164" t="s">
        <v>1488</v>
      </c>
      <c r="F64" s="369">
        <f t="shared" ca="1" si="0"/>
        <v>0</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ROUND(C56*F65,0)</f>
        <v>0</v>
      </c>
      <c r="D65" s="1178" t="s">
        <v>1448</v>
      </c>
      <c r="E65" s="1164" t="s">
        <v>1449</v>
      </c>
      <c r="F65" s="371">
        <f t="shared" ca="1" si="0"/>
        <v>0</v>
      </c>
      <c r="I65" s="1923" t="s">
        <v>1573</v>
      </c>
      <c r="J65" s="1924">
        <v>40</v>
      </c>
      <c r="K65" s="1924">
        <v>30</v>
      </c>
      <c r="L65" s="1924">
        <v>50</v>
      </c>
      <c r="M65" s="1926">
        <v>0.02</v>
      </c>
      <c r="O65" s="1879" t="s">
        <v>1036</v>
      </c>
      <c r="P65" s="1880" t="s">
        <v>1574</v>
      </c>
      <c r="Q65" s="1881" t="e">
        <f ca="1">C40+J29</f>
        <v>#DIV/0!</v>
      </c>
      <c r="R65" s="1881" t="s">
        <v>1523</v>
      </c>
    </row>
    <row r="66" spans="1:18" s="1837" customFormat="1" ht="16" thickBot="1">
      <c r="A66" s="1196" t="s">
        <v>1498</v>
      </c>
      <c r="B66" s="1164" t="s">
        <v>1433</v>
      </c>
      <c r="C66" s="24">
        <f ca="1">ROUND(C48*F66,0)</f>
        <v>0</v>
      </c>
      <c r="D66" s="1178" t="s">
        <v>1499</v>
      </c>
      <c r="E66" s="1164" t="s">
        <v>1416</v>
      </c>
      <c r="F66" s="352">
        <f t="shared" ca="1" si="0"/>
        <v>0</v>
      </c>
      <c r="O66" s="1879" t="s">
        <v>1037</v>
      </c>
      <c r="P66" s="1880" t="s">
        <v>1552</v>
      </c>
      <c r="Q66" s="1881" t="e">
        <f ca="1">L60</f>
        <v>#DIV/0!</v>
      </c>
      <c r="R66" s="1881" t="s">
        <v>1575</v>
      </c>
    </row>
    <row r="67" spans="1:18" s="1837" customFormat="1" ht="26.5" thickBot="1">
      <c r="A67" s="1171" t="s">
        <v>1027</v>
      </c>
      <c r="B67" s="1181" t="s">
        <v>1457</v>
      </c>
      <c r="C67" s="356">
        <f ca="1">C48-C58</f>
        <v>0</v>
      </c>
      <c r="D67" s="1177" t="s">
        <v>1458</v>
      </c>
      <c r="E67" s="1182"/>
      <c r="F67" s="1183"/>
      <c r="O67" s="1889" t="s">
        <v>1038</v>
      </c>
      <c r="P67" s="1880" t="s">
        <v>1556</v>
      </c>
      <c r="Q67" s="1927">
        <f ca="1">L51</f>
        <v>0</v>
      </c>
      <c r="R67" s="1881" t="s">
        <v>1576</v>
      </c>
    </row>
    <row r="68" spans="1:18" s="1837" customFormat="1" ht="16" thickBot="1">
      <c r="A68" s="1161" t="s">
        <v>1028</v>
      </c>
      <c r="B68" s="1162" t="s">
        <v>1479</v>
      </c>
      <c r="C68" s="341" t="e">
        <f ca="1">ROUND(C67*(1-((1+F70)/(1+F68))^F69)/(F68-F70),0)</f>
        <v>#DIV/0!</v>
      </c>
      <c r="D68" s="1179" t="s">
        <v>1463</v>
      </c>
      <c r="E68" s="1164" t="s">
        <v>1464</v>
      </c>
      <c r="F68" s="352">
        <f ca="1">F40</f>
        <v>0</v>
      </c>
      <c r="O68" s="1889" t="s">
        <v>1039</v>
      </c>
      <c r="P68" s="1928" t="s">
        <v>1577</v>
      </c>
      <c r="Q68" s="1881">
        <f ca="1">ROUND(Q69-Q70*Q71,0)</f>
        <v>0</v>
      </c>
      <c r="R68" s="1881" t="s">
        <v>1047</v>
      </c>
    </row>
    <row r="69" spans="1:18" s="1837" customFormat="1" ht="13.5" thickBot="1">
      <c r="A69" s="1165"/>
      <c r="B69" s="1166"/>
      <c r="C69" s="346"/>
      <c r="D69" s="1184" t="s">
        <v>1467</v>
      </c>
      <c r="E69" s="1164" t="s">
        <v>1468</v>
      </c>
      <c r="F69" s="374">
        <f ca="1">F41</f>
        <v>0</v>
      </c>
      <c r="O69" s="1889" t="s">
        <v>1044</v>
      </c>
      <c r="P69" s="1928" t="s">
        <v>1578</v>
      </c>
      <c r="Q69" s="1881">
        <f ca="1">C39</f>
        <v>0</v>
      </c>
      <c r="R69" s="1881" t="s">
        <v>1523</v>
      </c>
    </row>
    <row r="70" spans="1:18" s="1837" customFormat="1" ht="13.5" thickBot="1">
      <c r="A70" s="1168"/>
      <c r="B70" s="1169"/>
      <c r="C70" s="350"/>
      <c r="D70" s="1180"/>
      <c r="E70" s="1164" t="s">
        <v>1471</v>
      </c>
      <c r="F70" s="1270">
        <f ca="1">F42</f>
        <v>0</v>
      </c>
      <c r="O70" s="1889" t="s">
        <v>1045</v>
      </c>
      <c r="P70" s="1928" t="s">
        <v>1579</v>
      </c>
      <c r="Q70" s="1881">
        <f ca="1">C13</f>
        <v>0</v>
      </c>
      <c r="R70" s="1881" t="s">
        <v>1523</v>
      </c>
    </row>
    <row r="71" spans="1:18" s="1837" customFormat="1" ht="13.5" thickBot="1">
      <c r="A71" s="1185" t="s">
        <v>1029</v>
      </c>
      <c r="B71" s="1186" t="s">
        <v>1481</v>
      </c>
      <c r="C71" s="377" t="e">
        <f ca="1">ROUND(C68/F71,0)</f>
        <v>#DIV/0!</v>
      </c>
      <c r="D71" s="1187" t="s">
        <v>1482</v>
      </c>
      <c r="E71" s="1188" t="s">
        <v>1483</v>
      </c>
      <c r="F71" s="380">
        <f ca="1">F43</f>
        <v>0</v>
      </c>
      <c r="O71" s="1889" t="s">
        <v>1046</v>
      </c>
      <c r="P71" s="1928" t="s">
        <v>1580</v>
      </c>
      <c r="Q71" s="1892">
        <f ca="1">C76</f>
        <v>0</v>
      </c>
      <c r="R71" s="1881"/>
    </row>
    <row r="72" spans="1:18" s="1837" customFormat="1" ht="13.5" thickBot="1">
      <c r="B72" s="791"/>
      <c r="C72" s="791"/>
      <c r="O72" s="1889" t="s">
        <v>1040</v>
      </c>
      <c r="P72" s="1880" t="s">
        <v>1558</v>
      </c>
      <c r="Q72" s="1892">
        <f>L52</f>
        <v>0</v>
      </c>
      <c r="R72" s="1881"/>
    </row>
    <row r="73" spans="1:18" ht="16"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建设期及建筑物耐用年限下的土地年期修正系数Kn</v>
      </c>
      <c r="Q74" s="1881" t="e">
        <f ca="1">L59</f>
        <v>#DIV/0!</v>
      </c>
      <c r="R74" s="1881" t="s">
        <v>1563</v>
      </c>
    </row>
    <row r="75" spans="1:18" ht="13.5" thickBot="1">
      <c r="A75" s="1837"/>
      <c r="B75" s="381" t="s">
        <v>1500</v>
      </c>
      <c r="C75" s="382">
        <f ca="1">ROUND(C13*C76,0)</f>
        <v>0</v>
      </c>
      <c r="D75" s="1837"/>
      <c r="E75" s="1837"/>
      <c r="F75" s="1837"/>
      <c r="K75" s="1863"/>
      <c r="L75" s="1837"/>
      <c r="O75" s="1879" t="s">
        <v>1042</v>
      </c>
      <c r="P75" s="1880" t="s">
        <v>1543</v>
      </c>
      <c r="Q75" s="1881" t="e">
        <f ca="1">Q65+Q66</f>
        <v>#DIV/0!</v>
      </c>
      <c r="R75" s="1881" t="s">
        <v>1043</v>
      </c>
    </row>
    <row r="76" spans="1:18" ht="13">
      <c r="B76" s="383" t="s">
        <v>1501</v>
      </c>
      <c r="C76" s="384">
        <f ca="1">INDIRECT("'数据-取费表'!j"&amp;$G$1)</f>
        <v>0</v>
      </c>
      <c r="I76" s="1837"/>
      <c r="J76" s="1837"/>
      <c r="K76" s="1863"/>
      <c r="L76" s="1837"/>
    </row>
    <row r="77" spans="1:18" ht="13.5">
      <c r="B77" s="385" t="s">
        <v>1502</v>
      </c>
      <c r="C77" s="386"/>
      <c r="I77" s="1837"/>
      <c r="J77" s="1837"/>
      <c r="K77" s="1863"/>
      <c r="L77" s="1837"/>
    </row>
    <row r="78" spans="1:18" ht="13.5">
      <c r="B78" s="309" t="s">
        <v>1503</v>
      </c>
      <c r="C78" s="387"/>
    </row>
    <row r="79" spans="1:18" ht="13">
      <c r="B79" s="381" t="s">
        <v>1504</v>
      </c>
      <c r="C79" s="313" t="e">
        <f ca="1">1-C80</f>
        <v>#DIV/0!</v>
      </c>
    </row>
    <row r="80" spans="1:18" ht="13">
      <c r="B80" s="381" t="s">
        <v>1505</v>
      </c>
      <c r="C80" s="313" t="e">
        <f ca="1">ROUND(C75/C39,3)</f>
        <v>#DIV/0!</v>
      </c>
    </row>
    <row r="81" spans="2:3" ht="13.5">
      <c r="B81" s="309" t="s">
        <v>1506</v>
      </c>
      <c r="C81" s="277"/>
    </row>
    <row r="82" spans="2:3" ht="13">
      <c r="B82" s="312" t="s">
        <v>1507</v>
      </c>
      <c r="C82" s="314" t="e">
        <f ca="1">1-C83</f>
        <v>#DIV/0!</v>
      </c>
    </row>
    <row r="83" spans="2:3" ht="13">
      <c r="B83" s="312" t="s">
        <v>1508</v>
      </c>
      <c r="C83" s="313"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3"/>
  <sheetViews>
    <sheetView workbookViewId="0">
      <selection activeCell="F19" sqref="F19"/>
    </sheetView>
  </sheetViews>
  <sheetFormatPr defaultColWidth="9" defaultRowHeight="14"/>
  <cols>
    <col min="1" max="1" width="23.6328125" style="1939" customWidth="1"/>
    <col min="2" max="2" width="12" style="1939" customWidth="1"/>
    <col min="3" max="3" width="9" style="1939"/>
    <col min="4" max="4" width="14.08984375" style="1939" customWidth="1"/>
    <col min="5" max="5" width="9" style="1939"/>
    <col min="6" max="6" width="12.90625" style="1939" customWidth="1"/>
    <col min="7" max="16384" width="9" style="1939"/>
  </cols>
  <sheetData>
    <row r="1" spans="1:6" ht="21">
      <c r="A1" s="2548" t="s">
        <v>2520</v>
      </c>
      <c r="B1" s="2549"/>
      <c r="C1" s="2549"/>
      <c r="D1" s="2549"/>
      <c r="E1" s="2550"/>
    </row>
    <row r="2" spans="1:6" ht="15.5">
      <c r="A2" s="2551" t="s">
        <v>2324</v>
      </c>
      <c r="B2" s="2552">
        <f ca="1">SUMIF(B6:B13,"&lt;&gt;#ref!",B6:B13)</f>
        <v>56644</v>
      </c>
      <c r="C2" s="2553" t="s">
        <v>2513</v>
      </c>
      <c r="D2" s="2554" t="s">
        <v>2514</v>
      </c>
      <c r="E2" s="2555">
        <f>SUM(E6:E13)</f>
        <v>85083.96</v>
      </c>
    </row>
    <row r="3" spans="1:6" ht="15.5">
      <c r="A3" s="2551" t="s">
        <v>1389</v>
      </c>
      <c r="B3" s="2552">
        <f ca="1">ROUND(B2*10000/E2,0)</f>
        <v>6657</v>
      </c>
      <c r="C3" s="2553" t="s">
        <v>2521</v>
      </c>
      <c r="D3" s="2556"/>
      <c r="E3" s="2557"/>
    </row>
    <row r="4" spans="1:6" ht="15.5">
      <c r="A4" s="2558"/>
      <c r="B4" s="2556"/>
      <c r="C4" s="2556"/>
      <c r="D4" s="2556"/>
      <c r="E4" s="2557"/>
    </row>
    <row r="5" spans="1:6">
      <c r="A5" s="2559" t="s">
        <v>2515</v>
      </c>
      <c r="B5" s="3292" t="s">
        <v>2516</v>
      </c>
      <c r="C5" s="3292"/>
      <c r="D5" s="2560"/>
      <c r="E5" s="2561" t="s">
        <v>2517</v>
      </c>
      <c r="F5" s="2562" t="s">
        <v>2518</v>
      </c>
    </row>
    <row r="6" spans="1:6">
      <c r="A6" s="2563">
        <f>'数据-取费表'!AN6</f>
        <v>0</v>
      </c>
      <c r="B6" s="2562" t="e">
        <f ca="1">IF(F6="是",'数据-取费表'!AO6,0)</f>
        <v>#REF!</v>
      </c>
      <c r="C6" s="2553" t="s">
        <v>2513</v>
      </c>
      <c r="D6" s="2556"/>
      <c r="E6" s="2564">
        <f>IF(OR(A6=0,F6="否"),0,'数据-取费表'!K6+'数据-取费表'!S6)</f>
        <v>0</v>
      </c>
      <c r="F6" s="2565" t="s">
        <v>2519</v>
      </c>
    </row>
    <row r="7" spans="1:6">
      <c r="A7" s="2563">
        <f>'数据-取费表'!AN7</f>
        <v>0</v>
      </c>
      <c r="B7" s="2562" t="e">
        <f ca="1">IF(F7="是",'数据-取费表'!AO7,0)</f>
        <v>#REF!</v>
      </c>
      <c r="C7" s="2553" t="s">
        <v>2513</v>
      </c>
      <c r="D7" s="2556"/>
      <c r="E7" s="2564">
        <f>IF(OR(A7=0,F7="否"),0,'数据-取费表'!K7+'数据-取费表'!S7)</f>
        <v>0</v>
      </c>
      <c r="F7" s="2565" t="s">
        <v>2519</v>
      </c>
    </row>
    <row r="8" spans="1:6">
      <c r="A8" s="2563">
        <f>'数据-取费表'!AN8</f>
        <v>0</v>
      </c>
      <c r="B8" s="2562" t="e">
        <f ca="1">IF(F8="是",'数据-取费表'!AO8,0)</f>
        <v>#REF!</v>
      </c>
      <c r="C8" s="2553" t="s">
        <v>2513</v>
      </c>
      <c r="D8" s="2556"/>
      <c r="E8" s="2564">
        <f>IF(OR(A8=0,F8="否"),0,'数据-取费表'!K8+'数据-取费表'!S8)</f>
        <v>0</v>
      </c>
      <c r="F8" s="2565" t="s">
        <v>2519</v>
      </c>
    </row>
    <row r="9" spans="1:6">
      <c r="A9" s="2563" t="str">
        <f>'数据-取费表'!AN9</f>
        <v>收益法</v>
      </c>
      <c r="B9" s="2562">
        <f ca="1">IF(F9="是",'数据-取费表'!AO9,0)</f>
        <v>23051</v>
      </c>
      <c r="C9" s="2553" t="s">
        <v>2513</v>
      </c>
      <c r="D9" s="2556"/>
      <c r="E9" s="2564">
        <f>IF(OR(A9=0,F9="否"),0,'数据-取费表'!K9+'数据-取费表'!S9)</f>
        <v>12613.849999999999</v>
      </c>
      <c r="F9" s="2565" t="s">
        <v>2519</v>
      </c>
    </row>
    <row r="10" spans="1:6">
      <c r="A10" s="2563" t="str">
        <f>'数据-取费表'!AN10</f>
        <v xml:space="preserve">收益法 (仓储) </v>
      </c>
      <c r="B10" s="2562">
        <f ca="1">IF(F10="是",'数据-取费表'!AO10,0)</f>
        <v>12544</v>
      </c>
      <c r="C10" s="2553" t="s">
        <v>2513</v>
      </c>
      <c r="D10" s="2556"/>
      <c r="E10" s="2564">
        <f>IF(OR(A10=0,F10="否"),0,'数据-取费表'!K10+'数据-取费表'!S10)</f>
        <v>8694.48</v>
      </c>
      <c r="F10" s="2565" t="s">
        <v>2519</v>
      </c>
    </row>
    <row r="11" spans="1:6">
      <c r="A11" s="2563" t="str">
        <f>'数据-取费表'!AN11</f>
        <v>收益法 (车库)</v>
      </c>
      <c r="B11" s="2562">
        <f ca="1">IF(F11="是",'数据-取费表'!AO11,0)</f>
        <v>21049</v>
      </c>
      <c r="C11" s="2553" t="s">
        <v>2513</v>
      </c>
      <c r="D11" s="2556"/>
      <c r="E11" s="2564">
        <f>IF(OR(A11=0,F11="否"),0,'数据-取费表'!K11+'数据-取费表'!S11)</f>
        <v>63775.630000000005</v>
      </c>
      <c r="F11" s="2565" t="s">
        <v>2519</v>
      </c>
    </row>
    <row r="12" spans="1:6">
      <c r="A12" s="2563">
        <f>'数据-取费表'!AN12</f>
        <v>0</v>
      </c>
      <c r="B12" s="2562" t="e">
        <f ca="1">IF(F12="是",'数据-取费表'!AO12,0)</f>
        <v>#REF!</v>
      </c>
      <c r="C12" s="2553" t="s">
        <v>2513</v>
      </c>
      <c r="D12" s="2556"/>
      <c r="E12" s="2564">
        <f>IF(OR(A12=0,F12="否"),0,'数据-取费表'!K12+'数据-取费表'!S12)</f>
        <v>0</v>
      </c>
      <c r="F12" s="2565" t="s">
        <v>2519</v>
      </c>
    </row>
    <row r="13" spans="1:6" ht="14.5" thickBot="1">
      <c r="A13" s="2566">
        <f>'数据-取费表'!AN13</f>
        <v>0</v>
      </c>
      <c r="B13" s="2562" t="e">
        <f ca="1">IF(F13="是",'数据-取费表'!AO13,0)</f>
        <v>#REF!</v>
      </c>
      <c r="C13" s="2567" t="s">
        <v>2513</v>
      </c>
      <c r="D13" s="2568"/>
      <c r="E13" s="2564">
        <f>IF(OR(A13=0,F13="否"),0,'数据-取费表'!K13+'数据-取费表'!S13)</f>
        <v>0</v>
      </c>
      <c r="F13" s="2565"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E00-000000000000}">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90625" customWidth="1"/>
  </cols>
  <sheetData>
    <row r="1" spans="1:9" ht="15">
      <c r="A1" s="3309" t="s">
        <v>1072</v>
      </c>
      <c r="B1" s="3310"/>
      <c r="C1" s="3311"/>
      <c r="D1" s="3312">
        <f>SUM(I10,I15,I20,I21,I23)</f>
        <v>0</v>
      </c>
      <c r="E1" s="3312"/>
      <c r="F1" s="3312"/>
      <c r="G1" s="3312"/>
      <c r="H1" s="3312"/>
      <c r="I1" s="3313"/>
    </row>
    <row r="2" spans="1:9">
      <c r="A2" s="3299" t="s">
        <v>1073</v>
      </c>
      <c r="B2" s="3300" t="s">
        <v>1074</v>
      </c>
      <c r="C2" s="3300"/>
      <c r="D2" s="1296" t="s">
        <v>1075</v>
      </c>
      <c r="E2" s="1296" t="s">
        <v>1076</v>
      </c>
      <c r="F2" s="1296" t="s">
        <v>1077</v>
      </c>
      <c r="G2" s="1296" t="s">
        <v>1078</v>
      </c>
      <c r="H2" s="1296" t="s">
        <v>1079</v>
      </c>
      <c r="I2" s="1297" t="s">
        <v>1080</v>
      </c>
    </row>
    <row r="3" spans="1:9">
      <c r="A3" s="3299"/>
      <c r="B3" s="3300" t="s">
        <v>1081</v>
      </c>
      <c r="C3" s="3300"/>
      <c r="D3" s="1298"/>
      <c r="E3" s="1296"/>
      <c r="F3" s="1299"/>
      <c r="G3" s="1299"/>
      <c r="H3" s="1300"/>
      <c r="I3" s="1301">
        <f>ROUND(D3*E3*F3*G3*H3/10000,0)</f>
        <v>0</v>
      </c>
    </row>
    <row r="4" spans="1:9">
      <c r="A4" s="3299"/>
      <c r="B4" s="3300" t="s">
        <v>1082</v>
      </c>
      <c r="C4" s="3300"/>
      <c r="D4" s="1298"/>
      <c r="E4" s="1296"/>
      <c r="F4" s="1299"/>
      <c r="G4" s="1299"/>
      <c r="H4" s="1300"/>
      <c r="I4" s="1301">
        <f t="shared" ref="I4:I9" si="0">ROUND(D4*E4*F4*G4*H4/10000,0)</f>
        <v>0</v>
      </c>
    </row>
    <row r="5" spans="1:9">
      <c r="A5" s="3299"/>
      <c r="B5" s="3300" t="s">
        <v>1083</v>
      </c>
      <c r="C5" s="3300"/>
      <c r="D5" s="1298"/>
      <c r="E5" s="1296"/>
      <c r="F5" s="1299"/>
      <c r="G5" s="1299"/>
      <c r="H5" s="1300"/>
      <c r="I5" s="1301">
        <f t="shared" si="0"/>
        <v>0</v>
      </c>
    </row>
    <row r="6" spans="1:9">
      <c r="A6" s="3299"/>
      <c r="B6" s="3300" t="s">
        <v>1084</v>
      </c>
      <c r="C6" s="3300"/>
      <c r="D6" s="1298"/>
      <c r="E6" s="1296"/>
      <c r="F6" s="1299"/>
      <c r="G6" s="1299"/>
      <c r="H6" s="1300"/>
      <c r="I6" s="1301">
        <f t="shared" si="0"/>
        <v>0</v>
      </c>
    </row>
    <row r="7" spans="1:9">
      <c r="A7" s="3299"/>
      <c r="B7" s="3300" t="s">
        <v>1085</v>
      </c>
      <c r="C7" s="3300"/>
      <c r="D7" s="1298"/>
      <c r="E7" s="1296"/>
      <c r="F7" s="1299"/>
      <c r="G7" s="1299"/>
      <c r="H7" s="1300"/>
      <c r="I7" s="1301">
        <f t="shared" si="0"/>
        <v>0</v>
      </c>
    </row>
    <row r="8" spans="1:9">
      <c r="A8" s="3299"/>
      <c r="B8" s="3300" t="s">
        <v>1086</v>
      </c>
      <c r="C8" s="3300"/>
      <c r="D8" s="1298"/>
      <c r="E8" s="1296"/>
      <c r="F8" s="1299"/>
      <c r="G8" s="1299"/>
      <c r="H8" s="1300"/>
      <c r="I8" s="1301">
        <f t="shared" si="0"/>
        <v>0</v>
      </c>
    </row>
    <row r="9" spans="1:9">
      <c r="A9" s="3299"/>
      <c r="B9" s="3300" t="s">
        <v>1087</v>
      </c>
      <c r="C9" s="3300"/>
      <c r="D9" s="1298"/>
      <c r="E9" s="1296"/>
      <c r="F9" s="1299"/>
      <c r="G9" s="1299"/>
      <c r="H9" s="1300"/>
      <c r="I9" s="1301">
        <f t="shared" si="0"/>
        <v>0</v>
      </c>
    </row>
    <row r="10" spans="1:9">
      <c r="A10" s="3299"/>
      <c r="B10" s="3301" t="s">
        <v>1088</v>
      </c>
      <c r="C10" s="3301"/>
      <c r="D10" s="1302"/>
      <c r="E10" s="1302" t="e">
        <f>ROUND(D1*10000/D10/H9,0)</f>
        <v>#DIV/0!</v>
      </c>
      <c r="F10" s="1303"/>
      <c r="G10" s="1303"/>
      <c r="H10" s="1304"/>
      <c r="I10" s="1305">
        <f>SUM(I3:I9)</f>
        <v>0</v>
      </c>
    </row>
    <row r="11" spans="1:9" ht="15">
      <c r="A11" s="3299" t="s">
        <v>1089</v>
      </c>
      <c r="B11" s="3300" t="s">
        <v>1090</v>
      </c>
      <c r="C11" s="3300"/>
      <c r="D11" s="1298" t="s">
        <v>1091</v>
      </c>
      <c r="E11" s="1298" t="s">
        <v>1092</v>
      </c>
      <c r="F11" s="1299" t="s">
        <v>1093</v>
      </c>
      <c r="G11" s="1299" t="s">
        <v>1079</v>
      </c>
      <c r="H11" s="1306" t="s">
        <v>1094</v>
      </c>
      <c r="I11" s="1297" t="s">
        <v>1080</v>
      </c>
    </row>
    <row r="12" spans="1:9">
      <c r="A12" s="3299"/>
      <c r="B12" s="3300" t="s">
        <v>1095</v>
      </c>
      <c r="C12" s="3300"/>
      <c r="D12" s="1298"/>
      <c r="E12" s="1298"/>
      <c r="F12" s="1299"/>
      <c r="G12" s="1300"/>
      <c r="H12" s="1307"/>
      <c r="I12" s="1297">
        <f>ROUND(D12*E12*F12*G12/10000,0)</f>
        <v>0</v>
      </c>
    </row>
    <row r="13" spans="1:9">
      <c r="A13" s="3299"/>
      <c r="B13" s="3300" t="s">
        <v>1096</v>
      </c>
      <c r="C13" s="3300"/>
      <c r="D13" s="1298"/>
      <c r="E13" s="1298"/>
      <c r="F13" s="1299"/>
      <c r="G13" s="1300"/>
      <c r="H13" s="1307"/>
      <c r="I13" s="1297">
        <f>ROUND(D13*E13*F13*G13/10000,0)</f>
        <v>0</v>
      </c>
    </row>
    <row r="14" spans="1:9">
      <c r="A14" s="3299"/>
      <c r="B14" s="3300" t="s">
        <v>1097</v>
      </c>
      <c r="C14" s="3300"/>
      <c r="D14" s="1298"/>
      <c r="E14" s="1298"/>
      <c r="F14" s="1299"/>
      <c r="G14" s="1300"/>
      <c r="H14" s="1307"/>
      <c r="I14" s="1297">
        <f>ROUND(D14*E14*F14*G14/10000,0)</f>
        <v>0</v>
      </c>
    </row>
    <row r="15" spans="1:9">
      <c r="A15" s="3299"/>
      <c r="B15" s="3301" t="s">
        <v>1088</v>
      </c>
      <c r="C15" s="3301"/>
      <c r="D15" s="1302"/>
      <c r="E15" s="1302">
        <f>SUM(E12:E14)</f>
        <v>0</v>
      </c>
      <c r="F15" s="1303"/>
      <c r="G15" s="1300"/>
      <c r="H15" s="1307"/>
      <c r="I15" s="1308">
        <f>SUM(I12:I14)</f>
        <v>0</v>
      </c>
    </row>
    <row r="16" spans="1:9" ht="26">
      <c r="A16" s="3299" t="s">
        <v>1098</v>
      </c>
      <c r="B16" s="3300" t="s">
        <v>1099</v>
      </c>
      <c r="C16" s="3300"/>
      <c r="D16" s="1298" t="s">
        <v>1075</v>
      </c>
      <c r="E16" s="1309" t="s">
        <v>1100</v>
      </c>
      <c r="F16" s="1299" t="s">
        <v>1101</v>
      </c>
      <c r="G16" s="1300" t="s">
        <v>1079</v>
      </c>
      <c r="H16" s="1306" t="s">
        <v>1094</v>
      </c>
      <c r="I16" s="1297" t="s">
        <v>1080</v>
      </c>
    </row>
    <row r="17" spans="1:9" ht="15">
      <c r="A17" s="3299"/>
      <c r="B17" s="3300" t="s">
        <v>1102</v>
      </c>
      <c r="C17" s="3300"/>
      <c r="D17" s="1298"/>
      <c r="E17" s="1298"/>
      <c r="F17" s="1299"/>
      <c r="G17" s="1300"/>
      <c r="H17" s="1310"/>
      <c r="I17" s="1311">
        <f>ROUND(D17*E17*F17*G17/10000,0)</f>
        <v>0</v>
      </c>
    </row>
    <row r="18" spans="1:9" ht="15">
      <c r="A18" s="3299"/>
      <c r="B18" s="3300" t="s">
        <v>1103</v>
      </c>
      <c r="C18" s="3300"/>
      <c r="D18" s="1298"/>
      <c r="E18" s="1298"/>
      <c r="F18" s="1299"/>
      <c r="G18" s="1300"/>
      <c r="H18" s="1310"/>
      <c r="I18" s="1311">
        <f>ROUND(D18*E18*F18*G18/10000,0)</f>
        <v>0</v>
      </c>
    </row>
    <row r="19" spans="1:9" ht="15">
      <c r="A19" s="3299"/>
      <c r="B19" s="3300" t="s">
        <v>1104</v>
      </c>
      <c r="C19" s="3300"/>
      <c r="D19" s="1298"/>
      <c r="E19" s="1298"/>
      <c r="F19" s="1299"/>
      <c r="G19" s="1300"/>
      <c r="H19" s="1310"/>
      <c r="I19" s="1311">
        <f>ROUND(D19*E19*F19*G19/10000,0)</f>
        <v>0</v>
      </c>
    </row>
    <row r="20" spans="1:9">
      <c r="A20" s="3299"/>
      <c r="B20" s="3301" t="s">
        <v>1088</v>
      </c>
      <c r="C20" s="3301"/>
      <c r="D20" s="1302">
        <f>SUM(D17:D19)</f>
        <v>0</v>
      </c>
      <c r="E20" s="1302"/>
      <c r="F20" s="1303"/>
      <c r="G20" s="1300"/>
      <c r="H20" s="1307"/>
      <c r="I20" s="1308">
        <f>SUM(I17:I19)</f>
        <v>0</v>
      </c>
    </row>
    <row r="21" spans="1:9">
      <c r="A21" s="3299" t="s">
        <v>1105</v>
      </c>
      <c r="B21" s="3302"/>
      <c r="C21" s="3302"/>
      <c r="D21" s="3302"/>
      <c r="E21" s="3302"/>
      <c r="F21" s="3302"/>
      <c r="G21" s="3302"/>
      <c r="H21" s="1760">
        <v>0.1</v>
      </c>
      <c r="I21" s="1305">
        <f>ROUND(I10*H21,0)</f>
        <v>0</v>
      </c>
    </row>
    <row r="22" spans="1:9" ht="15">
      <c r="A22" s="3303" t="s">
        <v>1106</v>
      </c>
      <c r="B22" s="3304"/>
      <c r="C22" s="3305"/>
      <c r="D22" s="1312" t="s">
        <v>1107</v>
      </c>
      <c r="E22" s="1312" t="s">
        <v>1108</v>
      </c>
      <c r="F22" s="1313" t="s">
        <v>1109</v>
      </c>
      <c r="G22" s="1313" t="s">
        <v>1110</v>
      </c>
      <c r="H22" s="1306" t="s">
        <v>1111</v>
      </c>
      <c r="I22" s="1297" t="s">
        <v>1112</v>
      </c>
    </row>
    <row r="23" spans="1:9" ht="14.5" thickBot="1">
      <c r="A23" s="3306"/>
      <c r="B23" s="3307"/>
      <c r="C23" s="3308"/>
      <c r="D23" s="1314"/>
      <c r="E23" s="1314"/>
      <c r="F23" s="1314"/>
      <c r="G23" s="1315"/>
      <c r="H23" s="1316"/>
      <c r="I23" s="1317">
        <f>ROUND(E23*D23*F23*(1-G23)/10000,0)</f>
        <v>0</v>
      </c>
    </row>
    <row r="26" spans="1:9">
      <c r="A26" s="1318" t="s">
        <v>1113</v>
      </c>
      <c r="B26" s="1318"/>
      <c r="C26" s="1318"/>
      <c r="D26" s="1318"/>
      <c r="E26" s="3296">
        <f>C27-C30-C31-C32</f>
        <v>0</v>
      </c>
      <c r="F26" s="3296"/>
      <c r="G26" s="3296"/>
      <c r="H26" s="1732" t="s">
        <v>1335</v>
      </c>
    </row>
    <row r="27" spans="1:9">
      <c r="A27" s="1319">
        <v>1</v>
      </c>
      <c r="B27" s="1320" t="s">
        <v>1114</v>
      </c>
      <c r="C27" s="1320">
        <f>C28+C29</f>
        <v>0</v>
      </c>
      <c r="D27" s="1320"/>
      <c r="E27" s="3297"/>
      <c r="F27" s="3297"/>
      <c r="G27" s="3297"/>
    </row>
    <row r="28" spans="1:9">
      <c r="A28" s="1321" t="s">
        <v>1115</v>
      </c>
      <c r="B28" s="1320" t="s">
        <v>1116</v>
      </c>
      <c r="C28" s="1320"/>
      <c r="D28" s="1320"/>
      <c r="E28" s="3297"/>
      <c r="F28" s="3297"/>
      <c r="G28" s="3297"/>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98"/>
      <c r="F32" s="3298"/>
      <c r="G32" s="3298"/>
    </row>
    <row r="33" spans="1:7" hidden="1">
      <c r="A33" s="3293" t="s">
        <v>1125</v>
      </c>
      <c r="B33" s="3294"/>
      <c r="C33" s="3294"/>
      <c r="D33" s="3295"/>
      <c r="E33" s="3296"/>
      <c r="F33" s="3296"/>
      <c r="G33" s="3296"/>
    </row>
    <row r="34" spans="1:7" hidden="1">
      <c r="A34" s="1323">
        <v>1</v>
      </c>
      <c r="B34" s="1320" t="s">
        <v>1126</v>
      </c>
      <c r="C34" s="1320"/>
      <c r="D34" s="1320"/>
      <c r="E34" s="3297"/>
      <c r="F34" s="3297"/>
      <c r="G34" s="3297"/>
    </row>
    <row r="35" spans="1:7" hidden="1">
      <c r="A35" s="1323">
        <v>2</v>
      </c>
      <c r="B35" s="1320" t="s">
        <v>1127</v>
      </c>
      <c r="C35" s="1320"/>
      <c r="D35" s="1320"/>
      <c r="E35" s="3297"/>
      <c r="F35" s="3297"/>
      <c r="G35" s="3297"/>
    </row>
    <row r="36" spans="1:7" hidden="1">
      <c r="A36" s="1323">
        <v>3</v>
      </c>
      <c r="B36" s="1320" t="s">
        <v>1128</v>
      </c>
      <c r="C36" s="1320"/>
      <c r="D36" s="1320"/>
      <c r="E36" s="3297"/>
      <c r="F36" s="3297"/>
      <c r="G36" s="3297"/>
    </row>
    <row r="37" spans="1:7" hidden="1">
      <c r="A37" s="1323">
        <v>4</v>
      </c>
      <c r="B37" s="1320" t="s">
        <v>1129</v>
      </c>
      <c r="C37" s="1320"/>
      <c r="D37" s="1320"/>
      <c r="E37" s="3297"/>
      <c r="F37" s="3297"/>
      <c r="G37" s="3297"/>
    </row>
    <row r="38" spans="1:7" hidden="1">
      <c r="A38" s="3293" t="s">
        <v>1130</v>
      </c>
      <c r="B38" s="3294"/>
      <c r="C38" s="3294"/>
      <c r="D38" s="3295"/>
      <c r="E38" s="3296"/>
      <c r="F38" s="3296"/>
      <c r="G38" s="32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zoomScale="90" zoomScaleNormal="90" workbookViewId="0">
      <selection activeCell="G4" sqref="G4:H4"/>
    </sheetView>
  </sheetViews>
  <sheetFormatPr defaultColWidth="9" defaultRowHeight="14"/>
  <cols>
    <col min="1" max="1" width="10.453125" style="398" customWidth="1"/>
    <col min="2" max="2" width="15.90625" style="398" customWidth="1"/>
    <col min="3" max="3" width="15.0898437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2610"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2522</v>
      </c>
      <c r="B1" s="2569" t="s">
        <v>2636</v>
      </c>
      <c r="C1" s="1629" t="s">
        <v>2524</v>
      </c>
      <c r="D1" s="1616" t="s">
        <v>1372</v>
      </c>
      <c r="E1" s="2643"/>
      <c r="F1" s="2571" t="s">
        <v>3279</v>
      </c>
      <c r="G1" s="1626" t="s">
        <v>2637</v>
      </c>
      <c r="H1" s="1625"/>
      <c r="I1" s="1625"/>
      <c r="J1" s="1625"/>
      <c r="K1" s="1627"/>
      <c r="L1" s="1628"/>
      <c r="M1" s="1629"/>
      <c r="N1" s="1629"/>
      <c r="O1" s="1629"/>
      <c r="P1" s="2644"/>
      <c r="Q1" s="2645"/>
      <c r="R1" s="2645"/>
      <c r="S1" s="2645"/>
      <c r="T1" s="2645"/>
      <c r="U1" s="2645"/>
      <c r="V1" s="2645"/>
      <c r="W1" s="2645"/>
      <c r="X1" s="2645"/>
      <c r="Y1" s="2645"/>
      <c r="Z1" s="2645"/>
      <c r="AA1" s="2645"/>
      <c r="AB1" s="2645"/>
      <c r="AC1" s="2646"/>
    </row>
    <row r="2" spans="1:29" s="393" customFormat="1" ht="28.5" customHeight="1" thickTop="1">
      <c r="A2" s="1612" t="s">
        <v>2324</v>
      </c>
      <c r="B2" s="1413" t="e">
        <f>IF(C2="——",ROUND(C49*D3/10000,0),ROUND(C49*D3/10000,0)-D2)</f>
        <v>#DIV/0!</v>
      </c>
      <c r="C2" s="2573" t="s">
        <v>70</v>
      </c>
      <c r="D2" s="1360" t="e">
        <f ca="1">SUMIF(INDIRECT("'"&amp;F2&amp;"'"&amp;"!A:A"),"承租人权益价值",INDIRECT("'"&amp;F2&amp;"'"&amp;"!c:c"))</f>
        <v>#REF!</v>
      </c>
      <c r="E2" s="2574" t="s">
        <v>2325</v>
      </c>
      <c r="F2" s="2575"/>
      <c r="G2" s="1120"/>
      <c r="H2" s="1120"/>
      <c r="I2" s="1120"/>
      <c r="J2" s="1120"/>
      <c r="K2" s="1120"/>
      <c r="L2" s="1123"/>
      <c r="M2" s="1124"/>
      <c r="N2" s="1124"/>
      <c r="O2" s="1124"/>
      <c r="P2" s="2647"/>
      <c r="Q2" s="1124"/>
      <c r="R2" s="1124"/>
      <c r="S2" s="1124"/>
      <c r="T2" s="1124"/>
      <c r="U2" s="1124"/>
      <c r="V2" s="1124"/>
      <c r="W2" s="1124"/>
      <c r="X2" s="1124"/>
      <c r="Y2" s="1124"/>
      <c r="Z2" s="1124"/>
      <c r="AA2" s="1124"/>
      <c r="AB2" s="1124"/>
      <c r="AC2" s="2648"/>
    </row>
    <row r="3" spans="1:29" s="393" customFormat="1" ht="28.5" customHeight="1" thickBot="1">
      <c r="A3" s="242" t="s">
        <v>2326</v>
      </c>
      <c r="B3" s="604" t="e">
        <f>IF(C2="——",C49,ROUND(B2*10000/D3,0))</f>
        <v>#DIV/0!</v>
      </c>
      <c r="C3" s="395" t="s">
        <v>2638</v>
      </c>
      <c r="D3" s="394">
        <f>IF(D1="",'数据-汇总表'!E3,SUMIF('数据-汇总表'!$C19:$C33,D1,'数据-汇总表'!$E19:$E33))</f>
        <v>11127.55</v>
      </c>
      <c r="E3" s="2649"/>
      <c r="F3" s="1121"/>
      <c r="G3" s="1120"/>
      <c r="H3" s="1120"/>
      <c r="I3" s="1120"/>
      <c r="J3" s="1120"/>
      <c r="K3" s="1122"/>
      <c r="L3" s="1123"/>
      <c r="M3" s="1124"/>
      <c r="N3" s="1124"/>
      <c r="O3" s="1124"/>
      <c r="P3" s="2647"/>
      <c r="Q3" s="1124"/>
      <c r="R3" s="1124"/>
      <c r="S3" s="1124"/>
      <c r="T3" s="1124"/>
      <c r="U3" s="1124"/>
      <c r="V3" s="1124"/>
      <c r="W3" s="1124"/>
      <c r="X3" s="1124"/>
      <c r="Y3" s="1124"/>
      <c r="Z3" s="1124"/>
      <c r="AA3" s="1124"/>
      <c r="AB3" s="1124"/>
      <c r="AC3" s="2649"/>
    </row>
    <row r="4" spans="1:29">
      <c r="A4" s="396" t="s">
        <v>2639</v>
      </c>
      <c r="B4" s="397"/>
      <c r="C4" s="3234" t="s">
        <v>2640</v>
      </c>
      <c r="D4" s="3247"/>
      <c r="E4" s="3248" t="s">
        <v>2641</v>
      </c>
      <c r="F4" s="3249"/>
      <c r="G4" s="3234" t="s">
        <v>2642</v>
      </c>
      <c r="H4" s="3247"/>
      <c r="I4" s="3234" t="s">
        <v>2643</v>
      </c>
      <c r="J4" s="3247"/>
      <c r="K4" s="605" t="s">
        <v>2644</v>
      </c>
      <c r="L4" s="1125"/>
      <c r="M4" s="1126"/>
      <c r="N4" s="1126"/>
      <c r="O4" s="1126"/>
      <c r="P4" s="3250" t="s">
        <v>2645</v>
      </c>
      <c r="Q4" s="3251"/>
      <c r="R4" s="3256" t="s">
        <v>2641</v>
      </c>
      <c r="S4" s="3257"/>
      <c r="T4" s="3256" t="s">
        <v>2642</v>
      </c>
      <c r="U4" s="3257"/>
      <c r="V4" s="3243" t="s">
        <v>2643</v>
      </c>
      <c r="W4" s="3243"/>
      <c r="X4" s="1808"/>
      <c r="Y4" s="3256" t="s">
        <v>2645</v>
      </c>
      <c r="Z4" s="3257"/>
      <c r="AA4" s="3244" t="s">
        <v>2641</v>
      </c>
      <c r="AB4" s="3243" t="s">
        <v>2642</v>
      </c>
      <c r="AC4" s="3244" t="s">
        <v>2643</v>
      </c>
    </row>
    <row r="5" spans="1:29">
      <c r="A5" s="399"/>
      <c r="B5" s="400"/>
      <c r="C5" s="3264" t="s">
        <v>2536</v>
      </c>
      <c r="D5" s="3265"/>
      <c r="E5" s="3271" t="s">
        <v>2537</v>
      </c>
      <c r="F5" s="3272"/>
      <c r="G5" s="3264" t="s">
        <v>2538</v>
      </c>
      <c r="H5" s="3265"/>
      <c r="I5" s="3264" t="s">
        <v>2539</v>
      </c>
      <c r="J5" s="3265"/>
      <c r="K5" s="605"/>
      <c r="L5" s="1125"/>
      <c r="M5" s="1126"/>
      <c r="N5" s="1126"/>
      <c r="O5" s="1126"/>
      <c r="P5" s="3252"/>
      <c r="Q5" s="3253"/>
      <c r="R5" s="3258"/>
      <c r="S5" s="3259"/>
      <c r="T5" s="3258"/>
      <c r="U5" s="3259"/>
      <c r="V5" s="3243"/>
      <c r="W5" s="3243"/>
      <c r="X5" s="1808"/>
      <c r="Y5" s="3258"/>
      <c r="Z5" s="3259"/>
      <c r="AA5" s="3245"/>
      <c r="AB5" s="3243"/>
      <c r="AC5" s="3245"/>
    </row>
    <row r="6" spans="1:29" ht="15" thickBot="1">
      <c r="A6" s="401"/>
      <c r="B6" s="402"/>
      <c r="C6" s="3262" t="s">
        <v>2540</v>
      </c>
      <c r="D6" s="3263"/>
      <c r="E6" s="3269" t="s">
        <v>2540</v>
      </c>
      <c r="F6" s="3270"/>
      <c r="G6" s="3262" t="s">
        <v>2540</v>
      </c>
      <c r="H6" s="3263"/>
      <c r="I6" s="3262" t="s">
        <v>2540</v>
      </c>
      <c r="J6" s="3263"/>
      <c r="K6" s="605" t="s">
        <v>2541</v>
      </c>
      <c r="L6" s="1125"/>
      <c r="M6" s="1126"/>
      <c r="N6" s="1126"/>
      <c r="O6" s="1126"/>
      <c r="P6" s="3254"/>
      <c r="Q6" s="3255"/>
      <c r="R6" s="3258"/>
      <c r="S6" s="3259"/>
      <c r="T6" s="3260"/>
      <c r="U6" s="3261"/>
      <c r="V6" s="3243"/>
      <c r="W6" s="3243"/>
      <c r="X6" s="1808"/>
      <c r="Y6" s="3260"/>
      <c r="Z6" s="3261"/>
      <c r="AA6" s="3246"/>
      <c r="AB6" s="3243"/>
      <c r="AC6" s="3246"/>
    </row>
    <row r="7" spans="1:29" s="114" customFormat="1" ht="14.5" thickBot="1">
      <c r="A7" s="403" t="s">
        <v>2542</v>
      </c>
      <c r="B7" s="404"/>
      <c r="C7" s="405">
        <f>'数据-取费表'!B2</f>
        <v>43903</v>
      </c>
      <c r="D7" s="406">
        <v>100</v>
      </c>
      <c r="E7" s="407"/>
      <c r="F7" s="408">
        <f>SUMIF(58:58,YEAR(E7)&amp;"-"&amp;MONTH(E7),59:59)</f>
        <v>0</v>
      </c>
      <c r="G7" s="407"/>
      <c r="H7" s="406">
        <f>SUMIF(58:58,YEAR(G7)&amp;"-"&amp;MONTH(G7),59:59)</f>
        <v>0</v>
      </c>
      <c r="I7" s="407"/>
      <c r="J7" s="406">
        <f>SUMIF(58:58,YEAR(I7)&amp;"-"&amp;MONTH(I7),59:59)</f>
        <v>0</v>
      </c>
      <c r="K7" s="606"/>
      <c r="L7" s="1127"/>
      <c r="M7" s="1128"/>
      <c r="N7" s="1128"/>
      <c r="O7" s="1128"/>
      <c r="P7" s="3266" t="s">
        <v>2543</v>
      </c>
      <c r="Q7" s="3268"/>
      <c r="R7" s="765" t="s">
        <v>17</v>
      </c>
      <c r="S7" s="766">
        <f t="shared" ref="S7:S15" si="0">F7</f>
        <v>0</v>
      </c>
      <c r="T7" s="765" t="s">
        <v>17</v>
      </c>
      <c r="U7" s="766">
        <f t="shared" ref="U7:U15" si="1">H7</f>
        <v>0</v>
      </c>
      <c r="V7" s="765" t="s">
        <v>17</v>
      </c>
      <c r="W7" s="766">
        <f t="shared" ref="W7:W15" si="2">J7</f>
        <v>0</v>
      </c>
      <c r="X7" s="767"/>
      <c r="Y7" s="3266" t="s">
        <v>2543</v>
      </c>
      <c r="Z7" s="3267"/>
      <c r="AA7" s="768" t="e">
        <f>D7/F7</f>
        <v>#DIV/0!</v>
      </c>
      <c r="AB7" s="768" t="e">
        <f>D7/H7</f>
        <v>#DIV/0!</v>
      </c>
      <c r="AC7" s="768" t="e">
        <f>D7/J7</f>
        <v>#DIV/0!</v>
      </c>
    </row>
    <row r="8" spans="1:29" s="114" customFormat="1" ht="14.5" thickBot="1">
      <c r="A8" s="403" t="s">
        <v>2544</v>
      </c>
      <c r="B8" s="404"/>
      <c r="C8" s="409" t="s">
        <v>2646</v>
      </c>
      <c r="D8" s="406">
        <v>100</v>
      </c>
      <c r="E8" s="409"/>
      <c r="F8" s="408">
        <f>SUMIF(61:61,E8,62:62)-SUMIF(61:61,C8,62:62)+100</f>
        <v>0</v>
      </c>
      <c r="G8" s="409"/>
      <c r="H8" s="406">
        <f>SUMIF(61:61,G8,62:62)-SUMIF(61:61,C8,62:62)+100</f>
        <v>0</v>
      </c>
      <c r="I8" s="409"/>
      <c r="J8" s="406">
        <f>SUMIF(61:61,I8,62:62)-SUMIF(61:61,C8,62:62)+100</f>
        <v>0</v>
      </c>
      <c r="K8" s="606"/>
      <c r="L8" s="1127"/>
      <c r="M8" s="1128"/>
      <c r="N8" s="1128"/>
      <c r="O8" s="1128"/>
      <c r="P8" s="3266" t="s">
        <v>2546</v>
      </c>
      <c r="Q8" s="3267"/>
      <c r="R8" s="765" t="s">
        <v>17</v>
      </c>
      <c r="S8" s="766">
        <f t="shared" si="0"/>
        <v>0</v>
      </c>
      <c r="T8" s="765" t="s">
        <v>17</v>
      </c>
      <c r="U8" s="766">
        <f t="shared" si="1"/>
        <v>0</v>
      </c>
      <c r="V8" s="765" t="s">
        <v>17</v>
      </c>
      <c r="W8" s="766">
        <f t="shared" si="2"/>
        <v>0</v>
      </c>
      <c r="X8" s="767"/>
      <c r="Y8" s="3266" t="s">
        <v>2546</v>
      </c>
      <c r="Z8" s="3267"/>
      <c r="AA8" s="768" t="e">
        <f t="shared" ref="AA8:AA46" si="3">D8/F8</f>
        <v>#DIV/0!</v>
      </c>
      <c r="AB8" s="768" t="e">
        <f t="shared" ref="AB8:AB46" si="4">D8/H8</f>
        <v>#DIV/0!</v>
      </c>
      <c r="AC8" s="768" t="e">
        <f t="shared" ref="AC8:AC46" si="5">D8/J8</f>
        <v>#DIV/0!</v>
      </c>
    </row>
    <row r="9" spans="1:29" s="114" customFormat="1">
      <c r="A9" s="410" t="s">
        <v>2547</v>
      </c>
      <c r="B9" s="68" t="s">
        <v>2548</v>
      </c>
      <c r="C9" s="411"/>
      <c r="D9" s="130">
        <v>100</v>
      </c>
      <c r="E9" s="412"/>
      <c r="F9" s="413">
        <f>SUMIF(63:63,E9,64:64)-SUMIF(63:63,C9,64:64)+100</f>
        <v>100</v>
      </c>
      <c r="G9" s="412"/>
      <c r="H9" s="130">
        <f>SUMIF(63:63,G9,64:64)-SUMIF(63:63,C9,64:64)+100</f>
        <v>100</v>
      </c>
      <c r="I9" s="412"/>
      <c r="J9" s="130">
        <f>SUMIF(63:63,I9,64:64)-SUMIF(63:63,C9,64:64)+100</f>
        <v>100</v>
      </c>
      <c r="K9" s="606"/>
      <c r="L9" s="1127"/>
      <c r="M9" s="1128"/>
      <c r="N9" s="1128"/>
      <c r="O9" s="1128"/>
      <c r="P9" s="3236" t="s">
        <v>2549</v>
      </c>
      <c r="Q9" s="1790" t="str">
        <f t="shared" ref="Q9:Q15" si="6">B9</f>
        <v>用途</v>
      </c>
      <c r="R9" s="765" t="s">
        <v>17</v>
      </c>
      <c r="S9" s="766">
        <f t="shared" si="0"/>
        <v>100</v>
      </c>
      <c r="T9" s="765" t="s">
        <v>17</v>
      </c>
      <c r="U9" s="766">
        <f t="shared" si="1"/>
        <v>100</v>
      </c>
      <c r="V9" s="765" t="s">
        <v>17</v>
      </c>
      <c r="W9" s="766">
        <f t="shared" si="2"/>
        <v>100</v>
      </c>
      <c r="X9" s="767"/>
      <c r="Y9" s="3085" t="s">
        <v>2550</v>
      </c>
      <c r="Z9" s="52" t="str">
        <f t="shared" ref="Z9:Z15" si="7">Q9</f>
        <v>用途</v>
      </c>
      <c r="AA9" s="768">
        <f t="shared" si="3"/>
        <v>1</v>
      </c>
      <c r="AB9" s="768">
        <f t="shared" si="4"/>
        <v>1</v>
      </c>
      <c r="AC9" s="768">
        <f t="shared" si="5"/>
        <v>1</v>
      </c>
    </row>
    <row r="10" spans="1:29" s="422" customFormat="1" ht="28">
      <c r="A10" s="416"/>
      <c r="B10" s="417" t="s">
        <v>2551</v>
      </c>
      <c r="C10" s="418"/>
      <c r="D10" s="131">
        <v>100</v>
      </c>
      <c r="E10" s="419"/>
      <c r="F10" s="420">
        <f>SUMIF(65:65,E10,66:66)-SUMIF(65:65,C10,66:66)+100</f>
        <v>100</v>
      </c>
      <c r="G10" s="418"/>
      <c r="H10" s="131">
        <f>SUMIF(65:65,G10,66:66)-SUMIF(65:65,C10,66:66)+100</f>
        <v>100</v>
      </c>
      <c r="I10" s="418"/>
      <c r="J10" s="131">
        <f>SUMIF(65:65,I10,66:66)-SUMIF(65:65,C10,66:66)+100</f>
        <v>100</v>
      </c>
      <c r="K10" s="607"/>
      <c r="L10" s="1130"/>
      <c r="M10" s="1131"/>
      <c r="N10" s="1131"/>
      <c r="O10" s="1131"/>
      <c r="P10" s="3236"/>
      <c r="Q10" s="1790" t="str">
        <f t="shared" si="6"/>
        <v>土地使用年限（年）</v>
      </c>
      <c r="R10" s="765" t="s">
        <v>17</v>
      </c>
      <c r="S10" s="766">
        <f t="shared" si="0"/>
        <v>100</v>
      </c>
      <c r="T10" s="765" t="s">
        <v>17</v>
      </c>
      <c r="U10" s="766">
        <f t="shared" si="1"/>
        <v>100</v>
      </c>
      <c r="V10" s="765" t="s">
        <v>17</v>
      </c>
      <c r="W10" s="766">
        <f t="shared" si="2"/>
        <v>100</v>
      </c>
      <c r="X10" s="767"/>
      <c r="Y10" s="3085"/>
      <c r="Z10" s="52" t="str">
        <f t="shared" si="7"/>
        <v>土地使用年限（年）</v>
      </c>
      <c r="AA10" s="768">
        <f t="shared" si="3"/>
        <v>1</v>
      </c>
      <c r="AB10" s="768">
        <f t="shared" si="4"/>
        <v>1</v>
      </c>
      <c r="AC10" s="768">
        <f t="shared" si="5"/>
        <v>1</v>
      </c>
    </row>
    <row r="11" spans="1:29" ht="15.5">
      <c r="A11" s="423"/>
      <c r="B11" s="417" t="s">
        <v>2552</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3"/>
      <c r="M11" s="1126"/>
      <c r="N11" s="1126"/>
      <c r="O11" s="1126"/>
      <c r="P11" s="3236"/>
      <c r="Q11" s="1790" t="str">
        <f t="shared" si="6"/>
        <v>容积率</v>
      </c>
      <c r="R11" s="765" t="s">
        <v>17</v>
      </c>
      <c r="S11" s="766" t="e">
        <f t="shared" si="0"/>
        <v>#N/A</v>
      </c>
      <c r="T11" s="765" t="s">
        <v>17</v>
      </c>
      <c r="U11" s="766" t="e">
        <f t="shared" si="1"/>
        <v>#N/A</v>
      </c>
      <c r="V11" s="765" t="s">
        <v>17</v>
      </c>
      <c r="W11" s="766" t="e">
        <f t="shared" si="2"/>
        <v>#N/A</v>
      </c>
      <c r="X11" s="767"/>
      <c r="Y11" s="3085"/>
      <c r="Z11" s="52" t="str">
        <f t="shared" si="7"/>
        <v>容积率</v>
      </c>
      <c r="AA11" s="768" t="e">
        <f t="shared" si="3"/>
        <v>#N/A</v>
      </c>
      <c r="AB11" s="768" t="e">
        <f t="shared" si="4"/>
        <v>#N/A</v>
      </c>
      <c r="AC11" s="768" t="e">
        <f t="shared" si="5"/>
        <v>#N/A</v>
      </c>
    </row>
    <row r="12" spans="1:29" s="114" customFormat="1" ht="15.5">
      <c r="A12" s="426"/>
      <c r="B12" s="2587">
        <v>111</v>
      </c>
      <c r="C12" s="427"/>
      <c r="D12" s="428">
        <v>100</v>
      </c>
      <c r="E12" s="429"/>
      <c r="F12" s="420">
        <f>SUMIF(70:70,E12,71:71)-SUMIF(70:70,C12,71:71)+100</f>
        <v>100</v>
      </c>
      <c r="G12" s="429"/>
      <c r="H12" s="131">
        <f>SUMIF(70:70,G12,71:71)-SUMIF(70:70,C12,71:71)+100</f>
        <v>100</v>
      </c>
      <c r="I12" s="429"/>
      <c r="J12" s="131">
        <f>SUMIF(70:70,I12,71:71)-SUMIF(70:70,C12,71:71)+100</f>
        <v>100</v>
      </c>
      <c r="K12" s="608"/>
      <c r="L12" s="1127"/>
      <c r="M12" s="1128"/>
      <c r="N12" s="1128"/>
      <c r="O12" s="1128"/>
      <c r="P12" s="3236"/>
      <c r="Q12" s="1790">
        <f t="shared" si="6"/>
        <v>111</v>
      </c>
      <c r="R12" s="765" t="s">
        <v>17</v>
      </c>
      <c r="S12" s="766">
        <f t="shared" si="0"/>
        <v>100</v>
      </c>
      <c r="T12" s="765" t="s">
        <v>17</v>
      </c>
      <c r="U12" s="766">
        <f t="shared" si="1"/>
        <v>100</v>
      </c>
      <c r="V12" s="765" t="s">
        <v>17</v>
      </c>
      <c r="W12" s="766">
        <f t="shared" si="2"/>
        <v>100</v>
      </c>
      <c r="X12" s="767"/>
      <c r="Y12" s="3085"/>
      <c r="Z12" s="52">
        <f t="shared" si="7"/>
        <v>111</v>
      </c>
      <c r="AA12" s="768">
        <f>D12/F12</f>
        <v>1</v>
      </c>
      <c r="AB12" s="768">
        <f>D12/H12</f>
        <v>1</v>
      </c>
      <c r="AC12" s="768">
        <f>D12/J12</f>
        <v>1</v>
      </c>
    </row>
    <row r="13" spans="1:29" ht="15.5">
      <c r="A13" s="423"/>
      <c r="B13" s="2587">
        <v>111</v>
      </c>
      <c r="C13" s="429"/>
      <c r="D13" s="430">
        <v>100</v>
      </c>
      <c r="E13" s="429"/>
      <c r="F13" s="420">
        <f>SUMIF(72:72,E13,73:73)-SUMIF(72:72,C13,73:73)+100</f>
        <v>100</v>
      </c>
      <c r="G13" s="429"/>
      <c r="H13" s="430">
        <f>SUMIF(72:72,G13,73:73)-SUMIF(72:72,C13,73:73)+100</f>
        <v>100</v>
      </c>
      <c r="I13" s="429"/>
      <c r="J13" s="430">
        <f>SUMIF(72:72,I13,73:73)-SUMIF(72:72,C13,73:73)+100</f>
        <v>100</v>
      </c>
      <c r="K13" s="608"/>
      <c r="L13" s="1135"/>
      <c r="M13" s="1126"/>
      <c r="N13" s="1126"/>
      <c r="O13" s="1126"/>
      <c r="P13" s="3236"/>
      <c r="Q13" s="1790">
        <f t="shared" si="6"/>
        <v>111</v>
      </c>
      <c r="R13" s="765" t="s">
        <v>17</v>
      </c>
      <c r="S13" s="766">
        <f t="shared" si="0"/>
        <v>100</v>
      </c>
      <c r="T13" s="765" t="s">
        <v>17</v>
      </c>
      <c r="U13" s="766">
        <f t="shared" si="1"/>
        <v>100</v>
      </c>
      <c r="V13" s="765" t="s">
        <v>17</v>
      </c>
      <c r="W13" s="766">
        <f t="shared" si="2"/>
        <v>100</v>
      </c>
      <c r="X13" s="767"/>
      <c r="Y13" s="3085"/>
      <c r="Z13" s="52">
        <f t="shared" si="7"/>
        <v>111</v>
      </c>
      <c r="AA13" s="768">
        <f t="shared" si="3"/>
        <v>1</v>
      </c>
      <c r="AB13" s="768">
        <f t="shared" si="4"/>
        <v>1</v>
      </c>
      <c r="AC13" s="768">
        <f t="shared" si="5"/>
        <v>1</v>
      </c>
    </row>
    <row r="14" spans="1:29" ht="16" thickBot="1">
      <c r="A14" s="431"/>
      <c r="B14" s="2589">
        <v>111</v>
      </c>
      <c r="C14" s="432"/>
      <c r="D14" s="433">
        <v>100</v>
      </c>
      <c r="E14" s="429"/>
      <c r="F14" s="434">
        <f>SUMIF(74:74,E14,75:75)-SUMIF(74:74,C14,75:75)+100</f>
        <v>100</v>
      </c>
      <c r="G14" s="429"/>
      <c r="H14" s="433">
        <f>SUMIF(74:74,G14,75:75)-SUMIF(74:74,C14,75:75)+100</f>
        <v>100</v>
      </c>
      <c r="I14" s="429"/>
      <c r="J14" s="433">
        <f>SUMIF(74:74,I14,75:75)-SUMIF(74:74,C14,75:75)+100</f>
        <v>100</v>
      </c>
      <c r="K14" s="608"/>
      <c r="L14" s="1135"/>
      <c r="M14" s="1126"/>
      <c r="N14" s="1126"/>
      <c r="O14" s="1126"/>
      <c r="P14" s="3236"/>
      <c r="Q14" s="1790">
        <f t="shared" si="6"/>
        <v>111</v>
      </c>
      <c r="R14" s="765" t="s">
        <v>17</v>
      </c>
      <c r="S14" s="766">
        <f t="shared" si="0"/>
        <v>100</v>
      </c>
      <c r="T14" s="765" t="s">
        <v>17</v>
      </c>
      <c r="U14" s="766">
        <f t="shared" si="1"/>
        <v>100</v>
      </c>
      <c r="V14" s="765" t="s">
        <v>17</v>
      </c>
      <c r="W14" s="766">
        <f t="shared" si="2"/>
        <v>100</v>
      </c>
      <c r="X14" s="767"/>
      <c r="Y14" s="3085"/>
      <c r="Z14" s="52">
        <f t="shared" si="7"/>
        <v>111</v>
      </c>
      <c r="AA14" s="768">
        <f t="shared" si="3"/>
        <v>1</v>
      </c>
      <c r="AB14" s="768">
        <f t="shared" si="4"/>
        <v>1</v>
      </c>
      <c r="AC14" s="768">
        <f t="shared" si="5"/>
        <v>1</v>
      </c>
    </row>
    <row r="15" spans="1:29" ht="70">
      <c r="A15" s="435" t="s">
        <v>2553</v>
      </c>
      <c r="B15" s="66" t="s">
        <v>2647</v>
      </c>
      <c r="C15" s="2590"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5"/>
      <c r="M15" s="1126"/>
      <c r="N15" s="1126"/>
      <c r="O15" s="1126"/>
      <c r="P15" s="3279" t="s">
        <v>2554</v>
      </c>
      <c r="Q15" s="1805" t="str">
        <f t="shared" si="6"/>
        <v>商业繁华度</v>
      </c>
      <c r="R15" s="769" t="s">
        <v>17</v>
      </c>
      <c r="S15" s="770">
        <f t="shared" si="0"/>
        <v>100</v>
      </c>
      <c r="T15" s="769" t="s">
        <v>17</v>
      </c>
      <c r="U15" s="770">
        <f t="shared" si="1"/>
        <v>100</v>
      </c>
      <c r="V15" s="769" t="s">
        <v>17</v>
      </c>
      <c r="W15" s="770">
        <f t="shared" si="2"/>
        <v>100</v>
      </c>
      <c r="X15" s="1808"/>
      <c r="Y15" s="3239" t="s">
        <v>2554</v>
      </c>
      <c r="Z15" s="1809" t="str">
        <f t="shared" si="7"/>
        <v>商业繁华度</v>
      </c>
      <c r="AA15" s="1806">
        <f t="shared" si="3"/>
        <v>1</v>
      </c>
      <c r="AB15" s="1806">
        <f t="shared" si="4"/>
        <v>1</v>
      </c>
      <c r="AC15" s="1806">
        <f t="shared" si="5"/>
        <v>1</v>
      </c>
    </row>
    <row r="16" spans="1:29" ht="15.5">
      <c r="A16" s="423"/>
      <c r="B16" s="441"/>
      <c r="C16" s="442"/>
      <c r="D16" s="443"/>
      <c r="E16" s="442"/>
      <c r="F16" s="444"/>
      <c r="G16" s="442"/>
      <c r="H16" s="445"/>
      <c r="I16" s="442"/>
      <c r="J16" s="443"/>
      <c r="K16" s="610"/>
      <c r="L16" s="1135"/>
      <c r="M16" s="1126"/>
      <c r="N16" s="1126"/>
      <c r="O16" s="1126"/>
      <c r="P16" s="3280"/>
      <c r="Q16" s="1805"/>
      <c r="R16" s="769"/>
      <c r="S16" s="770"/>
      <c r="T16" s="769"/>
      <c r="U16" s="770"/>
      <c r="V16" s="769"/>
      <c r="W16" s="770"/>
      <c r="X16" s="1808"/>
      <c r="Y16" s="3240"/>
      <c r="Z16" s="1809"/>
      <c r="AA16" s="1806">
        <v>1</v>
      </c>
      <c r="AB16" s="1806">
        <v>1</v>
      </c>
      <c r="AC16" s="1806">
        <v>1</v>
      </c>
    </row>
    <row r="17" spans="1:29" ht="84">
      <c r="A17" s="423"/>
      <c r="B17" s="446" t="s">
        <v>2095</v>
      </c>
      <c r="C17" s="2594"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5"/>
      <c r="M17" s="1126"/>
      <c r="N17" s="1126"/>
      <c r="O17" s="1126"/>
      <c r="P17" s="3280"/>
      <c r="Q17" s="1805" t="str">
        <f>B17</f>
        <v>交通便捷度</v>
      </c>
      <c r="R17" s="769" t="s">
        <v>17</v>
      </c>
      <c r="S17" s="770">
        <f>F17</f>
        <v>100</v>
      </c>
      <c r="T17" s="769" t="s">
        <v>17</v>
      </c>
      <c r="U17" s="770">
        <f>H17</f>
        <v>100</v>
      </c>
      <c r="V17" s="769" t="s">
        <v>17</v>
      </c>
      <c r="W17" s="770">
        <f>J17</f>
        <v>100</v>
      </c>
      <c r="X17" s="1808"/>
      <c r="Y17" s="3240"/>
      <c r="Z17" s="1809" t="str">
        <f>Q17</f>
        <v>交通便捷度</v>
      </c>
      <c r="AA17" s="1806">
        <f t="shared" si="3"/>
        <v>1</v>
      </c>
      <c r="AB17" s="1806">
        <f t="shared" si="4"/>
        <v>1</v>
      </c>
      <c r="AC17" s="1806">
        <f t="shared" si="5"/>
        <v>1</v>
      </c>
    </row>
    <row r="18" spans="1:29" ht="15.5">
      <c r="A18" s="423"/>
      <c r="B18" s="451"/>
      <c r="C18" s="2595"/>
      <c r="D18" s="445"/>
      <c r="E18" s="2597"/>
      <c r="F18" s="448"/>
      <c r="G18" s="2596"/>
      <c r="H18" s="443"/>
      <c r="I18" s="2597"/>
      <c r="J18" s="443"/>
      <c r="K18" s="610"/>
      <c r="L18" s="1135"/>
      <c r="M18" s="1126"/>
      <c r="N18" s="1126"/>
      <c r="O18" s="1126"/>
      <c r="P18" s="3280"/>
      <c r="Q18" s="1805"/>
      <c r="R18" s="769"/>
      <c r="S18" s="770"/>
      <c r="T18" s="769"/>
      <c r="U18" s="770"/>
      <c r="V18" s="769"/>
      <c r="W18" s="770"/>
      <c r="X18" s="1808"/>
      <c r="Y18" s="3240"/>
      <c r="Z18" s="1809"/>
      <c r="AA18" s="1806">
        <v>1</v>
      </c>
      <c r="AB18" s="1806">
        <v>1</v>
      </c>
      <c r="AC18" s="1806">
        <v>1</v>
      </c>
    </row>
    <row r="19" spans="1:29" ht="42">
      <c r="A19" s="423"/>
      <c r="B19" s="446" t="s">
        <v>2648</v>
      </c>
      <c r="C19" s="2594"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5"/>
      <c r="M19" s="1126"/>
      <c r="N19" s="1126"/>
      <c r="O19" s="1126"/>
      <c r="P19" s="3280"/>
      <c r="Q19" s="1805" t="str">
        <f>B19</f>
        <v>公共配套设施</v>
      </c>
      <c r="R19" s="769" t="s">
        <v>17</v>
      </c>
      <c r="S19" s="770">
        <f>F19</f>
        <v>100</v>
      </c>
      <c r="T19" s="769" t="s">
        <v>17</v>
      </c>
      <c r="U19" s="770">
        <f>H19</f>
        <v>100</v>
      </c>
      <c r="V19" s="769" t="s">
        <v>17</v>
      </c>
      <c r="W19" s="770">
        <f>J19</f>
        <v>100</v>
      </c>
      <c r="X19" s="1808"/>
      <c r="Y19" s="3240"/>
      <c r="Z19" s="1809" t="str">
        <f>Q19</f>
        <v>公共配套设施</v>
      </c>
      <c r="AA19" s="1806">
        <f t="shared" si="3"/>
        <v>1</v>
      </c>
      <c r="AB19" s="1806">
        <f t="shared" si="4"/>
        <v>1</v>
      </c>
      <c r="AC19" s="1806">
        <f t="shared" si="5"/>
        <v>1</v>
      </c>
    </row>
    <row r="20" spans="1:29" ht="15.5">
      <c r="A20" s="423"/>
      <c r="B20" s="451"/>
      <c r="C20" s="442"/>
      <c r="D20" s="443"/>
      <c r="E20" s="2592"/>
      <c r="F20" s="444"/>
      <c r="G20" s="2591"/>
      <c r="H20" s="443"/>
      <c r="I20" s="2592"/>
      <c r="J20" s="443"/>
      <c r="K20" s="610"/>
      <c r="L20" s="1135"/>
      <c r="M20" s="1126"/>
      <c r="N20" s="1126"/>
      <c r="O20" s="1126"/>
      <c r="P20" s="3280"/>
      <c r="Q20" s="1805"/>
      <c r="R20" s="769"/>
      <c r="S20" s="770"/>
      <c r="T20" s="769"/>
      <c r="U20" s="770"/>
      <c r="V20" s="769"/>
      <c r="W20" s="770"/>
      <c r="X20" s="1808"/>
      <c r="Y20" s="3240"/>
      <c r="Z20" s="1809"/>
      <c r="AA20" s="1806">
        <v>1</v>
      </c>
      <c r="AB20" s="1806">
        <v>1</v>
      </c>
      <c r="AC20" s="1806">
        <v>1</v>
      </c>
    </row>
    <row r="21" spans="1:29" ht="28">
      <c r="A21" s="423"/>
      <c r="B21" s="1379" t="s">
        <v>2649</v>
      </c>
      <c r="C21" s="2594"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5"/>
      <c r="M21" s="1126"/>
      <c r="N21" s="1126"/>
      <c r="O21" s="1126"/>
      <c r="P21" s="3280"/>
      <c r="Q21" s="1805" t="str">
        <f>B21</f>
        <v>基础设施水平</v>
      </c>
      <c r="R21" s="769" t="s">
        <v>17</v>
      </c>
      <c r="S21" s="770">
        <f>F21</f>
        <v>100</v>
      </c>
      <c r="T21" s="769" t="s">
        <v>17</v>
      </c>
      <c r="U21" s="770">
        <f>H21</f>
        <v>100</v>
      </c>
      <c r="V21" s="769" t="s">
        <v>17</v>
      </c>
      <c r="W21" s="770">
        <f>J21</f>
        <v>100</v>
      </c>
      <c r="X21" s="1808"/>
      <c r="Y21" s="3240"/>
      <c r="Z21" s="1809" t="str">
        <f>Q21</f>
        <v>基础设施水平</v>
      </c>
      <c r="AA21" s="1806">
        <f t="shared" ref="AA21" si="8">D21/F21</f>
        <v>1</v>
      </c>
      <c r="AB21" s="1806">
        <f t="shared" ref="AB21" si="9">D21/H21</f>
        <v>1</v>
      </c>
      <c r="AC21" s="1806">
        <f t="shared" ref="AC21" si="10">D21/J21</f>
        <v>1</v>
      </c>
    </row>
    <row r="22" spans="1:29" ht="15.5">
      <c r="A22" s="423"/>
      <c r="B22" s="1379"/>
      <c r="C22" s="2595"/>
      <c r="D22" s="443"/>
      <c r="E22" s="442"/>
      <c r="F22" s="444"/>
      <c r="G22" s="442"/>
      <c r="H22" s="443"/>
      <c r="I22" s="442"/>
      <c r="J22" s="443"/>
      <c r="K22" s="1378"/>
      <c r="L22" s="1135"/>
      <c r="M22" s="1126"/>
      <c r="N22" s="1126"/>
      <c r="O22" s="1126"/>
      <c r="P22" s="3280"/>
      <c r="Q22" s="1805"/>
      <c r="R22" s="769"/>
      <c r="S22" s="770"/>
      <c r="T22" s="769"/>
      <c r="U22" s="770"/>
      <c r="V22" s="769"/>
      <c r="W22" s="770"/>
      <c r="X22" s="1808"/>
      <c r="Y22" s="3240"/>
      <c r="Z22" s="1809"/>
      <c r="AA22" s="1806">
        <v>1</v>
      </c>
      <c r="AB22" s="1806">
        <v>1</v>
      </c>
      <c r="AC22" s="1806">
        <v>1</v>
      </c>
    </row>
    <row r="23" spans="1:29" ht="56">
      <c r="A23" s="423"/>
      <c r="B23" s="446" t="s">
        <v>2100</v>
      </c>
      <c r="C23" s="2650"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5"/>
      <c r="M23" s="1126"/>
      <c r="N23" s="1126"/>
      <c r="O23" s="1126"/>
      <c r="P23" s="3280"/>
      <c r="Q23" s="1805" t="str">
        <f>B23</f>
        <v>自然及人文环境</v>
      </c>
      <c r="R23" s="769" t="s">
        <v>17</v>
      </c>
      <c r="S23" s="770">
        <f>F23</f>
        <v>100</v>
      </c>
      <c r="T23" s="769" t="s">
        <v>17</v>
      </c>
      <c r="U23" s="770">
        <f>H23</f>
        <v>100</v>
      </c>
      <c r="V23" s="769" t="s">
        <v>17</v>
      </c>
      <c r="W23" s="770">
        <f>J23</f>
        <v>100</v>
      </c>
      <c r="X23" s="1808"/>
      <c r="Y23" s="3240"/>
      <c r="Z23" s="1809" t="str">
        <f>Q23</f>
        <v>自然及人文环境</v>
      </c>
      <c r="AA23" s="1806">
        <f t="shared" si="3"/>
        <v>1</v>
      </c>
      <c r="AB23" s="1806">
        <f t="shared" si="4"/>
        <v>1</v>
      </c>
      <c r="AC23" s="1806">
        <f t="shared" si="5"/>
        <v>1</v>
      </c>
    </row>
    <row r="24" spans="1:29" ht="15.5">
      <c r="A24" s="423"/>
      <c r="B24" s="451"/>
      <c r="C24" s="442"/>
      <c r="D24" s="443"/>
      <c r="E24" s="2592"/>
      <c r="F24" s="444"/>
      <c r="G24" s="2591"/>
      <c r="H24" s="443"/>
      <c r="I24" s="2592"/>
      <c r="J24" s="443"/>
      <c r="K24" s="610"/>
      <c r="L24" s="1135"/>
      <c r="M24" s="1126"/>
      <c r="N24" s="1126"/>
      <c r="O24" s="1126"/>
      <c r="P24" s="3280"/>
      <c r="Q24" s="1805"/>
      <c r="R24" s="769"/>
      <c r="S24" s="770"/>
      <c r="T24" s="769"/>
      <c r="U24" s="770"/>
      <c r="V24" s="769"/>
      <c r="W24" s="770"/>
      <c r="X24" s="1808"/>
      <c r="Y24" s="3240"/>
      <c r="Z24" s="1809"/>
      <c r="AA24" s="1806">
        <v>1</v>
      </c>
      <c r="AB24" s="1806">
        <v>1</v>
      </c>
      <c r="AC24" s="1806">
        <v>1</v>
      </c>
    </row>
    <row r="25" spans="1:29" ht="15.5">
      <c r="A25" s="423"/>
      <c r="B25" s="417" t="s">
        <v>2650</v>
      </c>
      <c r="C25" s="611"/>
      <c r="D25" s="430">
        <v>100</v>
      </c>
      <c r="E25" s="611"/>
      <c r="F25" s="456">
        <f>SUMIF(86:86,E25,87:87)-SUMIF(86:86,C25,87:87)+100</f>
        <v>100</v>
      </c>
      <c r="G25" s="611"/>
      <c r="H25" s="430">
        <f>SUMIF(86:86,G25,87:87)-SUMIF(86:86,C25,87:87)+100</f>
        <v>100</v>
      </c>
      <c r="I25" s="611"/>
      <c r="J25" s="430">
        <f>SUMIF(86:86,I25,87:87)-SUMIF(86:86,C25,87:87)+100</f>
        <v>100</v>
      </c>
      <c r="K25" s="607"/>
      <c r="L25" s="1135"/>
      <c r="M25" s="1126"/>
      <c r="N25" s="1126"/>
      <c r="O25" s="1126"/>
      <c r="P25" s="3280"/>
      <c r="Q25" s="1805" t="str">
        <f t="shared" ref="Q25:Q46" si="11">B25</f>
        <v>临街状况</v>
      </c>
      <c r="R25" s="769" t="s">
        <v>17</v>
      </c>
      <c r="S25" s="770">
        <f>F25</f>
        <v>100</v>
      </c>
      <c r="T25" s="769" t="s">
        <v>17</v>
      </c>
      <c r="U25" s="770">
        <f>H25</f>
        <v>100</v>
      </c>
      <c r="V25" s="769" t="s">
        <v>17</v>
      </c>
      <c r="W25" s="770">
        <f>J25</f>
        <v>100</v>
      </c>
      <c r="X25" s="1808"/>
      <c r="Y25" s="3240"/>
      <c r="Z25" s="1809" t="str">
        <f>Q25</f>
        <v>临街状况</v>
      </c>
      <c r="AA25" s="1806">
        <f t="shared" si="3"/>
        <v>1</v>
      </c>
      <c r="AB25" s="1806">
        <f t="shared" si="4"/>
        <v>1</v>
      </c>
      <c r="AC25" s="1806">
        <f t="shared" si="5"/>
        <v>1</v>
      </c>
    </row>
    <row r="26" spans="1:29" ht="15.5">
      <c r="A26" s="423"/>
      <c r="B26" s="1381" t="s">
        <v>2651</v>
      </c>
      <c r="C26" s="429"/>
      <c r="D26" s="430">
        <v>100</v>
      </c>
      <c r="E26" s="429"/>
      <c r="F26" s="456">
        <f>SUMIF(88:88,E26,89:89)-SUMIF(88:88,C26,89:89)+100</f>
        <v>100</v>
      </c>
      <c r="G26" s="429"/>
      <c r="H26" s="430">
        <f>SUMIF(88:88,G26,89:89)-SUMIF(88:88,C26,89:89)+100</f>
        <v>100</v>
      </c>
      <c r="I26" s="429"/>
      <c r="J26" s="430">
        <f>SUMIF(88:88,I26,89:89)-SUMIF(88:88,C26,89:89)+100</f>
        <v>100</v>
      </c>
      <c r="K26" s="608"/>
      <c r="L26" s="1135"/>
      <c r="M26" s="1126"/>
      <c r="N26" s="1126"/>
      <c r="O26" s="1126"/>
      <c r="P26" s="3280"/>
      <c r="Q26" s="1805" t="str">
        <f t="shared" si="11"/>
        <v>平面位置/可视性</v>
      </c>
      <c r="R26" s="769" t="s">
        <v>17</v>
      </c>
      <c r="S26" s="770">
        <f>F26</f>
        <v>100</v>
      </c>
      <c r="T26" s="769" t="s">
        <v>17</v>
      </c>
      <c r="U26" s="770">
        <f>H26</f>
        <v>100</v>
      </c>
      <c r="V26" s="769" t="s">
        <v>17</v>
      </c>
      <c r="W26" s="770">
        <f>J26</f>
        <v>100</v>
      </c>
      <c r="X26" s="1808"/>
      <c r="Y26" s="3240"/>
      <c r="Z26" s="1809" t="str">
        <f>Q26</f>
        <v>平面位置/可视性</v>
      </c>
      <c r="AA26" s="1806">
        <f t="shared" si="3"/>
        <v>1</v>
      </c>
      <c r="AB26" s="1806">
        <f t="shared" si="4"/>
        <v>1</v>
      </c>
      <c r="AC26" s="1806">
        <f t="shared" si="5"/>
        <v>1</v>
      </c>
    </row>
    <row r="27" spans="1:29" s="114" customFormat="1" ht="15.5">
      <c r="A27" s="426"/>
      <c r="B27" s="446" t="s">
        <v>2652</v>
      </c>
      <c r="C27" s="2651"/>
      <c r="D27" s="457">
        <v>100</v>
      </c>
      <c r="E27" s="2651"/>
      <c r="F27" s="459">
        <f>SUMIF(90:90,E27,91:91)-SUMIF(90:90,C27,91:91)+100</f>
        <v>100</v>
      </c>
      <c r="G27" s="2651"/>
      <c r="H27" s="457">
        <f>SUMIF(90:90,G27,91:91)-SUMIF(90:90,C27,91:91)+100</f>
        <v>100</v>
      </c>
      <c r="I27" s="2651"/>
      <c r="J27" s="457">
        <f>SUMIF(90:90,I27,91:91)-SUMIF(90:90,C27,91:91)+100</f>
        <v>100</v>
      </c>
      <c r="K27" s="607"/>
      <c r="L27" s="1127"/>
      <c r="M27" s="1128"/>
      <c r="N27" s="1128"/>
      <c r="O27" s="1128"/>
      <c r="P27" s="3280"/>
      <c r="Q27" s="1790" t="str">
        <f t="shared" si="11"/>
        <v>人流量</v>
      </c>
      <c r="R27" s="765" t="s">
        <v>17</v>
      </c>
      <c r="S27" s="766">
        <f>F27</f>
        <v>100</v>
      </c>
      <c r="T27" s="765" t="s">
        <v>17</v>
      </c>
      <c r="U27" s="766">
        <f>H27</f>
        <v>100</v>
      </c>
      <c r="V27" s="765" t="s">
        <v>17</v>
      </c>
      <c r="W27" s="766">
        <f>J27</f>
        <v>100</v>
      </c>
      <c r="X27" s="767"/>
      <c r="Y27" s="3240"/>
      <c r="Z27" s="52" t="str">
        <f>Q27</f>
        <v>人流量</v>
      </c>
      <c r="AA27" s="1806">
        <f>D27/F27</f>
        <v>1</v>
      </c>
      <c r="AB27" s="1806">
        <f>D27/H27</f>
        <v>1</v>
      </c>
      <c r="AC27" s="1806">
        <f>D27/J27</f>
        <v>1</v>
      </c>
    </row>
    <row r="28" spans="1:29" ht="15.5">
      <c r="A28" s="423"/>
      <c r="B28" s="417" t="s">
        <v>2653</v>
      </c>
      <c r="C28" s="611"/>
      <c r="D28" s="430">
        <v>100</v>
      </c>
      <c r="E28" s="611"/>
      <c r="F28" s="456">
        <f>SUMIF(92:92,E28,93:93)-SUMIF(92:92,C28,93:93)+100</f>
        <v>100</v>
      </c>
      <c r="G28" s="611"/>
      <c r="H28" s="430">
        <f>SUMIF(92:92,G28,93:93)-SUMIF(92:92,C28,93:93)+100</f>
        <v>100</v>
      </c>
      <c r="I28" s="611"/>
      <c r="J28" s="430">
        <f>SUMIF(92:92,I28,93:93)-SUMIF(92:92,C28,93:93)+100</f>
        <v>100</v>
      </c>
      <c r="K28" s="608"/>
      <c r="L28" s="1135"/>
      <c r="M28" s="1126"/>
      <c r="N28" s="1126"/>
      <c r="O28" s="1126"/>
      <c r="P28" s="3280"/>
      <c r="Q28" s="1805" t="str">
        <f t="shared" si="11"/>
        <v>楼层</v>
      </c>
      <c r="R28" s="769" t="s">
        <v>17</v>
      </c>
      <c r="S28" s="770">
        <f t="shared" ref="S28:S46" si="12">F28</f>
        <v>100</v>
      </c>
      <c r="T28" s="769" t="s">
        <v>17</v>
      </c>
      <c r="U28" s="770">
        <f t="shared" ref="U28:U46" si="13">H28</f>
        <v>100</v>
      </c>
      <c r="V28" s="769" t="s">
        <v>17</v>
      </c>
      <c r="W28" s="770">
        <f t="shared" ref="W28:W46" si="14">J28</f>
        <v>100</v>
      </c>
      <c r="X28" s="1808"/>
      <c r="Y28" s="3240"/>
      <c r="Z28" s="1809" t="str">
        <f t="shared" ref="Z28:Z46" si="15">Q28</f>
        <v>楼层</v>
      </c>
      <c r="AA28" s="1806">
        <f t="shared" si="3"/>
        <v>1</v>
      </c>
      <c r="AB28" s="1806">
        <f t="shared" si="4"/>
        <v>1</v>
      </c>
      <c r="AC28" s="1806">
        <f t="shared" si="5"/>
        <v>1</v>
      </c>
    </row>
    <row r="29" spans="1:29" ht="15.5">
      <c r="A29" s="423"/>
      <c r="B29" s="1381">
        <v>111</v>
      </c>
      <c r="C29" s="429"/>
      <c r="D29" s="430">
        <v>100</v>
      </c>
      <c r="E29" s="429"/>
      <c r="F29" s="456">
        <f>SUMIF(94:94,E29,95:95)-SUMIF(94:94,C29,95:95)+100</f>
        <v>100</v>
      </c>
      <c r="G29" s="429"/>
      <c r="H29" s="430">
        <f>SUMIF(94:94,G29,95:95)-SUMIF(94:94,C29,95:95)+100</f>
        <v>100</v>
      </c>
      <c r="I29" s="429"/>
      <c r="J29" s="430">
        <f>SUMIF(94:94,I29,95:95)-SUMIF(94:94,C29,95:95)+100</f>
        <v>100</v>
      </c>
      <c r="K29" s="608"/>
      <c r="L29" s="1135"/>
      <c r="M29" s="1126"/>
      <c r="N29" s="1126"/>
      <c r="O29" s="1126"/>
      <c r="P29" s="3280"/>
      <c r="Q29" s="1805">
        <f t="shared" si="11"/>
        <v>111</v>
      </c>
      <c r="R29" s="769" t="s">
        <v>17</v>
      </c>
      <c r="S29" s="770">
        <f t="shared" si="12"/>
        <v>100</v>
      </c>
      <c r="T29" s="769" t="s">
        <v>17</v>
      </c>
      <c r="U29" s="770">
        <f t="shared" si="13"/>
        <v>100</v>
      </c>
      <c r="V29" s="769" t="s">
        <v>17</v>
      </c>
      <c r="W29" s="770">
        <f t="shared" si="14"/>
        <v>100</v>
      </c>
      <c r="X29" s="1808"/>
      <c r="Y29" s="3240"/>
      <c r="Z29" s="1809">
        <f t="shared" si="15"/>
        <v>111</v>
      </c>
      <c r="AA29" s="1806">
        <f t="shared" si="3"/>
        <v>1</v>
      </c>
      <c r="AB29" s="1806">
        <f t="shared" si="4"/>
        <v>1</v>
      </c>
      <c r="AC29" s="1806">
        <f t="shared" si="5"/>
        <v>1</v>
      </c>
    </row>
    <row r="30" spans="1:29" ht="15.5">
      <c r="A30" s="423"/>
      <c r="B30" s="1381">
        <v>111</v>
      </c>
      <c r="C30" s="429"/>
      <c r="D30" s="430">
        <v>100</v>
      </c>
      <c r="E30" s="429"/>
      <c r="F30" s="456">
        <f>SUMIF(96:96,E30,97:97)-SUMIF(96:96,C30,97:97)+100</f>
        <v>100</v>
      </c>
      <c r="G30" s="429"/>
      <c r="H30" s="430">
        <f>SUMIF(96:96,G30,97:97)-SUMIF(96:96,C30,97:97)+100</f>
        <v>100</v>
      </c>
      <c r="I30" s="429"/>
      <c r="J30" s="430">
        <f>SUMIF(96:96,I30,97:97)-SUMIF(96:96,C30,97:97)+100</f>
        <v>100</v>
      </c>
      <c r="K30" s="608"/>
      <c r="L30" s="1135"/>
      <c r="M30" s="1126"/>
      <c r="N30" s="1126"/>
      <c r="O30" s="1126"/>
      <c r="P30" s="3280"/>
      <c r="Q30" s="1805">
        <f t="shared" si="11"/>
        <v>111</v>
      </c>
      <c r="R30" s="769" t="s">
        <v>17</v>
      </c>
      <c r="S30" s="770">
        <f t="shared" si="12"/>
        <v>100</v>
      </c>
      <c r="T30" s="769" t="s">
        <v>17</v>
      </c>
      <c r="U30" s="770">
        <f t="shared" si="13"/>
        <v>100</v>
      </c>
      <c r="V30" s="769" t="s">
        <v>17</v>
      </c>
      <c r="W30" s="770">
        <f t="shared" si="14"/>
        <v>100</v>
      </c>
      <c r="X30" s="1808"/>
      <c r="Y30" s="3240"/>
      <c r="Z30" s="1809">
        <f t="shared" si="15"/>
        <v>111</v>
      </c>
      <c r="AA30" s="1806">
        <f t="shared" si="3"/>
        <v>1</v>
      </c>
      <c r="AB30" s="1806">
        <f t="shared" si="4"/>
        <v>1</v>
      </c>
      <c r="AC30" s="1806">
        <f t="shared" si="5"/>
        <v>1</v>
      </c>
    </row>
    <row r="31" spans="1:29" ht="16" thickBot="1">
      <c r="A31" s="431"/>
      <c r="B31" s="1381">
        <v>111</v>
      </c>
      <c r="C31" s="432"/>
      <c r="D31" s="433">
        <v>100</v>
      </c>
      <c r="E31" s="429"/>
      <c r="F31" s="434">
        <f>SUMIF(98:98,E31,99:99)-SUMIF(98:98,C31,99:99)+100</f>
        <v>100</v>
      </c>
      <c r="G31" s="429"/>
      <c r="H31" s="433">
        <f>SUMIF(98:98,G31,99:99)-SUMIF(98:98,C31,99:99)+100</f>
        <v>100</v>
      </c>
      <c r="I31" s="429"/>
      <c r="J31" s="433">
        <f>SUMIF(98:98,I31,99:99)-SUMIF(98:98,C31,99:99)+100</f>
        <v>100</v>
      </c>
      <c r="K31" s="608"/>
      <c r="L31" s="1135"/>
      <c r="M31" s="1126"/>
      <c r="N31" s="1126"/>
      <c r="O31" s="1126"/>
      <c r="P31" s="3280"/>
      <c r="Q31" s="1805">
        <f t="shared" si="11"/>
        <v>111</v>
      </c>
      <c r="R31" s="769" t="s">
        <v>17</v>
      </c>
      <c r="S31" s="770">
        <f t="shared" si="12"/>
        <v>100</v>
      </c>
      <c r="T31" s="769" t="s">
        <v>17</v>
      </c>
      <c r="U31" s="770">
        <f t="shared" si="13"/>
        <v>100</v>
      </c>
      <c r="V31" s="769" t="s">
        <v>17</v>
      </c>
      <c r="W31" s="770">
        <f t="shared" si="14"/>
        <v>100</v>
      </c>
      <c r="X31" s="1808"/>
      <c r="Y31" s="3240"/>
      <c r="Z31" s="1809">
        <f t="shared" si="15"/>
        <v>111</v>
      </c>
      <c r="AA31" s="1806">
        <f t="shared" si="3"/>
        <v>1</v>
      </c>
      <c r="AB31" s="1806">
        <f t="shared" si="4"/>
        <v>1</v>
      </c>
      <c r="AC31" s="1806">
        <f t="shared" si="5"/>
        <v>1</v>
      </c>
    </row>
    <row r="32" spans="1:29" ht="15.5">
      <c r="A32" s="435" t="s">
        <v>2557</v>
      </c>
      <c r="B32" s="68" t="s">
        <v>2654</v>
      </c>
      <c r="C32" s="2604"/>
      <c r="D32" s="462">
        <v>100</v>
      </c>
      <c r="E32" s="2604"/>
      <c r="F32" s="456">
        <f>SUMIF(100:100,E32,101:101)-SUMIF(100:100,C32,101:101)+100</f>
        <v>100</v>
      </c>
      <c r="G32" s="2604"/>
      <c r="H32" s="430">
        <f>SUMIF(100:100,G32,101:101)-SUMIF(100:100,C32,101:101)+100</f>
        <v>100</v>
      </c>
      <c r="I32" s="2604"/>
      <c r="J32" s="462">
        <f>SUMIF(100:100,I32,101:101)-SUMIF(100:100,C32,101:101)+100</f>
        <v>100</v>
      </c>
      <c r="K32" s="607"/>
      <c r="L32" s="1135"/>
      <c r="M32" s="1126"/>
      <c r="N32" s="1126"/>
      <c r="O32" s="1126"/>
      <c r="P32" s="3275" t="s">
        <v>2559</v>
      </c>
      <c r="Q32" s="1805" t="str">
        <f t="shared" si="11"/>
        <v>商业类型</v>
      </c>
      <c r="R32" s="769" t="s">
        <v>17</v>
      </c>
      <c r="S32" s="770">
        <f t="shared" si="12"/>
        <v>100</v>
      </c>
      <c r="T32" s="769" t="s">
        <v>17</v>
      </c>
      <c r="U32" s="770">
        <f t="shared" si="13"/>
        <v>100</v>
      </c>
      <c r="V32" s="769" t="s">
        <v>17</v>
      </c>
      <c r="W32" s="770">
        <f t="shared" si="14"/>
        <v>100</v>
      </c>
      <c r="X32" s="1808"/>
      <c r="Y32" s="3242" t="s">
        <v>2559</v>
      </c>
      <c r="Z32" s="1809" t="str">
        <f t="shared" si="15"/>
        <v>商业类型</v>
      </c>
      <c r="AA32" s="1806">
        <f t="shared" si="3"/>
        <v>1</v>
      </c>
      <c r="AB32" s="1806">
        <f t="shared" si="4"/>
        <v>1</v>
      </c>
      <c r="AC32" s="1806">
        <f t="shared" si="5"/>
        <v>1</v>
      </c>
    </row>
    <row r="33" spans="1:29" s="466" customFormat="1" ht="15.5">
      <c r="A33" s="463"/>
      <c r="B33" s="417" t="s">
        <v>2560</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3"/>
      <c r="M33" s="1136"/>
      <c r="N33" s="1136"/>
      <c r="O33" s="1136"/>
      <c r="P33" s="3276"/>
      <c r="Q33" s="771" t="str">
        <f t="shared" si="11"/>
        <v>项目建筑规模</v>
      </c>
      <c r="R33" s="772" t="s">
        <v>17</v>
      </c>
      <c r="S33" s="773" t="e">
        <f t="shared" si="12"/>
        <v>#N/A</v>
      </c>
      <c r="T33" s="772" t="s">
        <v>17</v>
      </c>
      <c r="U33" s="773" t="e">
        <f t="shared" si="13"/>
        <v>#N/A</v>
      </c>
      <c r="V33" s="772" t="s">
        <v>17</v>
      </c>
      <c r="W33" s="773" t="e">
        <f t="shared" si="14"/>
        <v>#N/A</v>
      </c>
      <c r="X33" s="774"/>
      <c r="Y33" s="3242"/>
      <c r="Z33" s="775" t="str">
        <f t="shared" si="15"/>
        <v>项目建筑规模</v>
      </c>
      <c r="AA33" s="1806" t="e">
        <f t="shared" si="3"/>
        <v>#N/A</v>
      </c>
      <c r="AB33" s="1806" t="e">
        <f t="shared" si="4"/>
        <v>#N/A</v>
      </c>
      <c r="AC33" s="1806" t="e">
        <f t="shared" si="5"/>
        <v>#N/A</v>
      </c>
    </row>
    <row r="34" spans="1:29" ht="15.5">
      <c r="A34" s="467"/>
      <c r="B34" s="417" t="s">
        <v>2561</v>
      </c>
      <c r="C34" s="2606"/>
      <c r="D34" s="430">
        <v>100</v>
      </c>
      <c r="E34" s="2606"/>
      <c r="F34" s="456">
        <f>SUMIF(105:105,E34,106:106)-SUMIF(105:105,C34,106:106)+100</f>
        <v>100</v>
      </c>
      <c r="G34" s="2606"/>
      <c r="H34" s="430">
        <f>SUMIF(105:105,G34,106:106)-SUMIF(105:105,C34,106:106)+100</f>
        <v>100</v>
      </c>
      <c r="I34" s="2606"/>
      <c r="J34" s="430">
        <f>SUMIF(105:105,I34,106:106)-SUMIF(105:105,C34,106:106)+100</f>
        <v>100</v>
      </c>
      <c r="K34" s="607"/>
      <c r="L34" s="1135"/>
      <c r="M34" s="1126"/>
      <c r="N34" s="1126"/>
      <c r="O34" s="1126"/>
      <c r="P34" s="3276"/>
      <c r="Q34" s="1805" t="str">
        <f t="shared" si="11"/>
        <v>建筑结构</v>
      </c>
      <c r="R34" s="769" t="s">
        <v>17</v>
      </c>
      <c r="S34" s="770">
        <f t="shared" si="12"/>
        <v>100</v>
      </c>
      <c r="T34" s="769" t="s">
        <v>17</v>
      </c>
      <c r="U34" s="770">
        <f t="shared" si="13"/>
        <v>100</v>
      </c>
      <c r="V34" s="769" t="s">
        <v>17</v>
      </c>
      <c r="W34" s="770">
        <f t="shared" si="14"/>
        <v>100</v>
      </c>
      <c r="X34" s="1808"/>
      <c r="Y34" s="3242"/>
      <c r="Z34" s="1809" t="str">
        <f t="shared" si="15"/>
        <v>建筑结构</v>
      </c>
      <c r="AA34" s="1806">
        <f t="shared" si="3"/>
        <v>1</v>
      </c>
      <c r="AB34" s="1806">
        <f t="shared" si="4"/>
        <v>1</v>
      </c>
      <c r="AC34" s="1806">
        <f t="shared" si="5"/>
        <v>1</v>
      </c>
    </row>
    <row r="35" spans="1:29" ht="15.5">
      <c r="A35" s="467"/>
      <c r="B35" s="417" t="s">
        <v>2655</v>
      </c>
      <c r="C35" s="2600"/>
      <c r="D35" s="430">
        <v>100</v>
      </c>
      <c r="E35" s="2600"/>
      <c r="F35" s="456">
        <f>SUMIF(107:107,E35,108:108)-SUMIF(107:107,C35,108:108)+100</f>
        <v>100</v>
      </c>
      <c r="G35" s="2600"/>
      <c r="H35" s="430">
        <f>SUMIF(107:107,G35,108:108)-SUMIF(107:107,C35,108:108)+100</f>
        <v>100</v>
      </c>
      <c r="I35" s="2600"/>
      <c r="J35" s="430">
        <f>SUMIF(107:107,I35,108:108)-SUMIF(107:107,C35,108:108)+100</f>
        <v>100</v>
      </c>
      <c r="K35" s="607"/>
      <c r="L35" s="1135"/>
      <c r="M35" s="1126"/>
      <c r="N35" s="1126"/>
      <c r="O35" s="1126"/>
      <c r="P35" s="3276"/>
      <c r="Q35" s="1805" t="str">
        <f t="shared" si="11"/>
        <v>公共部分装修</v>
      </c>
      <c r="R35" s="769" t="s">
        <v>17</v>
      </c>
      <c r="S35" s="770">
        <f t="shared" si="12"/>
        <v>100</v>
      </c>
      <c r="T35" s="769" t="s">
        <v>17</v>
      </c>
      <c r="U35" s="770">
        <f t="shared" si="13"/>
        <v>100</v>
      </c>
      <c r="V35" s="769" t="s">
        <v>17</v>
      </c>
      <c r="W35" s="770">
        <f t="shared" si="14"/>
        <v>100</v>
      </c>
      <c r="X35" s="1808"/>
      <c r="Y35" s="3242"/>
      <c r="Z35" s="1809" t="str">
        <f t="shared" si="15"/>
        <v>公共部分装修</v>
      </c>
      <c r="AA35" s="1806">
        <f t="shared" si="3"/>
        <v>1</v>
      </c>
      <c r="AB35" s="1806">
        <f t="shared" si="4"/>
        <v>1</v>
      </c>
      <c r="AC35" s="1806">
        <f t="shared" si="5"/>
        <v>1</v>
      </c>
    </row>
    <row r="36" spans="1:29" ht="15.5">
      <c r="A36" s="467"/>
      <c r="B36" s="417" t="s">
        <v>2656</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5"/>
      <c r="M36" s="1126"/>
      <c r="N36" s="1126"/>
      <c r="O36" s="1126"/>
      <c r="P36" s="3276"/>
      <c r="Q36" s="1805" t="str">
        <f t="shared" si="11"/>
        <v>成新度</v>
      </c>
      <c r="R36" s="769" t="s">
        <v>17</v>
      </c>
      <c r="S36" s="770" t="e">
        <f t="shared" si="12"/>
        <v>#N/A</v>
      </c>
      <c r="T36" s="769" t="s">
        <v>17</v>
      </c>
      <c r="U36" s="770" t="e">
        <f t="shared" si="13"/>
        <v>#N/A</v>
      </c>
      <c r="V36" s="769" t="s">
        <v>17</v>
      </c>
      <c r="W36" s="770" t="e">
        <f t="shared" si="14"/>
        <v>#N/A</v>
      </c>
      <c r="X36" s="1808"/>
      <c r="Y36" s="3242"/>
      <c r="Z36" s="1809" t="str">
        <f t="shared" si="15"/>
        <v>成新度</v>
      </c>
      <c r="AA36" s="1806" t="e">
        <f t="shared" si="3"/>
        <v>#N/A</v>
      </c>
      <c r="AB36" s="1806" t="e">
        <f t="shared" si="4"/>
        <v>#N/A</v>
      </c>
      <c r="AC36" s="1806" t="e">
        <f t="shared" si="5"/>
        <v>#N/A</v>
      </c>
    </row>
    <row r="37" spans="1:29" s="114" customFormat="1" ht="15.5">
      <c r="A37" s="468"/>
      <c r="B37" s="417" t="s">
        <v>2657</v>
      </c>
      <c r="C37" s="2600"/>
      <c r="D37" s="131">
        <v>100</v>
      </c>
      <c r="E37" s="2600"/>
      <c r="F37" s="456">
        <f>SUMIF(112:112,E37,113:113)-SUMIF(112:112,C37,113:113)+100</f>
        <v>100</v>
      </c>
      <c r="G37" s="2600"/>
      <c r="H37" s="430">
        <f>SUMIF(112:112,G37,113:113)-SUMIF(112:112,C37,113:113)+100</f>
        <v>100</v>
      </c>
      <c r="I37" s="2600"/>
      <c r="J37" s="430">
        <f>SUMIF(112:112,I37,113:113)-SUMIF(112:112,C37,113:113)+100</f>
        <v>100</v>
      </c>
      <c r="K37" s="607"/>
      <c r="L37" s="1127"/>
      <c r="M37" s="1128"/>
      <c r="N37" s="1128"/>
      <c r="O37" s="1128"/>
      <c r="P37" s="3276"/>
      <c r="Q37" s="1790" t="str">
        <f t="shared" si="11"/>
        <v>市政基础设施</v>
      </c>
      <c r="R37" s="765" t="s">
        <v>17</v>
      </c>
      <c r="S37" s="766">
        <f t="shared" si="12"/>
        <v>100</v>
      </c>
      <c r="T37" s="765" t="s">
        <v>17</v>
      </c>
      <c r="U37" s="766">
        <f t="shared" si="13"/>
        <v>100</v>
      </c>
      <c r="V37" s="765" t="s">
        <v>17</v>
      </c>
      <c r="W37" s="766">
        <f t="shared" si="14"/>
        <v>100</v>
      </c>
      <c r="X37" s="767"/>
      <c r="Y37" s="3242"/>
      <c r="Z37" s="52" t="str">
        <f t="shared" si="15"/>
        <v>市政基础设施</v>
      </c>
      <c r="AA37" s="768">
        <f t="shared" si="3"/>
        <v>1</v>
      </c>
      <c r="AB37" s="768">
        <f t="shared" si="4"/>
        <v>1</v>
      </c>
      <c r="AC37" s="768">
        <f t="shared" si="5"/>
        <v>1</v>
      </c>
    </row>
    <row r="38" spans="1:29" ht="15.5">
      <c r="A38" s="467"/>
      <c r="B38" s="417" t="s">
        <v>2658</v>
      </c>
      <c r="C38" s="2600"/>
      <c r="D38" s="430">
        <v>100</v>
      </c>
      <c r="E38" s="2600"/>
      <c r="F38" s="456">
        <f>SUMIF(114:114,E38,115:115)-SUMIF(114:114,C38,115:115)+100</f>
        <v>100</v>
      </c>
      <c r="G38" s="2600"/>
      <c r="H38" s="430">
        <f>SUMIF(114:114,G38,115:115)-SUMIF(114:114,C38,115:115)+100</f>
        <v>100</v>
      </c>
      <c r="I38" s="2600"/>
      <c r="J38" s="430">
        <f>SUMIF(114:114,I38,115:115)-SUMIF(114:114,C38,115:115)+100</f>
        <v>100</v>
      </c>
      <c r="K38" s="607"/>
      <c r="L38" s="1135"/>
      <c r="M38" s="1126"/>
      <c r="N38" s="1126"/>
      <c r="O38" s="1126"/>
      <c r="P38" s="3276" t="s">
        <v>2559</v>
      </c>
      <c r="Q38" s="1805" t="str">
        <f t="shared" si="11"/>
        <v>业态</v>
      </c>
      <c r="R38" s="769" t="s">
        <v>17</v>
      </c>
      <c r="S38" s="770">
        <f t="shared" si="12"/>
        <v>100</v>
      </c>
      <c r="T38" s="769" t="s">
        <v>17</v>
      </c>
      <c r="U38" s="770">
        <f t="shared" si="13"/>
        <v>100</v>
      </c>
      <c r="V38" s="769" t="s">
        <v>17</v>
      </c>
      <c r="W38" s="770">
        <f t="shared" si="14"/>
        <v>100</v>
      </c>
      <c r="X38" s="1808"/>
      <c r="Y38" s="3242" t="s">
        <v>2559</v>
      </c>
      <c r="Z38" s="1809" t="str">
        <f t="shared" si="15"/>
        <v>业态</v>
      </c>
      <c r="AA38" s="1806">
        <f t="shared" si="3"/>
        <v>1</v>
      </c>
      <c r="AB38" s="1806">
        <f t="shared" si="4"/>
        <v>1</v>
      </c>
      <c r="AC38" s="1806">
        <f t="shared" si="5"/>
        <v>1</v>
      </c>
    </row>
    <row r="39" spans="1:29" ht="15.5">
      <c r="A39" s="467"/>
      <c r="B39" s="417" t="s">
        <v>2659</v>
      </c>
      <c r="C39" s="2600"/>
      <c r="D39" s="430">
        <v>100</v>
      </c>
      <c r="E39" s="2600"/>
      <c r="F39" s="456">
        <f>SUMIF(116:116,E39,117:117)-SUMIF(116:116,C39,117:117)+100</f>
        <v>100</v>
      </c>
      <c r="G39" s="2600"/>
      <c r="H39" s="430">
        <f>SUMIF(116:116,G39,117:117)-SUMIF(116:116,C39,117:117)+100</f>
        <v>100</v>
      </c>
      <c r="I39" s="2600"/>
      <c r="J39" s="430">
        <f>SUMIF(116:116,I39,117:117)-SUMIF(116:116,C39,117:117)+100</f>
        <v>100</v>
      </c>
      <c r="K39" s="607"/>
      <c r="L39" s="1135"/>
      <c r="M39" s="1126"/>
      <c r="N39" s="1126"/>
      <c r="O39" s="1126"/>
      <c r="P39" s="3276"/>
      <c r="Q39" s="1805" t="str">
        <f t="shared" si="11"/>
        <v>层高</v>
      </c>
      <c r="R39" s="769" t="s">
        <v>17</v>
      </c>
      <c r="S39" s="770">
        <f t="shared" si="12"/>
        <v>100</v>
      </c>
      <c r="T39" s="769" t="s">
        <v>17</v>
      </c>
      <c r="U39" s="770">
        <f t="shared" si="13"/>
        <v>100</v>
      </c>
      <c r="V39" s="769" t="s">
        <v>17</v>
      </c>
      <c r="W39" s="770">
        <f t="shared" si="14"/>
        <v>100</v>
      </c>
      <c r="X39" s="1808"/>
      <c r="Y39" s="3242"/>
      <c r="Z39" s="1809" t="str">
        <f t="shared" si="15"/>
        <v>层高</v>
      </c>
      <c r="AA39" s="1806">
        <f t="shared" si="3"/>
        <v>1</v>
      </c>
      <c r="AB39" s="1806">
        <f t="shared" si="4"/>
        <v>1</v>
      </c>
      <c r="AC39" s="1806">
        <f t="shared" si="5"/>
        <v>1</v>
      </c>
    </row>
    <row r="40" spans="1:29" ht="15.5">
      <c r="A40" s="467"/>
      <c r="B40" s="417" t="s">
        <v>2660</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5"/>
      <c r="M40" s="1126"/>
      <c r="N40" s="1126"/>
      <c r="O40" s="1126"/>
      <c r="P40" s="3276"/>
      <c r="Q40" s="1805" t="str">
        <f t="shared" si="11"/>
        <v>单套建筑面积</v>
      </c>
      <c r="R40" s="769" t="s">
        <v>17</v>
      </c>
      <c r="S40" s="770">
        <f t="shared" si="12"/>
        <v>100</v>
      </c>
      <c r="T40" s="769" t="s">
        <v>17</v>
      </c>
      <c r="U40" s="770">
        <f t="shared" si="13"/>
        <v>100</v>
      </c>
      <c r="V40" s="769" t="s">
        <v>17</v>
      </c>
      <c r="W40" s="770">
        <f t="shared" si="14"/>
        <v>100</v>
      </c>
      <c r="X40" s="1808"/>
      <c r="Y40" s="3242"/>
      <c r="Z40" s="1809" t="str">
        <f t="shared" si="15"/>
        <v>单套建筑面积</v>
      </c>
      <c r="AA40" s="1806">
        <f t="shared" si="3"/>
        <v>1</v>
      </c>
      <c r="AB40" s="1806">
        <f t="shared" si="4"/>
        <v>1</v>
      </c>
      <c r="AC40" s="1806">
        <f t="shared" si="5"/>
        <v>1</v>
      </c>
    </row>
    <row r="41" spans="1:29" s="466" customFormat="1" ht="15.5">
      <c r="A41" s="463"/>
      <c r="B41" s="1807" t="s">
        <v>2661</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3"/>
      <c r="M41" s="1136"/>
      <c r="N41" s="1136"/>
      <c r="O41" s="1136"/>
      <c r="P41" s="3276"/>
      <c r="Q41" s="771" t="str">
        <f t="shared" si="11"/>
        <v>进深比</v>
      </c>
      <c r="R41" s="772" t="s">
        <v>17</v>
      </c>
      <c r="S41" s="773">
        <f t="shared" si="12"/>
        <v>100</v>
      </c>
      <c r="T41" s="772" t="s">
        <v>17</v>
      </c>
      <c r="U41" s="773">
        <f t="shared" si="13"/>
        <v>100</v>
      </c>
      <c r="V41" s="772" t="s">
        <v>17</v>
      </c>
      <c r="W41" s="773">
        <f t="shared" si="14"/>
        <v>100</v>
      </c>
      <c r="X41" s="774"/>
      <c r="Y41" s="3242"/>
      <c r="Z41" s="775" t="str">
        <f t="shared" si="15"/>
        <v>进深比</v>
      </c>
      <c r="AA41" s="1806">
        <f t="shared" si="3"/>
        <v>1</v>
      </c>
      <c r="AB41" s="1806">
        <f t="shared" si="4"/>
        <v>1</v>
      </c>
      <c r="AC41" s="1806">
        <f t="shared" si="5"/>
        <v>1</v>
      </c>
    </row>
    <row r="42" spans="1:29" ht="15.5">
      <c r="A42" s="467"/>
      <c r="B42" s="417" t="s">
        <v>2662</v>
      </c>
      <c r="C42" s="2600"/>
      <c r="D42" s="430">
        <v>100</v>
      </c>
      <c r="E42" s="2600"/>
      <c r="F42" s="456">
        <f>SUMIF(122:122,E42,123:123)-SUMIF(122:122,C42,123:123)+100</f>
        <v>100</v>
      </c>
      <c r="G42" s="2600"/>
      <c r="H42" s="430">
        <f>SUMIF(122:122,G42,123:123)-SUMIF(122:122,C42,123:123)+100</f>
        <v>100</v>
      </c>
      <c r="I42" s="2600"/>
      <c r="J42" s="430">
        <f>SUMIF(122:122,I42,123:123)-SUMIF(122:122,C42,123:123)+100</f>
        <v>100</v>
      </c>
      <c r="K42" s="607"/>
      <c r="L42" s="1135"/>
      <c r="M42" s="1126"/>
      <c r="N42" s="1126"/>
      <c r="O42" s="1126"/>
      <c r="P42" s="3276"/>
      <c r="Q42" s="1805" t="str">
        <f t="shared" si="11"/>
        <v>内部装修</v>
      </c>
      <c r="R42" s="769" t="s">
        <v>17</v>
      </c>
      <c r="S42" s="770">
        <f t="shared" si="12"/>
        <v>100</v>
      </c>
      <c r="T42" s="769" t="s">
        <v>17</v>
      </c>
      <c r="U42" s="770">
        <f t="shared" si="13"/>
        <v>100</v>
      </c>
      <c r="V42" s="769" t="s">
        <v>17</v>
      </c>
      <c r="W42" s="770">
        <f t="shared" si="14"/>
        <v>100</v>
      </c>
      <c r="X42" s="1808"/>
      <c r="Y42" s="3242"/>
      <c r="Z42" s="1809" t="str">
        <f t="shared" si="15"/>
        <v>内部装修</v>
      </c>
      <c r="AA42" s="1806">
        <f t="shared" si="3"/>
        <v>1</v>
      </c>
      <c r="AB42" s="1806">
        <f t="shared" si="4"/>
        <v>1</v>
      </c>
      <c r="AC42" s="1806">
        <f t="shared" si="5"/>
        <v>1</v>
      </c>
    </row>
    <row r="43" spans="1:29" ht="28">
      <c r="A43" s="467"/>
      <c r="B43" s="417" t="s">
        <v>2570</v>
      </c>
      <c r="C43" s="2600"/>
      <c r="D43" s="430">
        <v>100</v>
      </c>
      <c r="E43" s="2600"/>
      <c r="F43" s="456">
        <f>SUMIF(124:124,E43,125:125)-SUMIF(124:124,C43,125:125)+100</f>
        <v>100</v>
      </c>
      <c r="G43" s="2600"/>
      <c r="H43" s="430">
        <f>SUMIF(124:124,G43,125:125)-SUMIF(124:124,C43,125:125)+100</f>
        <v>100</v>
      </c>
      <c r="I43" s="2600"/>
      <c r="J43" s="430">
        <f>SUMIF(124:124,I43,125:125)-SUMIF(124:124,C43,125:125)+100</f>
        <v>100</v>
      </c>
      <c r="K43" s="607"/>
      <c r="L43" s="1135"/>
      <c r="M43" s="1126"/>
      <c r="N43" s="1126"/>
      <c r="O43" s="1126"/>
      <c r="P43" s="3276"/>
      <c r="Q43" s="1805" t="str">
        <f t="shared" si="11"/>
        <v>内部装修维护情况</v>
      </c>
      <c r="R43" s="769" t="s">
        <v>17</v>
      </c>
      <c r="S43" s="770">
        <f t="shared" si="12"/>
        <v>100</v>
      </c>
      <c r="T43" s="769" t="s">
        <v>17</v>
      </c>
      <c r="U43" s="770">
        <f t="shared" si="13"/>
        <v>100</v>
      </c>
      <c r="V43" s="769" t="s">
        <v>17</v>
      </c>
      <c r="W43" s="770">
        <f t="shared" si="14"/>
        <v>100</v>
      </c>
      <c r="X43" s="1808"/>
      <c r="Y43" s="3242"/>
      <c r="Z43" s="1809" t="str">
        <f t="shared" si="15"/>
        <v>内部装修维护情况</v>
      </c>
      <c r="AA43" s="1806">
        <f t="shared" si="3"/>
        <v>1</v>
      </c>
      <c r="AB43" s="1806">
        <f t="shared" si="4"/>
        <v>1</v>
      </c>
      <c r="AC43" s="1806">
        <f t="shared" si="5"/>
        <v>1</v>
      </c>
    </row>
    <row r="44" spans="1:29" s="114" customFormat="1" ht="15.5">
      <c r="A44" s="468"/>
      <c r="B44" s="1381">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7"/>
      <c r="M44" s="1128"/>
      <c r="N44" s="1128"/>
      <c r="O44" s="1128"/>
      <c r="P44" s="3276"/>
      <c r="Q44" s="1790">
        <f t="shared" si="11"/>
        <v>111</v>
      </c>
      <c r="R44" s="765" t="s">
        <v>17</v>
      </c>
      <c r="S44" s="766">
        <f t="shared" si="12"/>
        <v>100</v>
      </c>
      <c r="T44" s="765" t="s">
        <v>17</v>
      </c>
      <c r="U44" s="766">
        <f t="shared" si="13"/>
        <v>100</v>
      </c>
      <c r="V44" s="765" t="s">
        <v>17</v>
      </c>
      <c r="W44" s="766">
        <f t="shared" si="14"/>
        <v>100</v>
      </c>
      <c r="X44" s="767"/>
      <c r="Y44" s="3242"/>
      <c r="Z44" s="52">
        <f t="shared" si="15"/>
        <v>111</v>
      </c>
      <c r="AA44" s="768">
        <f t="shared" si="3"/>
        <v>1</v>
      </c>
      <c r="AB44" s="768">
        <f t="shared" si="4"/>
        <v>1</v>
      </c>
      <c r="AC44" s="768">
        <f t="shared" si="5"/>
        <v>1</v>
      </c>
    </row>
    <row r="45" spans="1:29" ht="15.5">
      <c r="A45" s="467"/>
      <c r="B45" s="1381">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5"/>
      <c r="M45" s="1126"/>
      <c r="N45" s="1126"/>
      <c r="O45" s="1126"/>
      <c r="P45" s="3276"/>
      <c r="Q45" s="1805">
        <f t="shared" si="11"/>
        <v>111</v>
      </c>
      <c r="R45" s="769" t="s">
        <v>17</v>
      </c>
      <c r="S45" s="770">
        <f t="shared" si="12"/>
        <v>100</v>
      </c>
      <c r="T45" s="769" t="s">
        <v>17</v>
      </c>
      <c r="U45" s="770">
        <f t="shared" si="13"/>
        <v>100</v>
      </c>
      <c r="V45" s="769" t="s">
        <v>17</v>
      </c>
      <c r="W45" s="770">
        <f t="shared" si="14"/>
        <v>100</v>
      </c>
      <c r="X45" s="1808"/>
      <c r="Y45" s="3242"/>
      <c r="Z45" s="1809">
        <f t="shared" si="15"/>
        <v>111</v>
      </c>
      <c r="AA45" s="1806">
        <f t="shared" si="3"/>
        <v>1</v>
      </c>
      <c r="AB45" s="1806">
        <f t="shared" si="4"/>
        <v>1</v>
      </c>
      <c r="AC45" s="1806">
        <f t="shared" si="5"/>
        <v>1</v>
      </c>
    </row>
    <row r="46" spans="1:29" ht="16" thickBot="1">
      <c r="A46" s="473"/>
      <c r="B46" s="2589">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5"/>
      <c r="M46" s="1126"/>
      <c r="N46" s="1126"/>
      <c r="O46" s="1126"/>
      <c r="P46" s="3277"/>
      <c r="Q46" s="1805">
        <f t="shared" si="11"/>
        <v>111</v>
      </c>
      <c r="R46" s="769" t="s">
        <v>17</v>
      </c>
      <c r="S46" s="770">
        <f t="shared" si="12"/>
        <v>100</v>
      </c>
      <c r="T46" s="769" t="s">
        <v>17</v>
      </c>
      <c r="U46" s="770">
        <f t="shared" si="13"/>
        <v>100</v>
      </c>
      <c r="V46" s="769" t="s">
        <v>17</v>
      </c>
      <c r="W46" s="770">
        <f t="shared" si="14"/>
        <v>100</v>
      </c>
      <c r="X46" s="1808"/>
      <c r="Y46" s="3278"/>
      <c r="Z46" s="1809">
        <f t="shared" si="15"/>
        <v>111</v>
      </c>
      <c r="AA46" s="1806">
        <f t="shared" si="3"/>
        <v>1</v>
      </c>
      <c r="AB46" s="1806">
        <f t="shared" si="4"/>
        <v>1</v>
      </c>
      <c r="AC46" s="1806">
        <f t="shared" si="5"/>
        <v>1</v>
      </c>
    </row>
    <row r="47" spans="1:29">
      <c r="A47" s="474" t="s">
        <v>2571</v>
      </c>
      <c r="B47" s="475"/>
      <c r="C47" s="1402" t="s">
        <v>1</v>
      </c>
      <c r="D47" s="1403"/>
      <c r="E47" s="1404"/>
      <c r="F47" s="1405"/>
      <c r="G47" s="1406"/>
      <c r="H47" s="1407"/>
      <c r="I47" s="1404"/>
      <c r="J47" s="1407"/>
      <c r="K47" s="778"/>
      <c r="L47" s="1138"/>
      <c r="M47" s="1139"/>
      <c r="N47" s="1126"/>
      <c r="O47" s="1139"/>
      <c r="P47" s="3237" t="str">
        <f>A47</f>
        <v>成交单价（元/平方米）</v>
      </c>
      <c r="Q47" s="3237"/>
      <c r="R47" s="3243">
        <f>E47</f>
        <v>0</v>
      </c>
      <c r="S47" s="3243"/>
      <c r="T47" s="3243">
        <f>G47</f>
        <v>0</v>
      </c>
      <c r="U47" s="3243"/>
      <c r="V47" s="3243">
        <f>I47</f>
        <v>0</v>
      </c>
      <c r="W47" s="3243"/>
      <c r="X47" s="754"/>
      <c r="Y47" s="776"/>
      <c r="Z47" s="754"/>
      <c r="AA47" s="754"/>
      <c r="AB47" s="754"/>
      <c r="AC47" s="754"/>
    </row>
    <row r="48" spans="1:29" ht="14.5" thickBot="1">
      <c r="A48" s="481" t="s">
        <v>2663</v>
      </c>
      <c r="B48" s="482"/>
      <c r="C48" s="1408" t="e">
        <f>R49</f>
        <v>#DIV/0!</v>
      </c>
      <c r="D48" s="1409"/>
      <c r="E48" s="1410" t="e">
        <f>R48</f>
        <v>#DIV/0!</v>
      </c>
      <c r="F48" s="1410"/>
      <c r="G48" s="1408" t="e">
        <f>T48</f>
        <v>#DIV/0!</v>
      </c>
      <c r="H48" s="1409"/>
      <c r="I48" s="1410" t="e">
        <f>V48</f>
        <v>#DIV/0!</v>
      </c>
      <c r="J48" s="1409"/>
      <c r="K48" s="779"/>
      <c r="L48" s="1138"/>
      <c r="M48" s="1139"/>
      <c r="N48" s="1126"/>
      <c r="O48" s="1139"/>
      <c r="P48" s="3237" t="str">
        <f>A48</f>
        <v>比较价值（元/平方米）</v>
      </c>
      <c r="Q48" s="3237"/>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4"/>
      <c r="Y48" s="754"/>
      <c r="Z48" s="754"/>
      <c r="AA48" s="754"/>
      <c r="AB48" s="754"/>
      <c r="AC48" s="754"/>
    </row>
    <row r="49" spans="1:29" ht="14.5" thickBot="1">
      <c r="A49" s="487" t="s">
        <v>2664</v>
      </c>
      <c r="B49" s="488"/>
      <c r="C49" s="1412" t="e">
        <f>R49</f>
        <v>#DIV/0!</v>
      </c>
      <c r="D49" s="1412"/>
      <c r="E49" s="1412"/>
      <c r="F49" s="1412"/>
      <c r="G49" s="1412"/>
      <c r="H49" s="1412"/>
      <c r="I49" s="1412"/>
      <c r="J49" s="1412"/>
      <c r="K49" s="780"/>
      <c r="L49" s="1138"/>
      <c r="M49" s="1139"/>
      <c r="N49" s="1126"/>
      <c r="O49" s="1139"/>
      <c r="P49" s="3231" t="str">
        <f>A49</f>
        <v>估价对象XX用房的比较价值（楼面单价，元/平方米）</v>
      </c>
      <c r="Q49" s="3232"/>
      <c r="R49" s="3273" t="e">
        <f>IF(F1="售价",ROUND(AVERAGE(R48:V48),0),ROUND(AVERAGE(R48:V48),1))</f>
        <v>#DIV/0!</v>
      </c>
      <c r="S49" s="3273"/>
      <c r="T49" s="3273"/>
      <c r="U49" s="3273"/>
      <c r="V49" s="3273"/>
      <c r="W49" s="3273"/>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0"/>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0"/>
      <c r="Q51" s="754"/>
      <c r="R51" s="754"/>
      <c r="S51" s="754"/>
      <c r="T51" s="754"/>
      <c r="U51" s="754"/>
      <c r="V51" s="754"/>
      <c r="W51" s="754"/>
      <c r="X51" s="754"/>
      <c r="Y51" s="754"/>
      <c r="Z51" s="754"/>
      <c r="AA51" s="754"/>
      <c r="AB51" s="754"/>
      <c r="AC51" s="754"/>
    </row>
    <row r="52" spans="1:29" ht="13.5" customHeight="1">
      <c r="A52" s="1139"/>
      <c r="B52" s="1139"/>
      <c r="C52" s="492" t="s">
        <v>2665</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0"/>
      <c r="L52" s="1101"/>
      <c r="M52" s="1139"/>
      <c r="N52" s="1139"/>
      <c r="O52" s="1139"/>
      <c r="P52" s="670"/>
      <c r="Q52" s="754"/>
      <c r="R52" s="754"/>
      <c r="S52" s="754"/>
      <c r="T52" s="754"/>
      <c r="U52" s="754"/>
      <c r="V52" s="754"/>
      <c r="W52" s="754"/>
      <c r="X52" s="754"/>
      <c r="Y52" s="754"/>
      <c r="Z52" s="754"/>
      <c r="AA52" s="754"/>
      <c r="AB52" s="754"/>
      <c r="AC52" s="754"/>
    </row>
    <row r="53" spans="1:29" ht="13.5" customHeight="1">
      <c r="A53" s="1139"/>
      <c r="B53" s="1139"/>
      <c r="C53" s="492" t="s">
        <v>2666</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0"/>
      <c r="L53" s="1101"/>
      <c r="M53" s="1139"/>
      <c r="N53" s="1139"/>
      <c r="O53" s="1139"/>
      <c r="P53" s="670"/>
      <c r="Q53" s="754"/>
      <c r="R53" s="754"/>
      <c r="S53" s="754"/>
      <c r="T53" s="754"/>
      <c r="U53" s="754"/>
      <c r="V53" s="754"/>
      <c r="W53" s="754"/>
      <c r="X53" s="754"/>
      <c r="Y53" s="754"/>
      <c r="Z53" s="754"/>
      <c r="AA53" s="754"/>
      <c r="AB53" s="754"/>
      <c r="AC53" s="754"/>
    </row>
    <row r="54" spans="1:29" s="497" customFormat="1" ht="13.5" customHeight="1">
      <c r="A54" s="1140"/>
      <c r="B54" s="1140"/>
      <c r="C54" s="492" t="s">
        <v>2667</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3"/>
      <c r="L54" s="1144"/>
      <c r="M54" s="1140"/>
      <c r="N54" s="1140"/>
      <c r="O54" s="1140"/>
      <c r="P54" s="2652"/>
      <c r="Q54" s="755"/>
      <c r="R54" s="755"/>
      <c r="S54" s="755"/>
      <c r="T54" s="755"/>
      <c r="U54" s="755"/>
      <c r="V54" s="755"/>
      <c r="W54" s="755"/>
      <c r="X54" s="755"/>
      <c r="Y54" s="755"/>
      <c r="Z54" s="755"/>
      <c r="AA54" s="755"/>
      <c r="AB54" s="755"/>
      <c r="AC54" s="755"/>
    </row>
    <row r="55" spans="1:29" s="497" customFormat="1">
      <c r="A55" s="1140"/>
      <c r="B55" s="1141"/>
      <c r="C55" s="1145"/>
      <c r="D55" s="1140"/>
      <c r="E55" s="1140"/>
      <c r="F55" s="1140"/>
      <c r="G55" s="1140"/>
      <c r="H55" s="1140"/>
      <c r="I55" s="1140"/>
      <c r="J55" s="1140"/>
      <c r="K55" s="1143"/>
      <c r="L55" s="1144"/>
      <c r="M55" s="1140"/>
      <c r="N55" s="1140"/>
      <c r="O55" s="1140"/>
      <c r="P55" s="2652"/>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0"/>
      <c r="Q56" s="754"/>
      <c r="R56" s="754"/>
      <c r="S56" s="754"/>
      <c r="T56" s="754"/>
      <c r="U56" s="754"/>
      <c r="V56" s="754"/>
      <c r="W56" s="754"/>
      <c r="X56" s="754"/>
      <c r="Y56" s="754"/>
      <c r="Z56" s="754"/>
      <c r="AA56" s="754"/>
      <c r="AB56" s="754"/>
      <c r="AC56" s="754"/>
    </row>
    <row r="57" spans="1:29" ht="21.5" thickBot="1">
      <c r="A57" s="758" t="s">
        <v>2668</v>
      </c>
      <c r="B57" s="754"/>
      <c r="C57" s="759"/>
      <c r="D57" s="759"/>
      <c r="E57" s="759"/>
      <c r="F57" s="760"/>
      <c r="G57" s="760"/>
      <c r="H57" s="759"/>
      <c r="I57" s="759"/>
      <c r="J57" s="759"/>
      <c r="K57" s="761"/>
      <c r="L57" s="1156"/>
      <c r="M57" s="1154"/>
      <c r="N57" s="1154"/>
      <c r="O57" s="1154"/>
      <c r="P57" s="2653"/>
      <c r="Q57" s="2654"/>
      <c r="R57" s="754"/>
      <c r="S57" s="754"/>
      <c r="T57" s="754"/>
      <c r="U57" s="754"/>
      <c r="V57" s="754"/>
      <c r="W57" s="754"/>
      <c r="X57" s="754"/>
      <c r="Y57" s="754"/>
      <c r="Z57" s="754"/>
      <c r="AA57" s="754"/>
      <c r="AB57" s="754"/>
      <c r="AC57" s="754"/>
    </row>
    <row r="58" spans="1:29" s="503" customFormat="1">
      <c r="A58" s="500" t="s">
        <v>2542</v>
      </c>
      <c r="B58" s="501"/>
      <c r="C58" s="1569" t="str">
        <f>YEAR(C7)&amp;"-"&amp;MONTH(C7)</f>
        <v>2020-3</v>
      </c>
      <c r="D58" s="1570">
        <f>EDATE(C58,-1)</f>
        <v>43862</v>
      </c>
      <c r="E58" s="1570">
        <f t="shared" ref="E58:N58" si="16">EDATE(D58,-1)</f>
        <v>43831</v>
      </c>
      <c r="F58" s="1570">
        <f t="shared" si="16"/>
        <v>43800</v>
      </c>
      <c r="G58" s="1570">
        <f t="shared" si="16"/>
        <v>43770</v>
      </c>
      <c r="H58" s="1570">
        <f t="shared" si="16"/>
        <v>43739</v>
      </c>
      <c r="I58" s="1570">
        <f t="shared" si="16"/>
        <v>43709</v>
      </c>
      <c r="J58" s="1570">
        <f t="shared" si="16"/>
        <v>43678</v>
      </c>
      <c r="K58" s="1570">
        <f t="shared" si="16"/>
        <v>43647</v>
      </c>
      <c r="L58" s="1570">
        <f t="shared" si="16"/>
        <v>43617</v>
      </c>
      <c r="M58" s="1570">
        <f t="shared" si="16"/>
        <v>43586</v>
      </c>
      <c r="N58" s="1570">
        <f t="shared" si="16"/>
        <v>43556</v>
      </c>
      <c r="O58" s="1570">
        <f>EDATE(N58,-1)</f>
        <v>43525</v>
      </c>
      <c r="P58" s="1565"/>
    </row>
    <row r="59" spans="1:29" s="114" customFormat="1">
      <c r="A59" s="504"/>
      <c r="B59" s="505"/>
      <c r="C59" s="1568">
        <v>100</v>
      </c>
      <c r="D59" s="507"/>
      <c r="E59" s="507"/>
      <c r="F59" s="507"/>
      <c r="G59" s="507"/>
      <c r="H59" s="507"/>
      <c r="I59" s="507"/>
      <c r="J59" s="507"/>
      <c r="K59" s="507"/>
      <c r="L59" s="507"/>
      <c r="M59" s="508"/>
      <c r="N59" s="507"/>
      <c r="O59" s="508"/>
      <c r="P59" s="2614"/>
    </row>
    <row r="60" spans="1:29" s="114" customFormat="1" ht="14.5" thickBot="1">
      <c r="A60" s="510" t="s">
        <v>2579</v>
      </c>
      <c r="B60" s="511"/>
      <c r="C60" s="512"/>
      <c r="D60" s="513"/>
      <c r="E60" s="513"/>
      <c r="F60" s="513"/>
      <c r="G60" s="513"/>
      <c r="H60" s="513"/>
      <c r="I60" s="513"/>
      <c r="J60" s="513"/>
      <c r="K60" s="513"/>
      <c r="L60" s="513"/>
      <c r="M60" s="514"/>
      <c r="N60" s="513"/>
      <c r="O60" s="514"/>
      <c r="P60" s="2614"/>
      <c r="Q60" s="499"/>
    </row>
    <row r="61" spans="1:29" s="114" customFormat="1">
      <c r="A61" s="516" t="s">
        <v>2544</v>
      </c>
      <c r="B61" s="505"/>
      <c r="C61" s="517" t="s">
        <v>2646</v>
      </c>
      <c r="D61" s="518"/>
      <c r="E61" s="518"/>
      <c r="F61" s="518"/>
      <c r="G61" s="518"/>
      <c r="H61" s="518"/>
      <c r="I61" s="518"/>
      <c r="J61" s="518"/>
      <c r="K61" s="518"/>
      <c r="L61" s="519"/>
      <c r="M61" s="520"/>
      <c r="N61" s="1146"/>
      <c r="O61" s="1146"/>
      <c r="P61" s="2615"/>
      <c r="Q61" s="499"/>
    </row>
    <row r="62" spans="1:29" s="114" customFormat="1" ht="14.5" thickBot="1">
      <c r="A62" s="516"/>
      <c r="B62" s="505"/>
      <c r="C62" s="506">
        <v>100</v>
      </c>
      <c r="D62" s="507"/>
      <c r="E62" s="507"/>
      <c r="F62" s="507"/>
      <c r="G62" s="507"/>
      <c r="H62" s="507"/>
      <c r="I62" s="507"/>
      <c r="J62" s="507"/>
      <c r="K62" s="507"/>
      <c r="L62" s="507"/>
      <c r="M62" s="509"/>
      <c r="N62" s="1146"/>
      <c r="O62" s="1146"/>
      <c r="P62" s="2614"/>
      <c r="Q62" s="499"/>
    </row>
    <row r="63" spans="1:29">
      <c r="A63" s="522" t="s">
        <v>2582</v>
      </c>
      <c r="B63" s="523" t="s">
        <v>2548</v>
      </c>
      <c r="C63" s="524">
        <f>C9</f>
        <v>0</v>
      </c>
      <c r="D63" s="525"/>
      <c r="E63" s="525"/>
      <c r="F63" s="525"/>
      <c r="G63" s="525"/>
      <c r="H63" s="525"/>
      <c r="I63" s="525"/>
      <c r="J63" s="525"/>
      <c r="K63" s="526"/>
      <c r="L63" s="527"/>
      <c r="M63" s="528"/>
      <c r="N63" s="1147"/>
      <c r="O63" s="1147"/>
      <c r="P63" s="2616"/>
      <c r="Q63" s="499"/>
    </row>
    <row r="64" spans="1:29" ht="14.5" thickBot="1">
      <c r="A64" s="529"/>
      <c r="B64" s="530"/>
      <c r="C64" s="531">
        <v>100</v>
      </c>
      <c r="D64" s="531"/>
      <c r="E64" s="531"/>
      <c r="F64" s="531"/>
      <c r="G64" s="531"/>
      <c r="H64" s="531"/>
      <c r="I64" s="531"/>
      <c r="J64" s="531"/>
      <c r="K64" s="531"/>
      <c r="L64" s="531"/>
      <c r="M64" s="532"/>
      <c r="N64" s="1148"/>
      <c r="O64" s="1148"/>
      <c r="P64" s="2616"/>
      <c r="Q64" s="499"/>
    </row>
    <row r="65" spans="1:17" ht="28.5" thickTop="1">
      <c r="A65" s="529"/>
      <c r="B65" s="533" t="s">
        <v>2551</v>
      </c>
      <c r="C65" s="534" t="s">
        <v>2583</v>
      </c>
      <c r="D65" s="534" t="s">
        <v>2584</v>
      </c>
      <c r="E65" s="534" t="s">
        <v>2585</v>
      </c>
      <c r="F65" s="534" t="s">
        <v>2586</v>
      </c>
      <c r="G65" s="534" t="s">
        <v>2587</v>
      </c>
      <c r="H65" s="534" t="s">
        <v>2588</v>
      </c>
      <c r="I65" s="534" t="s">
        <v>2589</v>
      </c>
      <c r="J65" s="534"/>
      <c r="K65" s="535"/>
      <c r="L65" s="536"/>
      <c r="M65" s="537"/>
      <c r="N65" s="1147"/>
      <c r="O65" s="1147"/>
      <c r="P65" s="2616"/>
      <c r="Q65" s="499"/>
    </row>
    <row r="66" spans="1:17" ht="14.5" thickBot="1">
      <c r="A66" s="529"/>
      <c r="B66" s="538"/>
      <c r="C66" s="539" t="s">
        <v>24</v>
      </c>
      <c r="D66" s="539" t="s">
        <v>25</v>
      </c>
      <c r="E66" s="539" t="s">
        <v>26</v>
      </c>
      <c r="F66" s="539">
        <v>100</v>
      </c>
      <c r="G66" s="539">
        <f>F66-$K10</f>
        <v>100</v>
      </c>
      <c r="H66" s="539">
        <f>G66-$K10</f>
        <v>100</v>
      </c>
      <c r="I66" s="539">
        <f>H66-$K10</f>
        <v>100</v>
      </c>
      <c r="J66" s="539"/>
      <c r="K66" s="539"/>
      <c r="L66" s="539"/>
      <c r="M66" s="540"/>
      <c r="N66" s="1148"/>
      <c r="O66" s="1148"/>
      <c r="P66" s="2616"/>
      <c r="Q66" s="499"/>
    </row>
    <row r="67" spans="1:17" ht="14.5" thickTop="1">
      <c r="A67" s="529"/>
      <c r="B67" s="541" t="s">
        <v>2552</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8"/>
      <c r="O67" s="1148"/>
      <c r="P67" s="2616"/>
      <c r="Q67" s="499"/>
    </row>
    <row r="68" spans="1:17">
      <c r="A68" s="529"/>
      <c r="B68" s="543"/>
      <c r="C68" s="544"/>
      <c r="D68" s="544"/>
      <c r="E68" s="544"/>
      <c r="F68" s="544"/>
      <c r="G68" s="544"/>
      <c r="H68" s="544"/>
      <c r="I68" s="544"/>
      <c r="J68" s="544"/>
      <c r="K68" s="545"/>
      <c r="L68" s="546"/>
      <c r="M68" s="547"/>
      <c r="N68" s="1147"/>
      <c r="O68" s="1147"/>
      <c r="P68" s="2616"/>
      <c r="Q68" s="499"/>
    </row>
    <row r="69" spans="1:17" ht="14.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8"/>
      <c r="O69" s="1148"/>
      <c r="P69" s="2616"/>
      <c r="Q69" s="499"/>
    </row>
    <row r="70" spans="1:17" s="466" customFormat="1" ht="14.5" thickTop="1">
      <c r="A70" s="548"/>
      <c r="B70" s="533">
        <f>B12</f>
        <v>111</v>
      </c>
      <c r="C70" s="549"/>
      <c r="D70" s="549"/>
      <c r="E70" s="549"/>
      <c r="F70" s="549"/>
      <c r="G70" s="549"/>
      <c r="H70" s="550"/>
      <c r="I70" s="550"/>
      <c r="J70" s="550"/>
      <c r="K70" s="550"/>
      <c r="L70" s="551"/>
      <c r="M70" s="552"/>
      <c r="N70" s="1149"/>
      <c r="O70" s="1149"/>
      <c r="P70" s="2617"/>
      <c r="Q70" s="554"/>
    </row>
    <row r="71" spans="1:17" s="466" customFormat="1" ht="14.5" thickBot="1">
      <c r="A71" s="548"/>
      <c r="B71" s="538"/>
      <c r="C71" s="555"/>
      <c r="D71" s="531"/>
      <c r="E71" s="531"/>
      <c r="F71" s="531"/>
      <c r="G71" s="531"/>
      <c r="H71" s="531"/>
      <c r="I71" s="531"/>
      <c r="J71" s="531"/>
      <c r="K71" s="531"/>
      <c r="L71" s="531"/>
      <c r="M71" s="532"/>
      <c r="N71" s="1148"/>
      <c r="O71" s="1148"/>
      <c r="P71" s="2617"/>
      <c r="Q71" s="554"/>
    </row>
    <row r="72" spans="1:17" s="466" customFormat="1" ht="14.5" thickTop="1">
      <c r="A72" s="548"/>
      <c r="B72" s="533">
        <f>B13</f>
        <v>111</v>
      </c>
      <c r="C72" s="549"/>
      <c r="D72" s="549"/>
      <c r="E72" s="549"/>
      <c r="F72" s="549"/>
      <c r="G72" s="549"/>
      <c r="H72" s="550"/>
      <c r="I72" s="550"/>
      <c r="J72" s="550"/>
      <c r="K72" s="550"/>
      <c r="L72" s="551"/>
      <c r="M72" s="552"/>
      <c r="N72" s="1149"/>
      <c r="O72" s="1149"/>
      <c r="P72" s="2618"/>
      <c r="Q72" s="556"/>
    </row>
    <row r="73" spans="1:17" s="466" customFormat="1" ht="14.5" thickBot="1">
      <c r="A73" s="548"/>
      <c r="B73" s="538"/>
      <c r="C73" s="555"/>
      <c r="D73" s="531"/>
      <c r="E73" s="531"/>
      <c r="F73" s="531"/>
      <c r="G73" s="555"/>
      <c r="H73" s="557"/>
      <c r="I73" s="557"/>
      <c r="J73" s="557"/>
      <c r="K73" s="557"/>
      <c r="L73" s="557"/>
      <c r="M73" s="558"/>
      <c r="N73" s="1149"/>
      <c r="O73" s="1149"/>
      <c r="P73" s="2617"/>
      <c r="Q73" s="554"/>
    </row>
    <row r="74" spans="1:17" s="466" customFormat="1" ht="14.5" thickTop="1">
      <c r="A74" s="548"/>
      <c r="B74" s="541">
        <f>B14</f>
        <v>111</v>
      </c>
      <c r="C74" s="549"/>
      <c r="D74" s="549"/>
      <c r="E74" s="549"/>
      <c r="F74" s="549"/>
      <c r="G74" s="518"/>
      <c r="H74" s="559"/>
      <c r="I74" s="559"/>
      <c r="J74" s="559"/>
      <c r="K74" s="559"/>
      <c r="L74" s="560"/>
      <c r="M74" s="561"/>
      <c r="N74" s="1149"/>
      <c r="O74" s="1149"/>
      <c r="P74" s="2619"/>
      <c r="Q74" s="554"/>
    </row>
    <row r="75" spans="1:17" s="466" customFormat="1" ht="14.5" thickBot="1">
      <c r="A75" s="563"/>
      <c r="B75" s="564"/>
      <c r="C75" s="565"/>
      <c r="D75" s="565"/>
      <c r="E75" s="565"/>
      <c r="F75" s="565"/>
      <c r="G75" s="565"/>
      <c r="H75" s="566"/>
      <c r="I75" s="566"/>
      <c r="J75" s="566"/>
      <c r="K75" s="566"/>
      <c r="L75" s="566"/>
      <c r="M75" s="567"/>
      <c r="N75" s="1149"/>
      <c r="O75" s="1149"/>
      <c r="P75" s="2617"/>
      <c r="Q75" s="554"/>
    </row>
    <row r="76" spans="1:17">
      <c r="A76" s="522" t="s">
        <v>2553</v>
      </c>
      <c r="B76" s="523" t="s">
        <v>2590</v>
      </c>
      <c r="C76" s="568" t="s">
        <v>2591</v>
      </c>
      <c r="D76" s="568" t="s">
        <v>2592</v>
      </c>
      <c r="E76" s="568" t="s">
        <v>2593</v>
      </c>
      <c r="F76" s="568" t="s">
        <v>2594</v>
      </c>
      <c r="G76" s="568" t="s">
        <v>2595</v>
      </c>
      <c r="H76" s="524"/>
      <c r="I76" s="524"/>
      <c r="J76" s="524"/>
      <c r="K76" s="569"/>
      <c r="L76" s="570"/>
      <c r="M76" s="571"/>
      <c r="N76" s="1147"/>
      <c r="O76" s="1147"/>
      <c r="P76" s="2620"/>
      <c r="Q76" s="499"/>
    </row>
    <row r="77" spans="1:17" ht="14.5" thickBot="1">
      <c r="A77" s="529"/>
      <c r="B77" s="538"/>
      <c r="C77" s="539">
        <v>100</v>
      </c>
      <c r="D77" s="539">
        <f>C77-$K15</f>
        <v>100</v>
      </c>
      <c r="E77" s="539">
        <f>D77-$K15</f>
        <v>100</v>
      </c>
      <c r="F77" s="539">
        <f>E77-$K15</f>
        <v>100</v>
      </c>
      <c r="G77" s="539">
        <f>F77-$K15</f>
        <v>100</v>
      </c>
      <c r="H77" s="539"/>
      <c r="I77" s="539"/>
      <c r="J77" s="539"/>
      <c r="K77" s="539"/>
      <c r="L77" s="539"/>
      <c r="M77" s="540"/>
      <c r="N77" s="1148"/>
      <c r="O77" s="1148"/>
      <c r="P77" s="2616"/>
      <c r="Q77" s="499"/>
    </row>
    <row r="78" spans="1:17" ht="14.5" thickTop="1">
      <c r="A78" s="529"/>
      <c r="B78" s="533" t="s">
        <v>2596</v>
      </c>
      <c r="C78" s="573" t="s">
        <v>2591</v>
      </c>
      <c r="D78" s="573" t="s">
        <v>2592</v>
      </c>
      <c r="E78" s="573" t="s">
        <v>2593</v>
      </c>
      <c r="F78" s="573" t="s">
        <v>2594</v>
      </c>
      <c r="G78" s="573" t="s">
        <v>2595</v>
      </c>
      <c r="H78" s="534"/>
      <c r="I78" s="534"/>
      <c r="J78" s="534"/>
      <c r="K78" s="535"/>
      <c r="L78" s="536"/>
      <c r="M78" s="537"/>
      <c r="N78" s="1147"/>
      <c r="O78" s="1147"/>
      <c r="P78" s="2616"/>
      <c r="Q78" s="499"/>
    </row>
    <row r="79" spans="1:17" ht="14.5" thickBot="1">
      <c r="A79" s="529"/>
      <c r="B79" s="538"/>
      <c r="C79" s="539">
        <v>100</v>
      </c>
      <c r="D79" s="539">
        <f>C79-$K17</f>
        <v>100</v>
      </c>
      <c r="E79" s="539">
        <f>D79-$K17</f>
        <v>100</v>
      </c>
      <c r="F79" s="539">
        <f>E79-$K17</f>
        <v>100</v>
      </c>
      <c r="G79" s="539">
        <f>F79-$K17</f>
        <v>100</v>
      </c>
      <c r="H79" s="539"/>
      <c r="I79" s="539"/>
      <c r="J79" s="539"/>
      <c r="K79" s="539"/>
      <c r="L79" s="539"/>
      <c r="M79" s="540"/>
      <c r="N79" s="1148"/>
      <c r="O79" s="1148"/>
      <c r="P79" s="2616"/>
      <c r="Q79" s="499"/>
    </row>
    <row r="80" spans="1:17" ht="14.5" thickTop="1">
      <c r="A80" s="529"/>
      <c r="B80" s="533" t="s">
        <v>2597</v>
      </c>
      <c r="C80" s="573" t="s">
        <v>2591</v>
      </c>
      <c r="D80" s="573" t="s">
        <v>2592</v>
      </c>
      <c r="E80" s="573" t="s">
        <v>2593</v>
      </c>
      <c r="F80" s="573" t="s">
        <v>2594</v>
      </c>
      <c r="G80" s="573" t="s">
        <v>2595</v>
      </c>
      <c r="H80" s="534"/>
      <c r="I80" s="534"/>
      <c r="J80" s="534"/>
      <c r="K80" s="535"/>
      <c r="L80" s="536"/>
      <c r="M80" s="537"/>
      <c r="N80" s="1147"/>
      <c r="O80" s="1147"/>
      <c r="P80" s="2616"/>
      <c r="Q80" s="499"/>
    </row>
    <row r="81" spans="1:17" ht="14.5" thickBot="1">
      <c r="A81" s="529"/>
      <c r="B81" s="538"/>
      <c r="C81" s="539">
        <v>100</v>
      </c>
      <c r="D81" s="539">
        <f>C81-$K19</f>
        <v>100</v>
      </c>
      <c r="E81" s="539">
        <f>D81-$K19</f>
        <v>100</v>
      </c>
      <c r="F81" s="539">
        <f>E81-$K19</f>
        <v>100</v>
      </c>
      <c r="G81" s="539">
        <f>F81-$K19</f>
        <v>100</v>
      </c>
      <c r="H81" s="539"/>
      <c r="I81" s="539"/>
      <c r="J81" s="539"/>
      <c r="K81" s="539"/>
      <c r="L81" s="539"/>
      <c r="M81" s="540"/>
      <c r="N81" s="1148"/>
      <c r="O81" s="1148"/>
      <c r="P81" s="2616"/>
      <c r="Q81" s="499"/>
    </row>
    <row r="82" spans="1:17" ht="14.5" thickTop="1">
      <c r="A82" s="529"/>
      <c r="B82" s="541" t="s">
        <v>2649</v>
      </c>
      <c r="C82" s="655" t="s">
        <v>2669</v>
      </c>
      <c r="D82" s="655" t="s">
        <v>2670</v>
      </c>
      <c r="E82" s="655" t="s">
        <v>2671</v>
      </c>
      <c r="F82" s="655" t="s">
        <v>2672</v>
      </c>
      <c r="G82" s="655" t="s">
        <v>2673</v>
      </c>
      <c r="H82" s="534"/>
      <c r="I82" s="534"/>
      <c r="J82" s="534"/>
      <c r="K82" s="534"/>
      <c r="L82" s="534"/>
      <c r="M82" s="1377"/>
      <c r="N82" s="1148"/>
      <c r="O82" s="1148"/>
      <c r="P82" s="2616"/>
      <c r="Q82" s="499"/>
    </row>
    <row r="83" spans="1:17" ht="14.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8"/>
      <c r="O83" s="1148"/>
      <c r="P83" s="2616"/>
      <c r="Q83" s="499"/>
    </row>
    <row r="84" spans="1:17" ht="14.5" thickTop="1">
      <c r="A84" s="529"/>
      <c r="B84" s="533" t="s">
        <v>2603</v>
      </c>
      <c r="C84" s="573" t="s">
        <v>2591</v>
      </c>
      <c r="D84" s="573" t="s">
        <v>2592</v>
      </c>
      <c r="E84" s="573" t="s">
        <v>2593</v>
      </c>
      <c r="F84" s="573" t="s">
        <v>2594</v>
      </c>
      <c r="G84" s="573" t="s">
        <v>2595</v>
      </c>
      <c r="H84" s="534"/>
      <c r="I84" s="534"/>
      <c r="J84" s="534"/>
      <c r="K84" s="535"/>
      <c r="L84" s="536"/>
      <c r="M84" s="537"/>
      <c r="N84" s="1147"/>
      <c r="O84" s="1147"/>
      <c r="P84" s="2616"/>
      <c r="Q84" s="499"/>
    </row>
    <row r="85" spans="1:17" ht="14.5" thickBot="1">
      <c r="A85" s="529"/>
      <c r="B85" s="538"/>
      <c r="C85" s="539">
        <v>100</v>
      </c>
      <c r="D85" s="539">
        <f>C85-$K23</f>
        <v>100</v>
      </c>
      <c r="E85" s="539">
        <f>D85-$K23</f>
        <v>100</v>
      </c>
      <c r="F85" s="539">
        <f>E85-$K23</f>
        <v>100</v>
      </c>
      <c r="G85" s="539">
        <f>F85-$K23</f>
        <v>100</v>
      </c>
      <c r="H85" s="539"/>
      <c r="I85" s="539"/>
      <c r="J85" s="539"/>
      <c r="K85" s="539"/>
      <c r="L85" s="539"/>
      <c r="M85" s="540"/>
      <c r="N85" s="1148"/>
      <c r="O85" s="1148"/>
      <c r="P85" s="2616"/>
      <c r="Q85" s="499"/>
    </row>
    <row r="86" spans="1:17" s="114" customFormat="1" ht="14.5" thickTop="1">
      <c r="A86" s="574"/>
      <c r="B86" s="533" t="s">
        <v>2674</v>
      </c>
      <c r="C86" s="549"/>
      <c r="D86" s="549"/>
      <c r="E86" s="549"/>
      <c r="F86" s="549"/>
      <c r="G86" s="549"/>
      <c r="H86" s="549"/>
      <c r="I86" s="549"/>
      <c r="J86" s="549"/>
      <c r="K86" s="549"/>
      <c r="L86" s="575"/>
      <c r="M86" s="576"/>
      <c r="N86" s="1146"/>
      <c r="O86" s="1146"/>
      <c r="P86" s="2616"/>
      <c r="Q86" s="499"/>
    </row>
    <row r="87" spans="1:17" s="114" customFormat="1" ht="14.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8"/>
      <c r="O87" s="1148"/>
      <c r="P87" s="2616"/>
      <c r="Q87" s="499"/>
    </row>
    <row r="88" spans="1:17" s="114" customFormat="1" ht="14.5" thickTop="1">
      <c r="A88" s="574"/>
      <c r="B88" s="533" t="str">
        <f>B26</f>
        <v>平面位置/可视性</v>
      </c>
      <c r="C88" s="549"/>
      <c r="D88" s="549"/>
      <c r="E88" s="549"/>
      <c r="F88" s="2621"/>
      <c r="G88" s="549"/>
      <c r="H88" s="549"/>
      <c r="I88" s="549"/>
      <c r="J88" s="549"/>
      <c r="K88" s="549"/>
      <c r="L88" s="549"/>
      <c r="M88" s="576"/>
      <c r="N88" s="1146"/>
      <c r="O88" s="1146"/>
      <c r="P88" s="2616"/>
      <c r="Q88" s="499"/>
    </row>
    <row r="89" spans="1:17" s="114" customFormat="1" ht="14.5" thickBot="1">
      <c r="A89" s="574"/>
      <c r="B89" s="538"/>
      <c r="C89" s="555"/>
      <c r="D89" s="531"/>
      <c r="E89" s="531"/>
      <c r="F89" s="531"/>
      <c r="G89" s="531"/>
      <c r="H89" s="531"/>
      <c r="I89" s="531"/>
      <c r="J89" s="531"/>
      <c r="K89" s="531"/>
      <c r="L89" s="531"/>
      <c r="M89" s="531"/>
      <c r="N89" s="1148"/>
      <c r="O89" s="1148"/>
      <c r="P89" s="2616"/>
      <c r="Q89" s="499"/>
    </row>
    <row r="90" spans="1:17" s="466" customFormat="1" ht="14.5" thickTop="1">
      <c r="A90" s="548"/>
      <c r="B90" s="533" t="str">
        <f>B27</f>
        <v>人流量</v>
      </c>
      <c r="C90" s="549"/>
      <c r="D90" s="549"/>
      <c r="E90" s="549"/>
      <c r="F90" s="549"/>
      <c r="G90" s="549"/>
      <c r="H90" s="550"/>
      <c r="I90" s="550"/>
      <c r="J90" s="550"/>
      <c r="K90" s="550"/>
      <c r="L90" s="551"/>
      <c r="M90" s="552"/>
      <c r="N90" s="1149"/>
      <c r="O90" s="1149"/>
      <c r="P90" s="2617"/>
      <c r="Q90" s="554"/>
    </row>
    <row r="91" spans="1:17" s="466" customFormat="1" ht="14.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9"/>
      <c r="O91" s="1149"/>
      <c r="P91" s="2617"/>
      <c r="Q91" s="554"/>
    </row>
    <row r="92" spans="1:17" ht="14.5" thickTop="1">
      <c r="A92" s="529"/>
      <c r="B92" s="533" t="str">
        <f>B28</f>
        <v>楼层</v>
      </c>
      <c r="C92" s="549"/>
      <c r="D92" s="549"/>
      <c r="E92" s="549"/>
      <c r="F92" s="549"/>
      <c r="G92" s="549"/>
      <c r="H92" s="549"/>
      <c r="I92" s="549"/>
      <c r="J92" s="549"/>
      <c r="K92" s="549"/>
      <c r="L92" s="575"/>
      <c r="M92" s="576"/>
      <c r="N92" s="1147"/>
      <c r="O92" s="1147"/>
      <c r="P92" s="2616"/>
      <c r="Q92" s="499"/>
    </row>
    <row r="93" spans="1:17" ht="14.5" thickBot="1">
      <c r="A93" s="529"/>
      <c r="B93" s="538"/>
      <c r="C93" s="531"/>
      <c r="D93" s="531"/>
      <c r="E93" s="531"/>
      <c r="F93" s="531"/>
      <c r="G93" s="531"/>
      <c r="H93" s="531"/>
      <c r="I93" s="531"/>
      <c r="J93" s="531"/>
      <c r="K93" s="531"/>
      <c r="L93" s="531"/>
      <c r="M93" s="532"/>
      <c r="N93" s="1148"/>
      <c r="O93" s="1148"/>
      <c r="P93" s="2616"/>
      <c r="Q93" s="499"/>
    </row>
    <row r="94" spans="1:17" ht="14.5" thickTop="1">
      <c r="A94" s="529"/>
      <c r="B94" s="533">
        <f>B29</f>
        <v>111</v>
      </c>
      <c r="C94" s="549"/>
      <c r="D94" s="549"/>
      <c r="E94" s="549"/>
      <c r="F94" s="549"/>
      <c r="G94" s="578"/>
      <c r="H94" s="578"/>
      <c r="I94" s="578"/>
      <c r="J94" s="578"/>
      <c r="K94" s="579"/>
      <c r="L94" s="580"/>
      <c r="M94" s="581"/>
      <c r="N94" s="1147"/>
      <c r="O94" s="1147"/>
      <c r="P94" s="2616"/>
      <c r="Q94" s="499"/>
    </row>
    <row r="95" spans="1:17" ht="14.5" thickBot="1">
      <c r="A95" s="529"/>
      <c r="B95" s="538"/>
      <c r="C95" s="555"/>
      <c r="D95" s="531"/>
      <c r="E95" s="531"/>
      <c r="F95" s="531"/>
      <c r="G95" s="531"/>
      <c r="H95" s="531"/>
      <c r="I95" s="531"/>
      <c r="J95" s="531"/>
      <c r="K95" s="531"/>
      <c r="L95" s="531"/>
      <c r="M95" s="532"/>
      <c r="N95" s="1148"/>
      <c r="O95" s="1148"/>
      <c r="P95" s="2616"/>
      <c r="Q95" s="499"/>
    </row>
    <row r="96" spans="1:17" ht="14.5" thickTop="1">
      <c r="A96" s="529"/>
      <c r="B96" s="533">
        <f>B30</f>
        <v>111</v>
      </c>
      <c r="C96" s="549"/>
      <c r="D96" s="549"/>
      <c r="E96" s="549"/>
      <c r="F96" s="549"/>
      <c r="G96" s="578"/>
      <c r="H96" s="578"/>
      <c r="I96" s="578"/>
      <c r="J96" s="578"/>
      <c r="K96" s="579"/>
      <c r="L96" s="580"/>
      <c r="M96" s="581"/>
      <c r="N96" s="1147"/>
      <c r="O96" s="1147"/>
      <c r="P96" s="2616"/>
      <c r="Q96" s="499"/>
    </row>
    <row r="97" spans="1:17" ht="14.5" thickBot="1">
      <c r="A97" s="529"/>
      <c r="B97" s="538"/>
      <c r="C97" s="555"/>
      <c r="D97" s="531"/>
      <c r="E97" s="531"/>
      <c r="F97" s="531"/>
      <c r="G97" s="531"/>
      <c r="H97" s="531"/>
      <c r="I97" s="531"/>
      <c r="J97" s="531"/>
      <c r="K97" s="531"/>
      <c r="L97" s="531"/>
      <c r="M97" s="532"/>
      <c r="N97" s="1148"/>
      <c r="O97" s="1148"/>
      <c r="P97" s="2616"/>
      <c r="Q97" s="499"/>
    </row>
    <row r="98" spans="1:17" ht="14.5" thickTop="1">
      <c r="A98" s="529"/>
      <c r="B98" s="541">
        <f>B31</f>
        <v>111</v>
      </c>
      <c r="C98" s="549"/>
      <c r="D98" s="549"/>
      <c r="E98" s="549"/>
      <c r="F98" s="549"/>
      <c r="G98" s="582"/>
      <c r="H98" s="582"/>
      <c r="I98" s="582"/>
      <c r="J98" s="582"/>
      <c r="K98" s="583"/>
      <c r="L98" s="584"/>
      <c r="M98" s="585"/>
      <c r="N98" s="1147"/>
      <c r="O98" s="1147"/>
      <c r="P98" s="2616"/>
      <c r="Q98" s="499"/>
    </row>
    <row r="99" spans="1:17" ht="14.5" thickBot="1">
      <c r="A99" s="2622"/>
      <c r="B99" s="564"/>
      <c r="C99" s="565"/>
      <c r="D99" s="565"/>
      <c r="E99" s="565"/>
      <c r="F99" s="565"/>
      <c r="G99" s="586"/>
      <c r="H99" s="586"/>
      <c r="I99" s="586"/>
      <c r="J99" s="586"/>
      <c r="K99" s="586"/>
      <c r="L99" s="586"/>
      <c r="M99" s="587"/>
      <c r="N99" s="1148"/>
      <c r="O99" s="1148"/>
      <c r="P99" s="2616"/>
      <c r="Q99" s="499"/>
    </row>
    <row r="100" spans="1:17">
      <c r="A100" s="522" t="s">
        <v>2557</v>
      </c>
      <c r="B100" s="523" t="s">
        <v>2675</v>
      </c>
      <c r="C100" s="525"/>
      <c r="D100" s="525"/>
      <c r="E100" s="525"/>
      <c r="F100" s="525"/>
      <c r="G100" s="525"/>
      <c r="H100" s="525"/>
      <c r="I100" s="525"/>
      <c r="J100" s="525"/>
      <c r="K100" s="526"/>
      <c r="L100" s="527"/>
      <c r="M100" s="528"/>
      <c r="N100" s="1147"/>
      <c r="O100" s="1147"/>
      <c r="P100" s="2616"/>
      <c r="Q100" s="499"/>
    </row>
    <row r="101" spans="1:17" ht="14.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8"/>
      <c r="O101" s="1148"/>
      <c r="P101" s="2616"/>
      <c r="Q101" s="499"/>
    </row>
    <row r="102" spans="1:17" ht="14.5" thickTop="1">
      <c r="A102" s="529"/>
      <c r="B102" s="533" t="s">
        <v>2607</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6"/>
      <c r="O102" s="1146"/>
      <c r="P102" s="2616"/>
      <c r="Q102" s="499"/>
    </row>
    <row r="103" spans="1:17" s="466" customFormat="1">
      <c r="A103" s="588"/>
      <c r="B103" s="589"/>
      <c r="C103" s="590"/>
      <c r="D103" s="590"/>
      <c r="E103" s="590"/>
      <c r="F103" s="590"/>
      <c r="G103" s="590"/>
      <c r="H103" s="590"/>
      <c r="I103" s="590"/>
      <c r="J103" s="591"/>
      <c r="K103" s="591"/>
      <c r="L103" s="592"/>
      <c r="M103" s="593"/>
      <c r="N103" s="1149"/>
      <c r="O103" s="1149"/>
      <c r="P103" s="2617"/>
      <c r="Q103" s="554"/>
    </row>
    <row r="104" spans="1:17" s="466" customFormat="1" ht="14.5" thickBot="1">
      <c r="A104" s="548"/>
      <c r="B104" s="538"/>
      <c r="C104" s="555"/>
      <c r="D104" s="531"/>
      <c r="E104" s="531"/>
      <c r="F104" s="531"/>
      <c r="G104" s="531"/>
      <c r="H104" s="531"/>
      <c r="I104" s="531"/>
      <c r="J104" s="531"/>
      <c r="K104" s="531"/>
      <c r="L104" s="531"/>
      <c r="M104" s="532"/>
      <c r="N104" s="1148"/>
      <c r="O104" s="1148"/>
      <c r="P104" s="2617"/>
      <c r="Q104" s="554"/>
    </row>
    <row r="105" spans="1:17" ht="14.5" thickTop="1">
      <c r="A105" s="594"/>
      <c r="B105" s="533" t="s">
        <v>2608</v>
      </c>
      <c r="C105" s="549"/>
      <c r="D105" s="549"/>
      <c r="E105" s="578"/>
      <c r="F105" s="578"/>
      <c r="G105" s="578"/>
      <c r="H105" s="578"/>
      <c r="I105" s="578"/>
      <c r="J105" s="578"/>
      <c r="K105" s="579"/>
      <c r="L105" s="580"/>
      <c r="M105" s="581"/>
      <c r="N105" s="1147"/>
      <c r="O105" s="1147"/>
      <c r="P105" s="2616"/>
      <c r="Q105" s="499"/>
    </row>
    <row r="106" spans="1:17" ht="14.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8"/>
      <c r="O106" s="1148"/>
      <c r="P106" s="2616"/>
      <c r="Q106" s="499"/>
    </row>
    <row r="107" spans="1:17" ht="14.5" thickTop="1">
      <c r="A107" s="594"/>
      <c r="B107" s="533" t="s">
        <v>2610</v>
      </c>
      <c r="C107" s="549"/>
      <c r="D107" s="549"/>
      <c r="E107" s="549"/>
      <c r="F107" s="578"/>
      <c r="G107" s="578"/>
      <c r="H107" s="578"/>
      <c r="I107" s="578"/>
      <c r="J107" s="578"/>
      <c r="K107" s="579"/>
      <c r="L107" s="580"/>
      <c r="M107" s="581"/>
      <c r="N107" s="1147"/>
      <c r="O107" s="1147"/>
      <c r="P107" s="2616"/>
      <c r="Q107" s="499"/>
    </row>
    <row r="108" spans="1:17" ht="14.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8"/>
      <c r="O108" s="1148"/>
      <c r="P108" s="2616"/>
      <c r="Q108" s="499"/>
    </row>
    <row r="109" spans="1:17" ht="14.5" thickTop="1">
      <c r="A109" s="594"/>
      <c r="B109" s="533" t="s">
        <v>1993</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7"/>
      <c r="O109" s="1147"/>
      <c r="P109" s="2616"/>
      <c r="Q109" s="499"/>
    </row>
    <row r="110" spans="1:17">
      <c r="A110" s="594"/>
      <c r="B110" s="541"/>
      <c r="C110" s="598">
        <v>0.5</v>
      </c>
      <c r="D110" s="598">
        <v>0.6</v>
      </c>
      <c r="E110" s="598">
        <v>0.7</v>
      </c>
      <c r="F110" s="598">
        <v>0.8</v>
      </c>
      <c r="G110" s="598">
        <v>0.9</v>
      </c>
      <c r="H110" s="598">
        <v>1.0001</v>
      </c>
      <c r="I110" s="618"/>
      <c r="J110" s="618"/>
      <c r="K110" s="619"/>
      <c r="L110" s="620"/>
      <c r="M110" s="621"/>
      <c r="N110" s="1147"/>
      <c r="O110" s="1147"/>
      <c r="P110" s="2616"/>
      <c r="Q110" s="499"/>
    </row>
    <row r="111" spans="1:17" ht="14.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8"/>
      <c r="O111" s="1148"/>
      <c r="P111" s="2616"/>
      <c r="Q111" s="499"/>
    </row>
    <row r="112" spans="1:17" s="466" customFormat="1" ht="14.5" thickTop="1">
      <c r="A112" s="588"/>
      <c r="B112" s="533" t="s">
        <v>2612</v>
      </c>
      <c r="C112" s="549"/>
      <c r="D112" s="549"/>
      <c r="E112" s="549"/>
      <c r="F112" s="549"/>
      <c r="G112" s="549"/>
      <c r="H112" s="578"/>
      <c r="I112" s="578"/>
      <c r="J112" s="578"/>
      <c r="K112" s="579"/>
      <c r="L112" s="580"/>
      <c r="M112" s="581"/>
      <c r="N112" s="1149"/>
      <c r="O112" s="1149"/>
      <c r="P112" s="2617"/>
      <c r="Q112" s="554"/>
    </row>
    <row r="113" spans="1:17" s="466" customFormat="1" ht="14.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9"/>
      <c r="O113" s="1149"/>
      <c r="P113" s="2617"/>
      <c r="Q113" s="554"/>
    </row>
    <row r="114" spans="1:17" ht="14.5" thickTop="1">
      <c r="A114" s="594"/>
      <c r="B114" s="533" t="s">
        <v>2676</v>
      </c>
      <c r="C114" s="549"/>
      <c r="D114" s="549"/>
      <c r="E114" s="578"/>
      <c r="F114" s="578"/>
      <c r="G114" s="578"/>
      <c r="H114" s="578"/>
      <c r="I114" s="578"/>
      <c r="J114" s="578"/>
      <c r="K114" s="579"/>
      <c r="L114" s="580"/>
      <c r="M114" s="581"/>
      <c r="N114" s="1147"/>
      <c r="O114" s="1147"/>
      <c r="P114" s="2616"/>
      <c r="Q114" s="499"/>
    </row>
    <row r="115" spans="1:17" ht="14.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8"/>
      <c r="O115" s="1148"/>
      <c r="P115" s="2616"/>
      <c r="Q115" s="499"/>
    </row>
    <row r="116" spans="1:17" ht="14.5" thickTop="1">
      <c r="A116" s="594"/>
      <c r="B116" s="533" t="s">
        <v>2677</v>
      </c>
      <c r="C116" s="549"/>
      <c r="D116" s="549"/>
      <c r="E116" s="549"/>
      <c r="F116" s="549"/>
      <c r="G116" s="549"/>
      <c r="H116" s="578"/>
      <c r="I116" s="578"/>
      <c r="J116" s="578"/>
      <c r="K116" s="579"/>
      <c r="L116" s="580"/>
      <c r="M116" s="581"/>
      <c r="N116" s="1147"/>
      <c r="O116" s="1147"/>
      <c r="P116" s="2616"/>
      <c r="Q116" s="499"/>
    </row>
    <row r="117" spans="1:17" ht="14.5" thickBot="1">
      <c r="A117" s="529"/>
      <c r="B117" s="538"/>
      <c r="C117" s="539">
        <v>100</v>
      </c>
      <c r="D117" s="539">
        <f>C117-$K39</f>
        <v>100</v>
      </c>
      <c r="E117" s="539">
        <f>D117-$K39</f>
        <v>100</v>
      </c>
      <c r="F117" s="539">
        <f>E117-$K39</f>
        <v>100</v>
      </c>
      <c r="G117" s="539">
        <f>F117-$K39</f>
        <v>100</v>
      </c>
      <c r="H117" s="539"/>
      <c r="I117" s="539"/>
      <c r="J117" s="539"/>
      <c r="K117" s="539"/>
      <c r="L117" s="539"/>
      <c r="M117" s="540"/>
      <c r="N117" s="1148"/>
      <c r="O117" s="1148"/>
      <c r="P117" s="2616"/>
      <c r="Q117" s="499"/>
    </row>
    <row r="118" spans="1:17" ht="14.5" thickTop="1">
      <c r="A118" s="594"/>
      <c r="B118" s="533" t="s">
        <v>2678</v>
      </c>
      <c r="C118" s="622"/>
      <c r="D118" s="622"/>
      <c r="E118" s="622"/>
      <c r="F118" s="622"/>
      <c r="G118" s="622"/>
      <c r="H118" s="550"/>
      <c r="I118" s="550"/>
      <c r="J118" s="550"/>
      <c r="K118" s="550"/>
      <c r="L118" s="551"/>
      <c r="M118" s="552"/>
      <c r="N118" s="1147"/>
      <c r="O118" s="1147"/>
      <c r="P118" s="2616"/>
      <c r="Q118" s="499"/>
    </row>
    <row r="119" spans="1:17" ht="14.5" thickBot="1">
      <c r="A119" s="529"/>
      <c r="B119" s="538"/>
      <c r="C119" s="555"/>
      <c r="D119" s="531"/>
      <c r="E119" s="531"/>
      <c r="F119" s="531"/>
      <c r="G119" s="531"/>
      <c r="H119" s="531"/>
      <c r="I119" s="531"/>
      <c r="J119" s="531"/>
      <c r="K119" s="531"/>
      <c r="L119" s="531"/>
      <c r="M119" s="532"/>
      <c r="N119" s="1148"/>
      <c r="O119" s="1148"/>
      <c r="P119" s="2616"/>
      <c r="Q119" s="499"/>
    </row>
    <row r="120" spans="1:17" s="466" customFormat="1" ht="14.5" thickTop="1">
      <c r="A120" s="588"/>
      <c r="B120" s="533" t="s">
        <v>2679</v>
      </c>
      <c r="C120" s="578"/>
      <c r="D120" s="578"/>
      <c r="E120" s="578"/>
      <c r="F120" s="578"/>
      <c r="G120" s="550"/>
      <c r="H120" s="550"/>
      <c r="I120" s="550"/>
      <c r="J120" s="550"/>
      <c r="K120" s="550"/>
      <c r="L120" s="551"/>
      <c r="M120" s="552"/>
      <c r="N120" s="1149"/>
      <c r="O120" s="1149"/>
      <c r="P120" s="2617"/>
      <c r="Q120" s="554"/>
    </row>
    <row r="121" spans="1:17" s="466" customFormat="1" ht="14.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9"/>
      <c r="O121" s="1149"/>
      <c r="P121" s="2617"/>
      <c r="Q121" s="554"/>
    </row>
    <row r="122" spans="1:17" ht="14.5" thickTop="1">
      <c r="A122" s="594"/>
      <c r="B122" s="533" t="s">
        <v>2614</v>
      </c>
      <c r="C122" s="549"/>
      <c r="D122" s="549"/>
      <c r="E122" s="549"/>
      <c r="F122" s="578"/>
      <c r="G122" s="578"/>
      <c r="H122" s="578"/>
      <c r="I122" s="578"/>
      <c r="J122" s="578"/>
      <c r="K122" s="579"/>
      <c r="L122" s="580"/>
      <c r="M122" s="581"/>
      <c r="N122" s="1147"/>
      <c r="O122" s="1147"/>
      <c r="P122" s="2616"/>
      <c r="Q122" s="499"/>
    </row>
    <row r="123" spans="1:17" ht="14.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8"/>
      <c r="O123" s="1148"/>
      <c r="P123" s="2616"/>
      <c r="Q123" s="499"/>
    </row>
    <row r="124" spans="1:17" ht="28.5" thickTop="1">
      <c r="A124" s="594"/>
      <c r="B124" s="533" t="s">
        <v>2615</v>
      </c>
      <c r="C124" s="573" t="s">
        <v>2591</v>
      </c>
      <c r="D124" s="573" t="s">
        <v>2592</v>
      </c>
      <c r="E124" s="573" t="s">
        <v>2593</v>
      </c>
      <c r="F124" s="573" t="s">
        <v>2594</v>
      </c>
      <c r="G124" s="573" t="s">
        <v>2595</v>
      </c>
      <c r="H124" s="534"/>
      <c r="I124" s="534"/>
      <c r="J124" s="534"/>
      <c r="K124" s="535"/>
      <c r="L124" s="536"/>
      <c r="M124" s="537"/>
      <c r="N124" s="1147"/>
      <c r="O124" s="1147"/>
      <c r="P124" s="2617"/>
      <c r="Q124" s="499"/>
    </row>
    <row r="125" spans="1:17" ht="14.5" thickBot="1">
      <c r="A125" s="529"/>
      <c r="B125" s="538"/>
      <c r="C125" s="539">
        <v>100</v>
      </c>
      <c r="D125" s="539">
        <f>C125-$K43</f>
        <v>100</v>
      </c>
      <c r="E125" s="539">
        <f>D125-$K43</f>
        <v>100</v>
      </c>
      <c r="F125" s="539">
        <f>E125-$K43</f>
        <v>100</v>
      </c>
      <c r="G125" s="539">
        <f>F125-$K43</f>
        <v>100</v>
      </c>
      <c r="H125" s="539"/>
      <c r="I125" s="539"/>
      <c r="J125" s="539"/>
      <c r="K125" s="539"/>
      <c r="L125" s="539"/>
      <c r="M125" s="540"/>
      <c r="N125" s="1148"/>
      <c r="O125" s="1148"/>
      <c r="P125" s="2616"/>
      <c r="Q125" s="499"/>
    </row>
    <row r="126" spans="1:17" s="466" customFormat="1" ht="14.5" thickTop="1">
      <c r="A126" s="588"/>
      <c r="B126" s="533">
        <f>B44</f>
        <v>111</v>
      </c>
      <c r="C126" s="549"/>
      <c r="D126" s="549"/>
      <c r="E126" s="549"/>
      <c r="F126" s="549"/>
      <c r="G126" s="549"/>
      <c r="H126" s="550"/>
      <c r="I126" s="550"/>
      <c r="J126" s="550"/>
      <c r="K126" s="550"/>
      <c r="L126" s="551"/>
      <c r="M126" s="552"/>
      <c r="N126" s="1149"/>
      <c r="O126" s="1149"/>
      <c r="P126" s="2617"/>
      <c r="Q126" s="554"/>
    </row>
    <row r="127" spans="1:17" s="466" customFormat="1" ht="14.5" thickBot="1">
      <c r="A127" s="548"/>
      <c r="B127" s="538"/>
      <c r="C127" s="555"/>
      <c r="D127" s="531"/>
      <c r="E127" s="531"/>
      <c r="F127" s="531"/>
      <c r="G127" s="555"/>
      <c r="H127" s="557"/>
      <c r="I127" s="557"/>
      <c r="J127" s="557"/>
      <c r="K127" s="557"/>
      <c r="L127" s="557"/>
      <c r="M127" s="558"/>
      <c r="N127" s="1149"/>
      <c r="O127" s="1149"/>
      <c r="P127" s="2617"/>
      <c r="Q127" s="554"/>
    </row>
    <row r="128" spans="1:17" ht="14.5" thickTop="1">
      <c r="A128" s="594"/>
      <c r="B128" s="533">
        <f>B45</f>
        <v>111</v>
      </c>
      <c r="C128" s="549"/>
      <c r="D128" s="549"/>
      <c r="E128" s="549"/>
      <c r="F128" s="549"/>
      <c r="G128" s="578"/>
      <c r="H128" s="578"/>
      <c r="I128" s="578"/>
      <c r="J128" s="578"/>
      <c r="K128" s="579"/>
      <c r="L128" s="580"/>
      <c r="M128" s="581"/>
      <c r="N128" s="1147"/>
      <c r="O128" s="1147"/>
      <c r="P128" s="2616"/>
      <c r="Q128" s="499"/>
    </row>
    <row r="129" spans="1:17" ht="14.5" thickBot="1">
      <c r="A129" s="529"/>
      <c r="B129" s="538"/>
      <c r="C129" s="555"/>
      <c r="D129" s="531"/>
      <c r="E129" s="531"/>
      <c r="F129" s="531"/>
      <c r="G129" s="531"/>
      <c r="H129" s="531"/>
      <c r="I129" s="531"/>
      <c r="J129" s="531"/>
      <c r="K129" s="531"/>
      <c r="L129" s="531"/>
      <c r="M129" s="532"/>
      <c r="N129" s="1148"/>
      <c r="O129" s="1148"/>
      <c r="P129" s="2616"/>
      <c r="Q129" s="499"/>
    </row>
    <row r="130" spans="1:17" ht="14.5" thickTop="1">
      <c r="A130" s="594"/>
      <c r="B130" s="541">
        <f>B46</f>
        <v>111</v>
      </c>
      <c r="C130" s="549"/>
      <c r="D130" s="549"/>
      <c r="E130" s="549"/>
      <c r="F130" s="549"/>
      <c r="G130" s="582"/>
      <c r="H130" s="582"/>
      <c r="I130" s="582"/>
      <c r="J130" s="582"/>
      <c r="K130" s="518"/>
      <c r="L130" s="519"/>
      <c r="M130" s="585"/>
      <c r="N130" s="1147"/>
      <c r="O130" s="1147"/>
      <c r="P130" s="2616"/>
      <c r="Q130" s="499"/>
    </row>
    <row r="131" spans="1:17" ht="14.5" thickBot="1">
      <c r="A131" s="2622"/>
      <c r="B131" s="564"/>
      <c r="C131" s="565"/>
      <c r="D131" s="565"/>
      <c r="E131" s="565"/>
      <c r="F131" s="565"/>
      <c r="G131" s="586"/>
      <c r="H131" s="586"/>
      <c r="I131" s="586"/>
      <c r="J131" s="586"/>
      <c r="K131" s="586"/>
      <c r="L131" s="586"/>
      <c r="M131" s="587"/>
      <c r="N131" s="1148"/>
      <c r="O131" s="1148"/>
      <c r="P131" s="2616"/>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398" customWidth="1"/>
    <col min="2" max="2" width="15.90625" style="398" customWidth="1"/>
    <col min="3" max="3" width="15.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111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2522</v>
      </c>
      <c r="B1" s="2655" t="s">
        <v>2680</v>
      </c>
      <c r="C1" s="1615" t="s">
        <v>2524</v>
      </c>
      <c r="D1" s="1616"/>
      <c r="E1" s="1625"/>
      <c r="F1" s="2571"/>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2324</v>
      </c>
      <c r="B2" s="1413" t="e">
        <f ca="1">IF(C2="——",ROUND(C50*D3/10000,0),ROUND(C50*D3/10000,0)-D2)</f>
        <v>#DIV/0!</v>
      </c>
      <c r="C2" s="2573"/>
      <c r="D2" s="1360" t="e">
        <f ca="1">SUMIF(INDIRECT("'"&amp;F2&amp;"'"&amp;"!A:A"),"承租人权益价值",INDIRECT("'"&amp;F2&amp;"'"&amp;"!c:c"))</f>
        <v>#REF!</v>
      </c>
      <c r="E2" s="2574" t="s">
        <v>2325</v>
      </c>
      <c r="F2" s="2575"/>
      <c r="G2" s="1120"/>
      <c r="H2" s="1120"/>
      <c r="I2" s="1120"/>
      <c r="J2" s="1120"/>
      <c r="K2" s="1120"/>
      <c r="L2" s="1123"/>
      <c r="M2" s="1124"/>
      <c r="N2" s="1124"/>
      <c r="O2" s="1124"/>
      <c r="P2" s="763"/>
      <c r="Q2" s="763"/>
      <c r="R2" s="763"/>
      <c r="S2" s="763"/>
      <c r="T2" s="763"/>
      <c r="U2" s="763"/>
      <c r="V2" s="763"/>
      <c r="W2" s="763"/>
      <c r="X2" s="763"/>
      <c r="Y2" s="763"/>
      <c r="Z2" s="763"/>
      <c r="AA2" s="763"/>
      <c r="AB2" s="763"/>
      <c r="AC2" s="764"/>
    </row>
    <row r="3" spans="1:29" s="393" customFormat="1" ht="28.5" customHeight="1" thickBot="1">
      <c r="A3" s="242" t="s">
        <v>2326</v>
      </c>
      <c r="B3" s="604" t="e">
        <f ca="1">IF(C2="——",C50,ROUND(B2*10000/D3,0))</f>
        <v>#DIV/0!</v>
      </c>
      <c r="C3" s="395" t="s">
        <v>2638</v>
      </c>
      <c r="D3" s="394">
        <f>IF(D1="",'数据-汇总表'!E3,SUMIF('数据-汇总表'!$C19:$C33,D1,'数据-汇总表'!$E19:$E33))</f>
        <v>212264.80000000002</v>
      </c>
      <c r="E3" s="2649"/>
      <c r="F3" s="1121"/>
      <c r="G3" s="1120"/>
      <c r="H3" s="1120"/>
      <c r="I3" s="1120"/>
      <c r="J3" s="1120"/>
      <c r="K3" s="1122"/>
      <c r="L3" s="1123"/>
      <c r="M3" s="1124"/>
      <c r="N3" s="1124"/>
      <c r="O3" s="1124"/>
      <c r="P3" s="763"/>
      <c r="Q3" s="763"/>
      <c r="R3" s="763"/>
      <c r="S3" s="763"/>
      <c r="T3" s="763"/>
      <c r="U3" s="763"/>
      <c r="V3" s="763"/>
      <c r="W3" s="763"/>
      <c r="X3" s="763"/>
      <c r="Y3" s="763"/>
      <c r="Z3" s="763"/>
      <c r="AA3" s="763"/>
      <c r="AB3" s="763"/>
      <c r="AC3" s="764"/>
    </row>
    <row r="4" spans="1:29">
      <c r="A4" s="396" t="s">
        <v>2639</v>
      </c>
      <c r="B4" s="397"/>
      <c r="C4" s="3234" t="s">
        <v>2640</v>
      </c>
      <c r="D4" s="3247"/>
      <c r="E4" s="3248" t="s">
        <v>2641</v>
      </c>
      <c r="F4" s="3249"/>
      <c r="G4" s="3234" t="s">
        <v>2642</v>
      </c>
      <c r="H4" s="3247"/>
      <c r="I4" s="3234" t="s">
        <v>2643</v>
      </c>
      <c r="J4" s="3247"/>
      <c r="K4" s="605" t="s">
        <v>2644</v>
      </c>
      <c r="L4" s="1125"/>
      <c r="M4" s="1126"/>
      <c r="N4" s="1126"/>
      <c r="O4" s="1126"/>
      <c r="P4" s="3320" t="s">
        <v>2645</v>
      </c>
      <c r="Q4" s="3321"/>
      <c r="R4" s="3324" t="s">
        <v>2641</v>
      </c>
      <c r="S4" s="3325"/>
      <c r="T4" s="3324" t="s">
        <v>2642</v>
      </c>
      <c r="U4" s="3325"/>
      <c r="V4" s="3326" t="s">
        <v>2643</v>
      </c>
      <c r="W4" s="3326"/>
      <c r="X4" s="2656"/>
      <c r="Y4" s="3324" t="s">
        <v>2645</v>
      </c>
      <c r="Z4" s="3325"/>
      <c r="AA4" s="3328" t="s">
        <v>2641</v>
      </c>
      <c r="AB4" s="3328" t="s">
        <v>2642</v>
      </c>
      <c r="AC4" s="3317" t="s">
        <v>2643</v>
      </c>
    </row>
    <row r="5" spans="1:29">
      <c r="A5" s="399"/>
      <c r="B5" s="400"/>
      <c r="C5" s="3264" t="s">
        <v>2536</v>
      </c>
      <c r="D5" s="3265"/>
      <c r="E5" s="3271" t="s">
        <v>2537</v>
      </c>
      <c r="F5" s="3272"/>
      <c r="G5" s="3264" t="s">
        <v>2538</v>
      </c>
      <c r="H5" s="3265"/>
      <c r="I5" s="3264" t="s">
        <v>2539</v>
      </c>
      <c r="J5" s="3265"/>
      <c r="K5" s="605"/>
      <c r="L5" s="1125"/>
      <c r="M5" s="1126"/>
      <c r="N5" s="1126"/>
      <c r="O5" s="1126"/>
      <c r="P5" s="3322"/>
      <c r="Q5" s="3253"/>
      <c r="R5" s="3258"/>
      <c r="S5" s="3259"/>
      <c r="T5" s="3258"/>
      <c r="U5" s="3259"/>
      <c r="V5" s="3243"/>
      <c r="W5" s="3243"/>
      <c r="X5" s="1808"/>
      <c r="Y5" s="3258"/>
      <c r="Z5" s="3259"/>
      <c r="AA5" s="3245"/>
      <c r="AB5" s="3245"/>
      <c r="AC5" s="3318"/>
    </row>
    <row r="6" spans="1:29" ht="15" thickBot="1">
      <c r="A6" s="401"/>
      <c r="B6" s="402"/>
      <c r="C6" s="3262" t="s">
        <v>2540</v>
      </c>
      <c r="D6" s="3263"/>
      <c r="E6" s="3269" t="s">
        <v>2540</v>
      </c>
      <c r="F6" s="3270"/>
      <c r="G6" s="3262" t="s">
        <v>2540</v>
      </c>
      <c r="H6" s="3263"/>
      <c r="I6" s="3262" t="s">
        <v>2540</v>
      </c>
      <c r="J6" s="3263"/>
      <c r="K6" s="605" t="s">
        <v>2541</v>
      </c>
      <c r="L6" s="1125"/>
      <c r="M6" s="1126"/>
      <c r="N6" s="1126"/>
      <c r="O6" s="1126"/>
      <c r="P6" s="3323"/>
      <c r="Q6" s="3255"/>
      <c r="R6" s="3258"/>
      <c r="S6" s="3259"/>
      <c r="T6" s="3260"/>
      <c r="U6" s="3261"/>
      <c r="V6" s="3243"/>
      <c r="W6" s="3243"/>
      <c r="X6" s="1808"/>
      <c r="Y6" s="3260"/>
      <c r="Z6" s="3261"/>
      <c r="AA6" s="3246"/>
      <c r="AB6" s="3246"/>
      <c r="AC6" s="3319"/>
    </row>
    <row r="7" spans="1:29" s="114" customFormat="1" ht="14.5" thickBot="1">
      <c r="A7" s="403" t="s">
        <v>2542</v>
      </c>
      <c r="B7" s="404"/>
      <c r="C7" s="405">
        <f>'数据-取费表'!B2</f>
        <v>43903</v>
      </c>
      <c r="D7" s="406">
        <v>100</v>
      </c>
      <c r="E7" s="407"/>
      <c r="F7" s="408">
        <f>SUMIF(59:59,YEAR(E7)&amp;"-"&amp;MONTH(E7),60:60)</f>
        <v>0</v>
      </c>
      <c r="G7" s="407"/>
      <c r="H7" s="406">
        <f>SUMIF(59:59,YEAR(G7)&amp;"-"&amp;MONTH(G7),60:60)</f>
        <v>0</v>
      </c>
      <c r="I7" s="407"/>
      <c r="J7" s="406">
        <f>SUMIF(59:59,YEAR(I7)&amp;"-"&amp;MONTH(I7),60:60)</f>
        <v>0</v>
      </c>
      <c r="K7" s="606"/>
      <c r="L7" s="1127"/>
      <c r="M7" s="1128"/>
      <c r="N7" s="1128"/>
      <c r="O7" s="1128"/>
      <c r="P7" s="3327" t="s">
        <v>2543</v>
      </c>
      <c r="Q7" s="3268"/>
      <c r="R7" s="765" t="s">
        <v>17</v>
      </c>
      <c r="S7" s="766">
        <f t="shared" ref="S7:S15" si="0">F7</f>
        <v>0</v>
      </c>
      <c r="T7" s="765" t="s">
        <v>17</v>
      </c>
      <c r="U7" s="766">
        <f t="shared" ref="U7:U15" si="1">H7</f>
        <v>0</v>
      </c>
      <c r="V7" s="765" t="s">
        <v>17</v>
      </c>
      <c r="W7" s="766">
        <f t="shared" ref="W7:W15" si="2">J7</f>
        <v>0</v>
      </c>
      <c r="X7" s="767"/>
      <c r="Y7" s="3266" t="s">
        <v>2543</v>
      </c>
      <c r="Z7" s="3267"/>
      <c r="AA7" s="768" t="e">
        <f>D7/F7</f>
        <v>#DIV/0!</v>
      </c>
      <c r="AB7" s="768" t="e">
        <f>D7/H7</f>
        <v>#DIV/0!</v>
      </c>
      <c r="AC7" s="2657" t="e">
        <f>D7/J7</f>
        <v>#DIV/0!</v>
      </c>
    </row>
    <row r="8" spans="1:29" s="114" customFormat="1" ht="14.5" thickBot="1">
      <c r="A8" s="403" t="s">
        <v>2544</v>
      </c>
      <c r="B8" s="404"/>
      <c r="C8" s="409" t="s">
        <v>2646</v>
      </c>
      <c r="D8" s="406">
        <v>100</v>
      </c>
      <c r="E8" s="409"/>
      <c r="F8" s="408">
        <f>SUMIF(62:62,E8,63:63)-SUMIF(62:62,C8,63:63)+100</f>
        <v>0</v>
      </c>
      <c r="G8" s="409"/>
      <c r="H8" s="406">
        <f>SUMIF(62:62,G8,63:63)-SUMIF(62:62,C8,63:63)+100</f>
        <v>0</v>
      </c>
      <c r="I8" s="409"/>
      <c r="J8" s="406">
        <f>SUMIF(62:62,I8,63:63)-SUMIF(62:62,C8,63:63)+100</f>
        <v>0</v>
      </c>
      <c r="K8" s="606"/>
      <c r="L8" s="1127"/>
      <c r="M8" s="1128"/>
      <c r="N8" s="1128"/>
      <c r="O8" s="1128"/>
      <c r="P8" s="3327" t="s">
        <v>2546</v>
      </c>
      <c r="Q8" s="3267"/>
      <c r="R8" s="765" t="s">
        <v>17</v>
      </c>
      <c r="S8" s="766">
        <f t="shared" si="0"/>
        <v>0</v>
      </c>
      <c r="T8" s="765" t="s">
        <v>17</v>
      </c>
      <c r="U8" s="766">
        <f t="shared" si="1"/>
        <v>0</v>
      </c>
      <c r="V8" s="765" t="s">
        <v>17</v>
      </c>
      <c r="W8" s="766">
        <f t="shared" si="2"/>
        <v>0</v>
      </c>
      <c r="X8" s="767"/>
      <c r="Y8" s="3266" t="s">
        <v>2546</v>
      </c>
      <c r="Z8" s="3267"/>
      <c r="AA8" s="768" t="e">
        <f t="shared" ref="AA8:AA47" si="3">D8/F8</f>
        <v>#DIV/0!</v>
      </c>
      <c r="AB8" s="768" t="e">
        <f t="shared" ref="AB8:AB47" si="4">D8/H8</f>
        <v>#DIV/0!</v>
      </c>
      <c r="AC8" s="2657" t="e">
        <f t="shared" ref="AC8:AC47" si="5">D8/J8</f>
        <v>#DIV/0!</v>
      </c>
    </row>
    <row r="9" spans="1:29" s="114" customFormat="1">
      <c r="A9" s="410" t="s">
        <v>2547</v>
      </c>
      <c r="B9" s="68" t="s">
        <v>2548</v>
      </c>
      <c r="C9" s="411"/>
      <c r="D9" s="130">
        <v>100</v>
      </c>
      <c r="E9" s="414"/>
      <c r="F9" s="130">
        <f>SUMIF(64:64,E9,65:65)-SUMIF(64:64,C9,65:65)+100</f>
        <v>100</v>
      </c>
      <c r="G9" s="412"/>
      <c r="H9" s="130">
        <f>SUMIF(64:64,G9,65:65)-SUMIF(64:64,C9,65:65)+100</f>
        <v>100</v>
      </c>
      <c r="I9" s="412"/>
      <c r="J9" s="130">
        <f>SUMIF(64:64,I9,65:65)-SUMIF(64:64,C9,65:65)+100</f>
        <v>100</v>
      </c>
      <c r="K9" s="606"/>
      <c r="L9" s="1127"/>
      <c r="M9" s="1128"/>
      <c r="N9" s="1128"/>
      <c r="O9" s="1128"/>
      <c r="P9" s="3236" t="s">
        <v>2549</v>
      </c>
      <c r="Q9" s="1790" t="str">
        <f t="shared" ref="Q9:Q15" si="6">B9</f>
        <v>用途</v>
      </c>
      <c r="R9" s="765" t="s">
        <v>17</v>
      </c>
      <c r="S9" s="766">
        <f t="shared" si="0"/>
        <v>100</v>
      </c>
      <c r="T9" s="765" t="s">
        <v>17</v>
      </c>
      <c r="U9" s="766">
        <f t="shared" si="1"/>
        <v>100</v>
      </c>
      <c r="V9" s="765" t="s">
        <v>17</v>
      </c>
      <c r="W9" s="766">
        <f t="shared" si="2"/>
        <v>100</v>
      </c>
      <c r="X9" s="767"/>
      <c r="Y9" s="3085" t="s">
        <v>2550</v>
      </c>
      <c r="Z9" s="52" t="str">
        <f t="shared" ref="Z9:Z15" si="7">Q9</f>
        <v>用途</v>
      </c>
      <c r="AA9" s="768">
        <f t="shared" si="3"/>
        <v>1</v>
      </c>
      <c r="AB9" s="768">
        <f t="shared" si="4"/>
        <v>1</v>
      </c>
      <c r="AC9" s="2657">
        <f t="shared" si="5"/>
        <v>1</v>
      </c>
    </row>
    <row r="10" spans="1:29" s="422" customFormat="1" ht="28">
      <c r="A10" s="416"/>
      <c r="B10" s="417" t="s">
        <v>2551</v>
      </c>
      <c r="C10" s="418"/>
      <c r="D10" s="131">
        <v>100</v>
      </c>
      <c r="E10" s="418"/>
      <c r="F10" s="131">
        <f>SUMIF(66:66,E10,67:67)-SUMIF(66:66,C10,67:67)+100</f>
        <v>100</v>
      </c>
      <c r="G10" s="419"/>
      <c r="H10" s="131">
        <f>SUMIF(66:66,G10,67:67)-SUMIF(66:66,C10,67:67)+100</f>
        <v>100</v>
      </c>
      <c r="I10" s="418"/>
      <c r="J10" s="131">
        <f>SUMIF(66:66,I10,67:67)-SUMIF(66:66,C10,67:67)+100</f>
        <v>100</v>
      </c>
      <c r="K10" s="607"/>
      <c r="L10" s="1130"/>
      <c r="M10" s="1131"/>
      <c r="N10" s="1131"/>
      <c r="O10" s="1131"/>
      <c r="P10" s="3236"/>
      <c r="Q10" s="1790" t="str">
        <f t="shared" si="6"/>
        <v>土地使用年限（年）</v>
      </c>
      <c r="R10" s="765" t="s">
        <v>17</v>
      </c>
      <c r="S10" s="766">
        <f t="shared" si="0"/>
        <v>100</v>
      </c>
      <c r="T10" s="765" t="s">
        <v>17</v>
      </c>
      <c r="U10" s="766">
        <f t="shared" si="1"/>
        <v>100</v>
      </c>
      <c r="V10" s="765" t="s">
        <v>17</v>
      </c>
      <c r="W10" s="766">
        <f t="shared" si="2"/>
        <v>100</v>
      </c>
      <c r="X10" s="767"/>
      <c r="Y10" s="3085"/>
      <c r="Z10" s="52" t="str">
        <f t="shared" si="7"/>
        <v>土地使用年限（年）</v>
      </c>
      <c r="AA10" s="768">
        <f t="shared" si="3"/>
        <v>1</v>
      </c>
      <c r="AB10" s="768">
        <f t="shared" si="4"/>
        <v>1</v>
      </c>
      <c r="AC10" s="2657">
        <f t="shared" si="5"/>
        <v>1</v>
      </c>
    </row>
    <row r="11" spans="1:29" ht="15.5">
      <c r="A11" s="423"/>
      <c r="B11" s="417" t="s">
        <v>2552</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3"/>
      <c r="M11" s="1126"/>
      <c r="N11" s="1126"/>
      <c r="O11" s="1126"/>
      <c r="P11" s="3236"/>
      <c r="Q11" s="1790" t="str">
        <f t="shared" si="6"/>
        <v>容积率</v>
      </c>
      <c r="R11" s="765" t="s">
        <v>17</v>
      </c>
      <c r="S11" s="766" t="e">
        <f t="shared" si="0"/>
        <v>#N/A</v>
      </c>
      <c r="T11" s="765" t="s">
        <v>17</v>
      </c>
      <c r="U11" s="766" t="e">
        <f t="shared" si="1"/>
        <v>#N/A</v>
      </c>
      <c r="V11" s="765" t="s">
        <v>17</v>
      </c>
      <c r="W11" s="766" t="e">
        <f t="shared" si="2"/>
        <v>#N/A</v>
      </c>
      <c r="X11" s="767"/>
      <c r="Y11" s="3085"/>
      <c r="Z11" s="52" t="str">
        <f t="shared" si="7"/>
        <v>容积率</v>
      </c>
      <c r="AA11" s="768" t="e">
        <f t="shared" si="3"/>
        <v>#N/A</v>
      </c>
      <c r="AB11" s="768" t="e">
        <f t="shared" si="4"/>
        <v>#N/A</v>
      </c>
      <c r="AC11" s="2657" t="e">
        <f t="shared" si="5"/>
        <v>#N/A</v>
      </c>
    </row>
    <row r="12" spans="1:29" s="114" customFormat="1" ht="15.5">
      <c r="A12" s="426"/>
      <c r="B12" s="2587">
        <v>111</v>
      </c>
      <c r="C12" s="427"/>
      <c r="D12" s="428">
        <v>100</v>
      </c>
      <c r="E12" s="427"/>
      <c r="F12" s="131">
        <f>SUMIF(71:71,E12,72:72)-SUMIF(71:71,C12,72:72)+100</f>
        <v>100</v>
      </c>
      <c r="G12" s="2658"/>
      <c r="H12" s="131">
        <f>SUMIF(71:71,G12,72:72)-SUMIF(71:71,C12,72:72)+100</f>
        <v>100</v>
      </c>
      <c r="I12" s="427"/>
      <c r="J12" s="131">
        <f>SUMIF(71:71,I12,72:72)-SUMIF(71:71,C12,72:72)+100</f>
        <v>100</v>
      </c>
      <c r="K12" s="608"/>
      <c r="L12" s="1127"/>
      <c r="M12" s="1128"/>
      <c r="N12" s="1128"/>
      <c r="O12" s="1128"/>
      <c r="P12" s="3236"/>
      <c r="Q12" s="1790">
        <f t="shared" si="6"/>
        <v>111</v>
      </c>
      <c r="R12" s="765" t="s">
        <v>17</v>
      </c>
      <c r="S12" s="766">
        <f t="shared" si="0"/>
        <v>100</v>
      </c>
      <c r="T12" s="765" t="s">
        <v>17</v>
      </c>
      <c r="U12" s="766">
        <f t="shared" si="1"/>
        <v>100</v>
      </c>
      <c r="V12" s="765" t="s">
        <v>17</v>
      </c>
      <c r="W12" s="766">
        <f t="shared" si="2"/>
        <v>100</v>
      </c>
      <c r="X12" s="767"/>
      <c r="Y12" s="3085"/>
      <c r="Z12" s="52">
        <f t="shared" si="7"/>
        <v>111</v>
      </c>
      <c r="AA12" s="768">
        <f>D12/F12</f>
        <v>1</v>
      </c>
      <c r="AB12" s="768">
        <f>D12/H12</f>
        <v>1</v>
      </c>
      <c r="AC12" s="2657">
        <f>D12/J12</f>
        <v>1</v>
      </c>
    </row>
    <row r="13" spans="1:29" ht="15.5">
      <c r="A13" s="423"/>
      <c r="B13" s="2587">
        <v>111</v>
      </c>
      <c r="C13" s="429"/>
      <c r="D13" s="430">
        <v>100</v>
      </c>
      <c r="E13" s="427"/>
      <c r="F13" s="131">
        <f>SUMIF(73:73,E13,74:74)-SUMIF(73:73,C13,74:74)+100</f>
        <v>100</v>
      </c>
      <c r="G13" s="2658"/>
      <c r="H13" s="430">
        <f>SUMIF(73:73,G13,74:74)-SUMIF(73:73,C13,74:74)+100</f>
        <v>100</v>
      </c>
      <c r="I13" s="427"/>
      <c r="J13" s="430">
        <f>SUMIF(73:73,I13,74:74)-SUMIF(73:73,C13,74:74)+100</f>
        <v>100</v>
      </c>
      <c r="K13" s="608"/>
      <c r="L13" s="1135"/>
      <c r="M13" s="1126"/>
      <c r="N13" s="1126"/>
      <c r="O13" s="1126"/>
      <c r="P13" s="3236"/>
      <c r="Q13" s="1790">
        <f t="shared" si="6"/>
        <v>111</v>
      </c>
      <c r="R13" s="765" t="s">
        <v>17</v>
      </c>
      <c r="S13" s="766">
        <f t="shared" si="0"/>
        <v>100</v>
      </c>
      <c r="T13" s="765" t="s">
        <v>17</v>
      </c>
      <c r="U13" s="766">
        <f t="shared" si="1"/>
        <v>100</v>
      </c>
      <c r="V13" s="765" t="s">
        <v>17</v>
      </c>
      <c r="W13" s="766">
        <f t="shared" si="2"/>
        <v>100</v>
      </c>
      <c r="X13" s="767"/>
      <c r="Y13" s="3085"/>
      <c r="Z13" s="52">
        <f t="shared" si="7"/>
        <v>111</v>
      </c>
      <c r="AA13" s="768">
        <f t="shared" si="3"/>
        <v>1</v>
      </c>
      <c r="AB13" s="768">
        <f t="shared" si="4"/>
        <v>1</v>
      </c>
      <c r="AC13" s="2657">
        <f t="shared" si="5"/>
        <v>1</v>
      </c>
    </row>
    <row r="14" spans="1:29" ht="16" thickBot="1">
      <c r="A14" s="431"/>
      <c r="B14" s="2589">
        <v>111</v>
      </c>
      <c r="C14" s="432"/>
      <c r="D14" s="433">
        <v>100</v>
      </c>
      <c r="E14" s="623"/>
      <c r="F14" s="433">
        <f>SUMIF(75:75,E14,76:76)-SUMIF(75:75,C14,76:76)+100</f>
        <v>100</v>
      </c>
      <c r="G14" s="2658"/>
      <c r="H14" s="433">
        <f>SUMIF(75:75,G14,76:76)-SUMIF(75:75,C14,76:76)+100</f>
        <v>100</v>
      </c>
      <c r="I14" s="427"/>
      <c r="J14" s="433">
        <f>SUMIF(75:75,I14,76:76)-SUMIF(75:75,C14,76:76)+100</f>
        <v>100</v>
      </c>
      <c r="K14" s="608"/>
      <c r="L14" s="1135"/>
      <c r="M14" s="1126"/>
      <c r="N14" s="1126"/>
      <c r="O14" s="1126"/>
      <c r="P14" s="3236"/>
      <c r="Q14" s="1790">
        <f t="shared" si="6"/>
        <v>111</v>
      </c>
      <c r="R14" s="765" t="s">
        <v>17</v>
      </c>
      <c r="S14" s="766">
        <f t="shared" si="0"/>
        <v>100</v>
      </c>
      <c r="T14" s="765" t="s">
        <v>17</v>
      </c>
      <c r="U14" s="766">
        <f t="shared" si="1"/>
        <v>100</v>
      </c>
      <c r="V14" s="765" t="s">
        <v>17</v>
      </c>
      <c r="W14" s="766">
        <f t="shared" si="2"/>
        <v>100</v>
      </c>
      <c r="X14" s="767"/>
      <c r="Y14" s="3085"/>
      <c r="Z14" s="52">
        <f t="shared" si="7"/>
        <v>111</v>
      </c>
      <c r="AA14" s="768">
        <f t="shared" si="3"/>
        <v>1</v>
      </c>
      <c r="AB14" s="768">
        <f t="shared" si="4"/>
        <v>1</v>
      </c>
      <c r="AC14" s="2657">
        <f t="shared" si="5"/>
        <v>1</v>
      </c>
    </row>
    <row r="15" spans="1:29" ht="70">
      <c r="A15" s="435" t="s">
        <v>2553</v>
      </c>
      <c r="B15" s="624" t="s">
        <v>2681</v>
      </c>
      <c r="C15" s="2659"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5"/>
      <c r="M15" s="1126"/>
      <c r="N15" s="1126"/>
      <c r="O15" s="1126"/>
      <c r="P15" s="3279" t="s">
        <v>2554</v>
      </c>
      <c r="Q15" s="1805" t="str">
        <f t="shared" si="6"/>
        <v>办公集聚程度</v>
      </c>
      <c r="R15" s="769" t="s">
        <v>17</v>
      </c>
      <c r="S15" s="770">
        <f t="shared" si="0"/>
        <v>100</v>
      </c>
      <c r="T15" s="769" t="s">
        <v>17</v>
      </c>
      <c r="U15" s="770">
        <f t="shared" si="1"/>
        <v>100</v>
      </c>
      <c r="V15" s="769" t="s">
        <v>17</v>
      </c>
      <c r="W15" s="770">
        <f t="shared" si="2"/>
        <v>100</v>
      </c>
      <c r="X15" s="1808"/>
      <c r="Y15" s="3239" t="s">
        <v>2554</v>
      </c>
      <c r="Z15" s="1809" t="str">
        <f t="shared" si="7"/>
        <v>办公集聚程度</v>
      </c>
      <c r="AA15" s="1806">
        <f t="shared" si="3"/>
        <v>1</v>
      </c>
      <c r="AB15" s="1806">
        <f t="shared" si="4"/>
        <v>1</v>
      </c>
      <c r="AC15" s="2660">
        <f t="shared" si="5"/>
        <v>1</v>
      </c>
    </row>
    <row r="16" spans="1:29" ht="15.5">
      <c r="A16" s="423"/>
      <c r="B16" s="625"/>
      <c r="C16" s="2598"/>
      <c r="D16" s="443"/>
      <c r="E16" s="442"/>
      <c r="F16" s="443"/>
      <c r="G16" s="2598"/>
      <c r="H16" s="445"/>
      <c r="I16" s="442"/>
      <c r="J16" s="443"/>
      <c r="K16" s="610"/>
      <c r="L16" s="1135"/>
      <c r="M16" s="1126"/>
      <c r="N16" s="1126"/>
      <c r="O16" s="1126"/>
      <c r="P16" s="3280"/>
      <c r="Q16" s="1805"/>
      <c r="R16" s="769"/>
      <c r="S16" s="770"/>
      <c r="T16" s="769"/>
      <c r="U16" s="770"/>
      <c r="V16" s="769"/>
      <c r="W16" s="770"/>
      <c r="X16" s="1808"/>
      <c r="Y16" s="3240"/>
      <c r="Z16" s="1809"/>
      <c r="AA16" s="1806">
        <v>1</v>
      </c>
      <c r="AB16" s="1806">
        <v>1</v>
      </c>
      <c r="AC16" s="2660">
        <v>1</v>
      </c>
    </row>
    <row r="17" spans="1:29" ht="84">
      <c r="A17" s="423"/>
      <c r="B17" s="626" t="s">
        <v>2095</v>
      </c>
      <c r="C17" s="2661"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5"/>
      <c r="M17" s="1126"/>
      <c r="N17" s="1126"/>
      <c r="O17" s="1126"/>
      <c r="P17" s="3280"/>
      <c r="Q17" s="1805" t="str">
        <f>B17</f>
        <v>交通便捷度</v>
      </c>
      <c r="R17" s="769" t="s">
        <v>17</v>
      </c>
      <c r="S17" s="770">
        <f>F17</f>
        <v>100</v>
      </c>
      <c r="T17" s="769" t="s">
        <v>17</v>
      </c>
      <c r="U17" s="770">
        <f>H17</f>
        <v>100</v>
      </c>
      <c r="V17" s="769" t="s">
        <v>17</v>
      </c>
      <c r="W17" s="770">
        <f>J17</f>
        <v>100</v>
      </c>
      <c r="X17" s="1808"/>
      <c r="Y17" s="3240"/>
      <c r="Z17" s="1809" t="str">
        <f>Q17</f>
        <v>交通便捷度</v>
      </c>
      <c r="AA17" s="1806">
        <f t="shared" si="3"/>
        <v>1</v>
      </c>
      <c r="AB17" s="1806">
        <f t="shared" si="4"/>
        <v>1</v>
      </c>
      <c r="AC17" s="2660">
        <f t="shared" si="5"/>
        <v>1</v>
      </c>
    </row>
    <row r="18" spans="1:29" ht="15.5">
      <c r="A18" s="423"/>
      <c r="B18" s="627"/>
      <c r="C18" s="2662"/>
      <c r="D18" s="445"/>
      <c r="E18" s="2596"/>
      <c r="F18" s="445"/>
      <c r="G18" s="2597"/>
      <c r="H18" s="443"/>
      <c r="I18" s="2597"/>
      <c r="J18" s="443"/>
      <c r="K18" s="610"/>
      <c r="L18" s="1135"/>
      <c r="M18" s="1126"/>
      <c r="N18" s="1126"/>
      <c r="O18" s="1126"/>
      <c r="P18" s="3280"/>
      <c r="Q18" s="1805"/>
      <c r="R18" s="769"/>
      <c r="S18" s="770"/>
      <c r="T18" s="769"/>
      <c r="U18" s="770"/>
      <c r="V18" s="769"/>
      <c r="W18" s="770"/>
      <c r="X18" s="1808"/>
      <c r="Y18" s="3240"/>
      <c r="Z18" s="1809"/>
      <c r="AA18" s="1806">
        <v>1</v>
      </c>
      <c r="AB18" s="1806">
        <v>1</v>
      </c>
      <c r="AC18" s="2660">
        <v>1</v>
      </c>
    </row>
    <row r="19" spans="1:29" ht="42">
      <c r="A19" s="423"/>
      <c r="B19" s="626" t="s">
        <v>2682</v>
      </c>
      <c r="C19" s="2661"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5"/>
      <c r="M19" s="1126"/>
      <c r="N19" s="1126"/>
      <c r="O19" s="1126"/>
      <c r="P19" s="3280"/>
      <c r="Q19" s="1805" t="str">
        <f>B19</f>
        <v>公共配套设施</v>
      </c>
      <c r="R19" s="769" t="s">
        <v>17</v>
      </c>
      <c r="S19" s="770">
        <f>F19</f>
        <v>100</v>
      </c>
      <c r="T19" s="769" t="s">
        <v>17</v>
      </c>
      <c r="U19" s="770">
        <f>H19</f>
        <v>100</v>
      </c>
      <c r="V19" s="769" t="s">
        <v>17</v>
      </c>
      <c r="W19" s="770">
        <f>J19</f>
        <v>100</v>
      </c>
      <c r="X19" s="1808"/>
      <c r="Y19" s="3240"/>
      <c r="Z19" s="1809" t="str">
        <f>Q19</f>
        <v>公共配套设施</v>
      </c>
      <c r="AA19" s="1806">
        <f t="shared" si="3"/>
        <v>1</v>
      </c>
      <c r="AB19" s="1806">
        <f t="shared" si="4"/>
        <v>1</v>
      </c>
      <c r="AC19" s="2660">
        <f t="shared" si="5"/>
        <v>1</v>
      </c>
    </row>
    <row r="20" spans="1:29" ht="15.5">
      <c r="A20" s="423"/>
      <c r="B20" s="627"/>
      <c r="C20" s="2598"/>
      <c r="D20" s="443"/>
      <c r="E20" s="2591"/>
      <c r="F20" s="443"/>
      <c r="G20" s="2592"/>
      <c r="H20" s="443"/>
      <c r="I20" s="2592"/>
      <c r="J20" s="443"/>
      <c r="K20" s="610"/>
      <c r="L20" s="1135"/>
      <c r="M20" s="1126"/>
      <c r="N20" s="1126"/>
      <c r="O20" s="1126"/>
      <c r="P20" s="3280"/>
      <c r="Q20" s="1805"/>
      <c r="R20" s="769"/>
      <c r="S20" s="770"/>
      <c r="T20" s="769"/>
      <c r="U20" s="770"/>
      <c r="V20" s="769"/>
      <c r="W20" s="770"/>
      <c r="X20" s="1808"/>
      <c r="Y20" s="3240"/>
      <c r="Z20" s="1809"/>
      <c r="AA20" s="1806">
        <v>1</v>
      </c>
      <c r="AB20" s="1806">
        <v>1</v>
      </c>
      <c r="AC20" s="2660">
        <v>1</v>
      </c>
    </row>
    <row r="21" spans="1:29" ht="28">
      <c r="A21" s="423"/>
      <c r="B21" s="628" t="s">
        <v>2683</v>
      </c>
      <c r="C21" s="2661"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5"/>
      <c r="M21" s="1126"/>
      <c r="N21" s="1126"/>
      <c r="O21" s="1126"/>
      <c r="P21" s="3280"/>
      <c r="Q21" s="1805" t="str">
        <f>B21</f>
        <v>基础设施水平</v>
      </c>
      <c r="R21" s="769" t="s">
        <v>17</v>
      </c>
      <c r="S21" s="770">
        <f>F21</f>
        <v>100</v>
      </c>
      <c r="T21" s="769" t="s">
        <v>17</v>
      </c>
      <c r="U21" s="770">
        <f>H21</f>
        <v>100</v>
      </c>
      <c r="V21" s="769" t="s">
        <v>17</v>
      </c>
      <c r="W21" s="770">
        <f>J21</f>
        <v>100</v>
      </c>
      <c r="X21" s="1808"/>
      <c r="Y21" s="3240"/>
      <c r="Z21" s="1809" t="str">
        <f>Q21</f>
        <v>基础设施水平</v>
      </c>
      <c r="AA21" s="1806">
        <f t="shared" ref="AA21" si="8">D21/F21</f>
        <v>1</v>
      </c>
      <c r="AB21" s="1806">
        <f t="shared" ref="AB21" si="9">D21/H21</f>
        <v>1</v>
      </c>
      <c r="AC21" s="2660">
        <f t="shared" ref="AC21" si="10">D21/J21</f>
        <v>1</v>
      </c>
    </row>
    <row r="22" spans="1:29" ht="15.5">
      <c r="A22" s="423"/>
      <c r="B22" s="628"/>
      <c r="C22" s="2662"/>
      <c r="D22" s="443"/>
      <c r="E22" s="442"/>
      <c r="F22" s="443"/>
      <c r="G22" s="2598"/>
      <c r="H22" s="443"/>
      <c r="I22" s="2598"/>
      <c r="J22" s="443"/>
      <c r="K22" s="1378"/>
      <c r="L22" s="1135"/>
      <c r="M22" s="1126"/>
      <c r="N22" s="1126"/>
      <c r="O22" s="1126"/>
      <c r="P22" s="3280"/>
      <c r="Q22" s="1805"/>
      <c r="R22" s="769"/>
      <c r="S22" s="770"/>
      <c r="T22" s="769"/>
      <c r="U22" s="770"/>
      <c r="V22" s="769"/>
      <c r="W22" s="770"/>
      <c r="X22" s="1808"/>
      <c r="Y22" s="3240"/>
      <c r="Z22" s="1809"/>
      <c r="AA22" s="1806">
        <v>1</v>
      </c>
      <c r="AB22" s="1806">
        <v>1</v>
      </c>
      <c r="AC22" s="2660">
        <v>1</v>
      </c>
    </row>
    <row r="23" spans="1:29" ht="56">
      <c r="A23" s="423"/>
      <c r="B23" s="626" t="s">
        <v>2684</v>
      </c>
      <c r="C23" s="2661"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5"/>
      <c r="M23" s="1126"/>
      <c r="N23" s="1126"/>
      <c r="O23" s="1126"/>
      <c r="P23" s="3280"/>
      <c r="Q23" s="1805" t="str">
        <f>B23</f>
        <v>环境质量</v>
      </c>
      <c r="R23" s="769" t="s">
        <v>17</v>
      </c>
      <c r="S23" s="770">
        <f>F23</f>
        <v>100</v>
      </c>
      <c r="T23" s="769" t="s">
        <v>17</v>
      </c>
      <c r="U23" s="770">
        <f>H23</f>
        <v>100</v>
      </c>
      <c r="V23" s="769" t="s">
        <v>17</v>
      </c>
      <c r="W23" s="770">
        <f>J23</f>
        <v>100</v>
      </c>
      <c r="X23" s="1808"/>
      <c r="Y23" s="3240"/>
      <c r="Z23" s="1809" t="str">
        <f>Q23</f>
        <v>环境质量</v>
      </c>
      <c r="AA23" s="1806">
        <f t="shared" si="3"/>
        <v>1</v>
      </c>
      <c r="AB23" s="1806">
        <f t="shared" si="4"/>
        <v>1</v>
      </c>
      <c r="AC23" s="2660">
        <f t="shared" si="5"/>
        <v>1</v>
      </c>
    </row>
    <row r="24" spans="1:29" ht="15.5">
      <c r="A24" s="423"/>
      <c r="B24" s="628"/>
      <c r="C24" s="2598"/>
      <c r="D24" s="443"/>
      <c r="E24" s="2591"/>
      <c r="F24" s="443"/>
      <c r="G24" s="2592"/>
      <c r="H24" s="443"/>
      <c r="I24" s="2592"/>
      <c r="J24" s="443"/>
      <c r="K24" s="610"/>
      <c r="L24" s="1135"/>
      <c r="M24" s="1126"/>
      <c r="N24" s="1126"/>
      <c r="O24" s="1126"/>
      <c r="P24" s="3280"/>
      <c r="Q24" s="1805"/>
      <c r="R24" s="769"/>
      <c r="S24" s="770"/>
      <c r="T24" s="769"/>
      <c r="U24" s="770"/>
      <c r="V24" s="769"/>
      <c r="W24" s="770"/>
      <c r="X24" s="1808"/>
      <c r="Y24" s="3240"/>
      <c r="Z24" s="1809"/>
      <c r="AA24" s="1806">
        <v>1</v>
      </c>
      <c r="AB24" s="1806">
        <v>1</v>
      </c>
      <c r="AC24" s="2660">
        <v>1</v>
      </c>
    </row>
    <row r="25" spans="1:29" ht="28">
      <c r="A25" s="399"/>
      <c r="B25" s="626" t="s">
        <v>2685</v>
      </c>
      <c r="C25" s="2602"/>
      <c r="D25" s="430">
        <v>100</v>
      </c>
      <c r="E25" s="429"/>
      <c r="F25" s="430">
        <f>SUMIF(87:87,E26,88:88)-SUMIF(87:87,C26,88:88)+100</f>
        <v>100</v>
      </c>
      <c r="G25" s="2602"/>
      <c r="H25" s="430">
        <f>SUMIF(87:87,G26,88:88)-SUMIF(87:87,C26,88:88)+100</f>
        <v>100</v>
      </c>
      <c r="I25" s="429"/>
      <c r="J25" s="430">
        <f>SUMIF(87:87,I26,88:88)-SUMIF(87:87,C26,88:88)+100</f>
        <v>100</v>
      </c>
      <c r="K25" s="609"/>
      <c r="L25" s="1135"/>
      <c r="M25" s="1126"/>
      <c r="N25" s="1126"/>
      <c r="O25" s="1126"/>
      <c r="P25" s="3280"/>
      <c r="Q25" s="1805" t="str">
        <f>B25</f>
        <v>毗邻道路的类型与等级</v>
      </c>
      <c r="R25" s="769" t="s">
        <v>17</v>
      </c>
      <c r="S25" s="770">
        <f>F25</f>
        <v>100</v>
      </c>
      <c r="T25" s="769" t="s">
        <v>17</v>
      </c>
      <c r="U25" s="770">
        <f>H25</f>
        <v>100</v>
      </c>
      <c r="V25" s="769" t="s">
        <v>17</v>
      </c>
      <c r="W25" s="770">
        <f>J25</f>
        <v>100</v>
      </c>
      <c r="X25" s="1808"/>
      <c r="Y25" s="3240"/>
      <c r="Z25" s="1809" t="str">
        <f>Q25</f>
        <v>毗邻道路的类型与等级</v>
      </c>
      <c r="AA25" s="1806">
        <f t="shared" si="3"/>
        <v>1</v>
      </c>
      <c r="AB25" s="1806">
        <f t="shared" si="4"/>
        <v>1</v>
      </c>
      <c r="AC25" s="2660">
        <f t="shared" si="5"/>
        <v>1</v>
      </c>
    </row>
    <row r="26" spans="1:29" ht="15.5">
      <c r="A26" s="399"/>
      <c r="B26" s="627"/>
      <c r="C26" s="629"/>
      <c r="D26" s="430"/>
      <c r="E26" s="611"/>
      <c r="F26" s="430"/>
      <c r="G26" s="629"/>
      <c r="H26" s="430"/>
      <c r="I26" s="611"/>
      <c r="J26" s="430"/>
      <c r="K26" s="610"/>
      <c r="L26" s="1135"/>
      <c r="M26" s="1126"/>
      <c r="N26" s="1126"/>
      <c r="O26" s="1126"/>
      <c r="P26" s="3280"/>
      <c r="Q26" s="1805"/>
      <c r="R26" s="769"/>
      <c r="S26" s="770"/>
      <c r="T26" s="769"/>
      <c r="U26" s="770"/>
      <c r="V26" s="769"/>
      <c r="W26" s="770"/>
      <c r="X26" s="1808"/>
      <c r="Y26" s="3240"/>
      <c r="Z26" s="1809"/>
      <c r="AA26" s="1806">
        <v>1</v>
      </c>
      <c r="AB26" s="1806">
        <v>1</v>
      </c>
      <c r="AC26" s="2660">
        <v>1</v>
      </c>
    </row>
    <row r="27" spans="1:29" ht="15.5">
      <c r="A27" s="423"/>
      <c r="B27" s="627" t="s">
        <v>2653</v>
      </c>
      <c r="C27" s="629"/>
      <c r="D27" s="430">
        <v>100</v>
      </c>
      <c r="E27" s="611"/>
      <c r="F27" s="430">
        <f>SUMIF(89:89,E27,90:90)-SUMIF(89:89,C27,90:90)+100</f>
        <v>100</v>
      </c>
      <c r="G27" s="629"/>
      <c r="H27" s="430">
        <f>SUMIF(89:89,G27,90:90)-SUMIF(89:89,C27,90:90)+100</f>
        <v>100</v>
      </c>
      <c r="I27" s="611"/>
      <c r="J27" s="430">
        <f>SUMIF(89:89,I27,90:90)-SUMIF(89:89,C27,90:90)+100</f>
        <v>100</v>
      </c>
      <c r="K27" s="607"/>
      <c r="L27" s="1135"/>
      <c r="M27" s="1126"/>
      <c r="N27" s="1126"/>
      <c r="O27" s="1126"/>
      <c r="P27" s="3280"/>
      <c r="Q27" s="1805" t="str">
        <f t="shared" ref="Q27:Q47" si="11">B27</f>
        <v>楼层</v>
      </c>
      <c r="R27" s="769" t="s">
        <v>17</v>
      </c>
      <c r="S27" s="770">
        <f>F27</f>
        <v>100</v>
      </c>
      <c r="T27" s="769" t="s">
        <v>17</v>
      </c>
      <c r="U27" s="770">
        <f>H27</f>
        <v>100</v>
      </c>
      <c r="V27" s="769" t="s">
        <v>17</v>
      </c>
      <c r="W27" s="770">
        <f>J27</f>
        <v>100</v>
      </c>
      <c r="X27" s="1808"/>
      <c r="Y27" s="3240"/>
      <c r="Z27" s="1809" t="str">
        <f>Q27</f>
        <v>楼层</v>
      </c>
      <c r="AA27" s="1806">
        <f t="shared" si="3"/>
        <v>1</v>
      </c>
      <c r="AB27" s="1806">
        <f t="shared" si="4"/>
        <v>1</v>
      </c>
      <c r="AC27" s="2660">
        <f t="shared" si="5"/>
        <v>1</v>
      </c>
    </row>
    <row r="28" spans="1:29" s="114" customFormat="1" ht="15.5">
      <c r="A28" s="426"/>
      <c r="B28" s="626" t="s">
        <v>2686</v>
      </c>
      <c r="C28" s="2663"/>
      <c r="D28" s="457">
        <v>100</v>
      </c>
      <c r="E28" s="2651"/>
      <c r="F28" s="457">
        <f>SUMIF(91:91,E28,92:92)-SUMIF(91:91,C28,92:92)+100</f>
        <v>100</v>
      </c>
      <c r="G28" s="2663"/>
      <c r="H28" s="457">
        <f>SUMIF(91:91,G28,92:92)-SUMIF(91:91,C28,92:92)+100</f>
        <v>100</v>
      </c>
      <c r="I28" s="2651"/>
      <c r="J28" s="457">
        <f>SUMIF(91:91,I28,92:92)-SUMIF(91:91,C28,92:92)+100</f>
        <v>100</v>
      </c>
      <c r="K28" s="607"/>
      <c r="L28" s="1127"/>
      <c r="M28" s="1128"/>
      <c r="N28" s="1128"/>
      <c r="O28" s="1128"/>
      <c r="P28" s="3280"/>
      <c r="Q28" s="1790" t="str">
        <f t="shared" si="11"/>
        <v>朝向</v>
      </c>
      <c r="R28" s="765" t="s">
        <v>17</v>
      </c>
      <c r="S28" s="766">
        <f>F28</f>
        <v>100</v>
      </c>
      <c r="T28" s="765" t="s">
        <v>17</v>
      </c>
      <c r="U28" s="766">
        <f>H28</f>
        <v>100</v>
      </c>
      <c r="V28" s="765" t="s">
        <v>17</v>
      </c>
      <c r="W28" s="766">
        <f>J28</f>
        <v>100</v>
      </c>
      <c r="X28" s="767"/>
      <c r="Y28" s="3240"/>
      <c r="Z28" s="52" t="str">
        <f>Q28</f>
        <v>朝向</v>
      </c>
      <c r="AA28" s="1806">
        <f>D28/F28</f>
        <v>1</v>
      </c>
      <c r="AB28" s="1806">
        <f>D28/H28</f>
        <v>1</v>
      </c>
      <c r="AC28" s="2660">
        <f>D28/J28</f>
        <v>1</v>
      </c>
    </row>
    <row r="29" spans="1:29" ht="15.5">
      <c r="A29" s="423"/>
      <c r="B29" s="2664">
        <v>111</v>
      </c>
      <c r="C29" s="2602"/>
      <c r="D29" s="430">
        <v>100</v>
      </c>
      <c r="E29" s="427"/>
      <c r="F29" s="430">
        <f>SUMIF(93:93,E29,94:94)-SUMIF(93:93,C29,94:94)+100</f>
        <v>100</v>
      </c>
      <c r="G29" s="2658"/>
      <c r="H29" s="430">
        <f>SUMIF(93:93,G29,94:94)-SUMIF(93:93,C29,94:94)+100</f>
        <v>100</v>
      </c>
      <c r="I29" s="427"/>
      <c r="J29" s="430">
        <f>SUMIF(93:93,I29,94:94)-SUMIF(93:93,C29,94:94)+100</f>
        <v>100</v>
      </c>
      <c r="K29" s="608"/>
      <c r="L29" s="1135"/>
      <c r="M29" s="1126"/>
      <c r="N29" s="1126"/>
      <c r="O29" s="1126"/>
      <c r="P29" s="3280"/>
      <c r="Q29" s="1805">
        <f t="shared" si="11"/>
        <v>111</v>
      </c>
      <c r="R29" s="769" t="s">
        <v>17</v>
      </c>
      <c r="S29" s="770">
        <f t="shared" ref="S29:S47" si="12">F29</f>
        <v>100</v>
      </c>
      <c r="T29" s="769" t="s">
        <v>17</v>
      </c>
      <c r="U29" s="770">
        <f t="shared" ref="U29:U47" si="13">H29</f>
        <v>100</v>
      </c>
      <c r="V29" s="769" t="s">
        <v>17</v>
      </c>
      <c r="W29" s="770">
        <f t="shared" ref="W29:W47" si="14">J29</f>
        <v>100</v>
      </c>
      <c r="X29" s="1808"/>
      <c r="Y29" s="3240"/>
      <c r="Z29" s="1809">
        <f t="shared" ref="Z29:Z47" si="15">Q29</f>
        <v>111</v>
      </c>
      <c r="AA29" s="1806">
        <f t="shared" si="3"/>
        <v>1</v>
      </c>
      <c r="AB29" s="1806">
        <f t="shared" si="4"/>
        <v>1</v>
      </c>
      <c r="AC29" s="2660">
        <f t="shared" si="5"/>
        <v>1</v>
      </c>
    </row>
    <row r="30" spans="1:29" ht="15.5">
      <c r="A30" s="423"/>
      <c r="B30" s="2664">
        <v>111</v>
      </c>
      <c r="C30" s="2602"/>
      <c r="D30" s="430">
        <v>100</v>
      </c>
      <c r="E30" s="427"/>
      <c r="F30" s="430">
        <f>SUMIF(95:95,E30,96:96)-SUMIF(95:95,C30,96:96)+100</f>
        <v>100</v>
      </c>
      <c r="G30" s="2658"/>
      <c r="H30" s="430">
        <f>SUMIF(95:95,G30,96:96)-SUMIF(95:95,C30,96:96)+100</f>
        <v>100</v>
      </c>
      <c r="I30" s="427"/>
      <c r="J30" s="430">
        <f>SUMIF(95:95,I30,96:96)-SUMIF(95:95,C30,96:96)+100</f>
        <v>100</v>
      </c>
      <c r="K30" s="608"/>
      <c r="L30" s="1135"/>
      <c r="M30" s="1126"/>
      <c r="N30" s="1126"/>
      <c r="O30" s="1126"/>
      <c r="P30" s="3280"/>
      <c r="Q30" s="1805">
        <f t="shared" si="11"/>
        <v>111</v>
      </c>
      <c r="R30" s="769" t="s">
        <v>17</v>
      </c>
      <c r="S30" s="770">
        <f t="shared" si="12"/>
        <v>100</v>
      </c>
      <c r="T30" s="769" t="s">
        <v>17</v>
      </c>
      <c r="U30" s="770">
        <f t="shared" si="13"/>
        <v>100</v>
      </c>
      <c r="V30" s="769" t="s">
        <v>17</v>
      </c>
      <c r="W30" s="770">
        <f t="shared" si="14"/>
        <v>100</v>
      </c>
      <c r="X30" s="1808"/>
      <c r="Y30" s="3240"/>
      <c r="Z30" s="1809">
        <f t="shared" si="15"/>
        <v>111</v>
      </c>
      <c r="AA30" s="1806">
        <f t="shared" si="3"/>
        <v>1</v>
      </c>
      <c r="AB30" s="1806">
        <f t="shared" si="4"/>
        <v>1</v>
      </c>
      <c r="AC30" s="2660">
        <f t="shared" si="5"/>
        <v>1</v>
      </c>
    </row>
    <row r="31" spans="1:29" ht="15.5">
      <c r="A31" s="423"/>
      <c r="B31" s="2664">
        <v>111</v>
      </c>
      <c r="C31" s="2602"/>
      <c r="D31" s="430">
        <v>100</v>
      </c>
      <c r="E31" s="427"/>
      <c r="F31" s="430">
        <f>SUMIF(97:97,E31,98:98)-SUMIF(97:97,C31,98:98)+100</f>
        <v>100</v>
      </c>
      <c r="G31" s="2658"/>
      <c r="H31" s="430">
        <f>SUMIF(97:97,G31,98:98)-SUMIF(97:97,C31,98:98)+100</f>
        <v>100</v>
      </c>
      <c r="I31" s="427"/>
      <c r="J31" s="430">
        <f>SUMIF(97:97,I31,98:98)-SUMIF(97:97,C31,98:98)+100</f>
        <v>100</v>
      </c>
      <c r="K31" s="608"/>
      <c r="L31" s="1135"/>
      <c r="M31" s="1126"/>
      <c r="N31" s="1126"/>
      <c r="O31" s="1126"/>
      <c r="P31" s="3280"/>
      <c r="Q31" s="1805">
        <f t="shared" si="11"/>
        <v>111</v>
      </c>
      <c r="R31" s="769" t="s">
        <v>17</v>
      </c>
      <c r="S31" s="770">
        <f t="shared" si="12"/>
        <v>100</v>
      </c>
      <c r="T31" s="769" t="s">
        <v>17</v>
      </c>
      <c r="U31" s="770">
        <f t="shared" si="13"/>
        <v>100</v>
      </c>
      <c r="V31" s="769" t="s">
        <v>17</v>
      </c>
      <c r="W31" s="770">
        <f t="shared" si="14"/>
        <v>100</v>
      </c>
      <c r="X31" s="1808"/>
      <c r="Y31" s="3240"/>
      <c r="Z31" s="1809">
        <f t="shared" si="15"/>
        <v>111</v>
      </c>
      <c r="AA31" s="1806">
        <f t="shared" si="3"/>
        <v>1</v>
      </c>
      <c r="AB31" s="1806">
        <f t="shared" si="4"/>
        <v>1</v>
      </c>
      <c r="AC31" s="2660">
        <f t="shared" si="5"/>
        <v>1</v>
      </c>
    </row>
    <row r="32" spans="1:29" ht="16" thickBot="1">
      <c r="A32" s="431"/>
      <c r="B32" s="630">
        <v>111</v>
      </c>
      <c r="C32" s="2603"/>
      <c r="D32" s="433">
        <v>100</v>
      </c>
      <c r="E32" s="623"/>
      <c r="F32" s="433">
        <f>SUMIF(99:99,E32,100:100)-SUMIF(99:99,C32,100:100)+100</f>
        <v>100</v>
      </c>
      <c r="G32" s="2658"/>
      <c r="H32" s="433">
        <f>SUMIF(99:99,G32,100:100)-SUMIF(99:99,C32,100:100)+100</f>
        <v>100</v>
      </c>
      <c r="I32" s="427"/>
      <c r="J32" s="433">
        <f>SUMIF(99:99,I32,100:100)-SUMIF(99:99,C32,100:100)+100</f>
        <v>100</v>
      </c>
      <c r="K32" s="608"/>
      <c r="L32" s="1135"/>
      <c r="M32" s="1126"/>
      <c r="N32" s="1126"/>
      <c r="O32" s="1126"/>
      <c r="P32" s="3280"/>
      <c r="Q32" s="1805">
        <f t="shared" si="11"/>
        <v>111</v>
      </c>
      <c r="R32" s="769" t="s">
        <v>17</v>
      </c>
      <c r="S32" s="770">
        <f t="shared" si="12"/>
        <v>100</v>
      </c>
      <c r="T32" s="769" t="s">
        <v>17</v>
      </c>
      <c r="U32" s="770">
        <f t="shared" si="13"/>
        <v>100</v>
      </c>
      <c r="V32" s="769" t="s">
        <v>17</v>
      </c>
      <c r="W32" s="770">
        <f t="shared" si="14"/>
        <v>100</v>
      </c>
      <c r="X32" s="1808"/>
      <c r="Y32" s="3240"/>
      <c r="Z32" s="1809">
        <f t="shared" si="15"/>
        <v>111</v>
      </c>
      <c r="AA32" s="1806">
        <f t="shared" si="3"/>
        <v>1</v>
      </c>
      <c r="AB32" s="1806">
        <f t="shared" si="4"/>
        <v>1</v>
      </c>
      <c r="AC32" s="2660">
        <f t="shared" si="5"/>
        <v>1</v>
      </c>
    </row>
    <row r="33" spans="1:29" ht="15.5">
      <c r="A33" s="435" t="s">
        <v>2557</v>
      </c>
      <c r="B33" s="68" t="s">
        <v>2687</v>
      </c>
      <c r="C33" s="2665"/>
      <c r="D33" s="462">
        <v>100</v>
      </c>
      <c r="E33" s="2665"/>
      <c r="F33" s="456">
        <f>SUMIF(101:101,E33,102:102)-SUMIF(101:101,C33,102:102)+100</f>
        <v>100</v>
      </c>
      <c r="G33" s="2665"/>
      <c r="H33" s="430">
        <f>SUMIF(101:101,G33,102:102)-SUMIF(101:101,C33,102:102)+100</f>
        <v>100</v>
      </c>
      <c r="I33" s="2665"/>
      <c r="J33" s="462">
        <f>SUMIF(101:101,I33,102:102)-SUMIF(101:101,C33,102:102)+100</f>
        <v>100</v>
      </c>
      <c r="K33" s="607"/>
      <c r="L33" s="1135"/>
      <c r="M33" s="1126"/>
      <c r="N33" s="1126"/>
      <c r="O33" s="1126"/>
      <c r="P33" s="3275" t="s">
        <v>2559</v>
      </c>
      <c r="Q33" s="1805" t="str">
        <f t="shared" si="11"/>
        <v>建筑类型</v>
      </c>
      <c r="R33" s="769" t="s">
        <v>17</v>
      </c>
      <c r="S33" s="770">
        <f t="shared" si="12"/>
        <v>100</v>
      </c>
      <c r="T33" s="769" t="s">
        <v>17</v>
      </c>
      <c r="U33" s="770">
        <f t="shared" si="13"/>
        <v>100</v>
      </c>
      <c r="V33" s="769" t="s">
        <v>17</v>
      </c>
      <c r="W33" s="770">
        <f t="shared" si="14"/>
        <v>100</v>
      </c>
      <c r="X33" s="1808"/>
      <c r="Y33" s="3242" t="s">
        <v>2559</v>
      </c>
      <c r="Z33" s="1809" t="str">
        <f t="shared" si="15"/>
        <v>建筑类型</v>
      </c>
      <c r="AA33" s="1806">
        <f t="shared" si="3"/>
        <v>1</v>
      </c>
      <c r="AB33" s="1806">
        <f t="shared" si="4"/>
        <v>1</v>
      </c>
      <c r="AC33" s="2660">
        <f t="shared" si="5"/>
        <v>1</v>
      </c>
    </row>
    <row r="34" spans="1:29" s="466" customFormat="1" ht="15.5">
      <c r="A34" s="463"/>
      <c r="B34" s="417" t="s">
        <v>2560</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3"/>
      <c r="M34" s="1136"/>
      <c r="N34" s="1136"/>
      <c r="O34" s="1136"/>
      <c r="P34" s="3276"/>
      <c r="Q34" s="771" t="str">
        <f t="shared" si="11"/>
        <v>项目建筑规模</v>
      </c>
      <c r="R34" s="772" t="s">
        <v>17</v>
      </c>
      <c r="S34" s="773" t="e">
        <f t="shared" si="12"/>
        <v>#N/A</v>
      </c>
      <c r="T34" s="772" t="s">
        <v>17</v>
      </c>
      <c r="U34" s="773" t="e">
        <f t="shared" si="13"/>
        <v>#N/A</v>
      </c>
      <c r="V34" s="772" t="s">
        <v>17</v>
      </c>
      <c r="W34" s="773" t="e">
        <f t="shared" si="14"/>
        <v>#N/A</v>
      </c>
      <c r="X34" s="774"/>
      <c r="Y34" s="3242"/>
      <c r="Z34" s="775" t="str">
        <f t="shared" si="15"/>
        <v>项目建筑规模</v>
      </c>
      <c r="AA34" s="1806" t="e">
        <f t="shared" si="3"/>
        <v>#N/A</v>
      </c>
      <c r="AB34" s="1806" t="e">
        <f t="shared" si="4"/>
        <v>#N/A</v>
      </c>
      <c r="AC34" s="2660" t="e">
        <f t="shared" si="5"/>
        <v>#N/A</v>
      </c>
    </row>
    <row r="35" spans="1:29" ht="15.5">
      <c r="A35" s="467"/>
      <c r="B35" s="417" t="s">
        <v>2561</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5"/>
      <c r="M35" s="1126"/>
      <c r="N35" s="1126"/>
      <c r="O35" s="1126"/>
      <c r="P35" s="3276"/>
      <c r="Q35" s="1805" t="str">
        <f t="shared" si="11"/>
        <v>建筑结构</v>
      </c>
      <c r="R35" s="769" t="s">
        <v>17</v>
      </c>
      <c r="S35" s="770">
        <f t="shared" si="12"/>
        <v>100</v>
      </c>
      <c r="T35" s="769" t="s">
        <v>17</v>
      </c>
      <c r="U35" s="770">
        <f t="shared" si="13"/>
        <v>100</v>
      </c>
      <c r="V35" s="769" t="s">
        <v>17</v>
      </c>
      <c r="W35" s="770">
        <f t="shared" si="14"/>
        <v>100</v>
      </c>
      <c r="X35" s="1808"/>
      <c r="Y35" s="3242"/>
      <c r="Z35" s="1809" t="str">
        <f t="shared" si="15"/>
        <v>建筑结构</v>
      </c>
      <c r="AA35" s="1806">
        <f t="shared" si="3"/>
        <v>1</v>
      </c>
      <c r="AB35" s="1806">
        <f t="shared" si="4"/>
        <v>1</v>
      </c>
      <c r="AC35" s="2660">
        <f t="shared" si="5"/>
        <v>1</v>
      </c>
    </row>
    <row r="36" spans="1:29" ht="15.5">
      <c r="A36" s="467"/>
      <c r="B36" s="417" t="s">
        <v>2655</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5"/>
      <c r="M36" s="1126"/>
      <c r="N36" s="1126"/>
      <c r="O36" s="1126"/>
      <c r="P36" s="3276"/>
      <c r="Q36" s="1805" t="str">
        <f t="shared" si="11"/>
        <v>公共部分装修</v>
      </c>
      <c r="R36" s="769" t="s">
        <v>17</v>
      </c>
      <c r="S36" s="770">
        <f t="shared" si="12"/>
        <v>100</v>
      </c>
      <c r="T36" s="769" t="s">
        <v>17</v>
      </c>
      <c r="U36" s="770">
        <f t="shared" si="13"/>
        <v>100</v>
      </c>
      <c r="V36" s="769" t="s">
        <v>17</v>
      </c>
      <c r="W36" s="770">
        <f t="shared" si="14"/>
        <v>100</v>
      </c>
      <c r="X36" s="1808"/>
      <c r="Y36" s="3242"/>
      <c r="Z36" s="1809" t="str">
        <f t="shared" si="15"/>
        <v>公共部分装修</v>
      </c>
      <c r="AA36" s="1806">
        <f t="shared" si="3"/>
        <v>1</v>
      </c>
      <c r="AB36" s="1806">
        <f t="shared" si="4"/>
        <v>1</v>
      </c>
      <c r="AC36" s="2660">
        <f t="shared" si="5"/>
        <v>1</v>
      </c>
    </row>
    <row r="37" spans="1:29" ht="15.5">
      <c r="A37" s="467"/>
      <c r="B37" s="417" t="s">
        <v>2656</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5"/>
      <c r="M37" s="1126"/>
      <c r="N37" s="1126"/>
      <c r="O37" s="1126"/>
      <c r="P37" s="3276"/>
      <c r="Q37" s="1805" t="str">
        <f t="shared" si="11"/>
        <v>成新度</v>
      </c>
      <c r="R37" s="769" t="s">
        <v>17</v>
      </c>
      <c r="S37" s="770" t="e">
        <f t="shared" si="12"/>
        <v>#N/A</v>
      </c>
      <c r="T37" s="769" t="s">
        <v>17</v>
      </c>
      <c r="U37" s="770" t="e">
        <f t="shared" si="13"/>
        <v>#N/A</v>
      </c>
      <c r="V37" s="769" t="s">
        <v>17</v>
      </c>
      <c r="W37" s="770" t="e">
        <f t="shared" si="14"/>
        <v>#N/A</v>
      </c>
      <c r="X37" s="1808"/>
      <c r="Y37" s="3242"/>
      <c r="Z37" s="1809" t="str">
        <f t="shared" si="15"/>
        <v>成新度</v>
      </c>
      <c r="AA37" s="1806" t="e">
        <f t="shared" si="3"/>
        <v>#N/A</v>
      </c>
      <c r="AB37" s="1806" t="e">
        <f t="shared" si="4"/>
        <v>#N/A</v>
      </c>
      <c r="AC37" s="2660" t="e">
        <f t="shared" si="5"/>
        <v>#N/A</v>
      </c>
    </row>
    <row r="38" spans="1:29" s="114" customFormat="1" ht="15.5">
      <c r="A38" s="468"/>
      <c r="B38" s="417" t="s">
        <v>2688</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7"/>
      <c r="M38" s="1128"/>
      <c r="N38" s="1128"/>
      <c r="O38" s="1128"/>
      <c r="P38" s="3276"/>
      <c r="Q38" s="1790" t="str">
        <f t="shared" si="11"/>
        <v>写字楼等级</v>
      </c>
      <c r="R38" s="765" t="s">
        <v>17</v>
      </c>
      <c r="S38" s="766">
        <f t="shared" si="12"/>
        <v>100</v>
      </c>
      <c r="T38" s="765" t="s">
        <v>17</v>
      </c>
      <c r="U38" s="766">
        <f t="shared" si="13"/>
        <v>100</v>
      </c>
      <c r="V38" s="765" t="s">
        <v>17</v>
      </c>
      <c r="W38" s="766">
        <f t="shared" si="14"/>
        <v>100</v>
      </c>
      <c r="X38" s="767"/>
      <c r="Y38" s="3242"/>
      <c r="Z38" s="52" t="str">
        <f t="shared" si="15"/>
        <v>写字楼等级</v>
      </c>
      <c r="AA38" s="768">
        <f t="shared" si="3"/>
        <v>1</v>
      </c>
      <c r="AB38" s="768">
        <f t="shared" si="4"/>
        <v>1</v>
      </c>
      <c r="AC38" s="2657">
        <f t="shared" si="5"/>
        <v>1</v>
      </c>
    </row>
    <row r="39" spans="1:29" ht="15.5">
      <c r="A39" s="467"/>
      <c r="B39" s="417" t="s">
        <v>2689</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5"/>
      <c r="M39" s="1126"/>
      <c r="N39" s="1126"/>
      <c r="O39" s="1126"/>
      <c r="P39" s="3276" t="s">
        <v>2559</v>
      </c>
      <c r="Q39" s="1805" t="str">
        <f t="shared" si="11"/>
        <v>物业管理</v>
      </c>
      <c r="R39" s="769" t="s">
        <v>17</v>
      </c>
      <c r="S39" s="770">
        <f t="shared" si="12"/>
        <v>100</v>
      </c>
      <c r="T39" s="769" t="s">
        <v>17</v>
      </c>
      <c r="U39" s="770">
        <f t="shared" si="13"/>
        <v>100</v>
      </c>
      <c r="V39" s="769" t="s">
        <v>17</v>
      </c>
      <c r="W39" s="770">
        <f t="shared" si="14"/>
        <v>100</v>
      </c>
      <c r="X39" s="1808"/>
      <c r="Y39" s="3242" t="s">
        <v>2559</v>
      </c>
      <c r="Z39" s="1809" t="str">
        <f t="shared" si="15"/>
        <v>物业管理</v>
      </c>
      <c r="AA39" s="1806">
        <f t="shared" si="3"/>
        <v>1</v>
      </c>
      <c r="AB39" s="1806">
        <f t="shared" si="4"/>
        <v>1</v>
      </c>
      <c r="AC39" s="2660">
        <f t="shared" si="5"/>
        <v>1</v>
      </c>
    </row>
    <row r="40" spans="1:29" ht="15.5">
      <c r="A40" s="467"/>
      <c r="B40" s="417" t="s">
        <v>2657</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5"/>
      <c r="M40" s="1126"/>
      <c r="N40" s="1126"/>
      <c r="O40" s="1126"/>
      <c r="P40" s="3276"/>
      <c r="Q40" s="1805" t="str">
        <f t="shared" si="11"/>
        <v>市政基础设施</v>
      </c>
      <c r="R40" s="769" t="s">
        <v>17</v>
      </c>
      <c r="S40" s="770">
        <f t="shared" si="12"/>
        <v>100</v>
      </c>
      <c r="T40" s="769" t="s">
        <v>17</v>
      </c>
      <c r="U40" s="770">
        <f t="shared" si="13"/>
        <v>100</v>
      </c>
      <c r="V40" s="769" t="s">
        <v>17</v>
      </c>
      <c r="W40" s="770">
        <f t="shared" si="14"/>
        <v>100</v>
      </c>
      <c r="X40" s="1808"/>
      <c r="Y40" s="3242"/>
      <c r="Z40" s="1809" t="str">
        <f t="shared" si="15"/>
        <v>市政基础设施</v>
      </c>
      <c r="AA40" s="1806">
        <f t="shared" si="3"/>
        <v>1</v>
      </c>
      <c r="AB40" s="1806">
        <f t="shared" si="4"/>
        <v>1</v>
      </c>
      <c r="AC40" s="2660">
        <f t="shared" si="5"/>
        <v>1</v>
      </c>
    </row>
    <row r="41" spans="1:29" ht="15.5">
      <c r="A41" s="467"/>
      <c r="B41" s="417" t="s">
        <v>2659</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5"/>
      <c r="M41" s="1126"/>
      <c r="N41" s="1126"/>
      <c r="O41" s="1126"/>
      <c r="P41" s="3276"/>
      <c r="Q41" s="1805" t="str">
        <f t="shared" si="11"/>
        <v>层高</v>
      </c>
      <c r="R41" s="769" t="s">
        <v>17</v>
      </c>
      <c r="S41" s="770">
        <f t="shared" si="12"/>
        <v>100</v>
      </c>
      <c r="T41" s="769" t="s">
        <v>17</v>
      </c>
      <c r="U41" s="770">
        <f t="shared" si="13"/>
        <v>100</v>
      </c>
      <c r="V41" s="769" t="s">
        <v>17</v>
      </c>
      <c r="W41" s="770">
        <f t="shared" si="14"/>
        <v>100</v>
      </c>
      <c r="X41" s="1808"/>
      <c r="Y41" s="3242"/>
      <c r="Z41" s="1809" t="str">
        <f t="shared" si="15"/>
        <v>层高</v>
      </c>
      <c r="AA41" s="1806">
        <f t="shared" si="3"/>
        <v>1</v>
      </c>
      <c r="AB41" s="1806">
        <f t="shared" si="4"/>
        <v>1</v>
      </c>
      <c r="AC41" s="2660">
        <f t="shared" si="5"/>
        <v>1</v>
      </c>
    </row>
    <row r="42" spans="1:29" s="466" customFormat="1" ht="15.5">
      <c r="A42" s="463"/>
      <c r="B42" s="1807" t="s">
        <v>2690</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3"/>
      <c r="M42" s="1136"/>
      <c r="N42" s="1136"/>
      <c r="O42" s="1136"/>
      <c r="P42" s="3276"/>
      <c r="Q42" s="771" t="str">
        <f t="shared" si="11"/>
        <v>单套建筑面积</v>
      </c>
      <c r="R42" s="772" t="s">
        <v>17</v>
      </c>
      <c r="S42" s="773">
        <f t="shared" si="12"/>
        <v>100</v>
      </c>
      <c r="T42" s="772" t="s">
        <v>17</v>
      </c>
      <c r="U42" s="773">
        <f t="shared" si="13"/>
        <v>100</v>
      </c>
      <c r="V42" s="772" t="s">
        <v>17</v>
      </c>
      <c r="W42" s="773">
        <f t="shared" si="14"/>
        <v>100</v>
      </c>
      <c r="X42" s="774"/>
      <c r="Y42" s="3242"/>
      <c r="Z42" s="775" t="str">
        <f t="shared" si="15"/>
        <v>单套建筑面积</v>
      </c>
      <c r="AA42" s="1806">
        <f t="shared" si="3"/>
        <v>1</v>
      </c>
      <c r="AB42" s="1806">
        <f t="shared" si="4"/>
        <v>1</v>
      </c>
      <c r="AC42" s="2660">
        <f t="shared" si="5"/>
        <v>1</v>
      </c>
    </row>
    <row r="43" spans="1:29" ht="15.5">
      <c r="A43" s="467"/>
      <c r="B43" s="417" t="s">
        <v>2662</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5"/>
      <c r="M43" s="1126"/>
      <c r="N43" s="1126"/>
      <c r="O43" s="1126"/>
      <c r="P43" s="3276"/>
      <c r="Q43" s="1805" t="str">
        <f t="shared" si="11"/>
        <v>内部装修</v>
      </c>
      <c r="R43" s="769" t="s">
        <v>17</v>
      </c>
      <c r="S43" s="770">
        <f t="shared" si="12"/>
        <v>100</v>
      </c>
      <c r="T43" s="769" t="s">
        <v>17</v>
      </c>
      <c r="U43" s="770">
        <f t="shared" si="13"/>
        <v>100</v>
      </c>
      <c r="V43" s="769" t="s">
        <v>17</v>
      </c>
      <c r="W43" s="770">
        <f t="shared" si="14"/>
        <v>100</v>
      </c>
      <c r="X43" s="1808"/>
      <c r="Y43" s="3242"/>
      <c r="Z43" s="1809" t="str">
        <f t="shared" si="15"/>
        <v>内部装修</v>
      </c>
      <c r="AA43" s="1806">
        <f t="shared" si="3"/>
        <v>1</v>
      </c>
      <c r="AB43" s="1806">
        <f t="shared" si="4"/>
        <v>1</v>
      </c>
      <c r="AC43" s="2660">
        <f t="shared" si="5"/>
        <v>1</v>
      </c>
    </row>
    <row r="44" spans="1:29" ht="28">
      <c r="A44" s="467"/>
      <c r="B44" s="417" t="s">
        <v>2570</v>
      </c>
      <c r="C44" s="455"/>
      <c r="D44" s="430">
        <v>100</v>
      </c>
      <c r="E44" s="2600"/>
      <c r="F44" s="456">
        <f>SUMIF(125:125,E44,126:126)-SUMIF(125:125,C44,126:126)+100</f>
        <v>100</v>
      </c>
      <c r="G44" s="2600"/>
      <c r="H44" s="430">
        <f>SUMIF(125:125,G44,126:126)-SUMIF(125:125,C44,126:126)+100</f>
        <v>100</v>
      </c>
      <c r="I44" s="2600"/>
      <c r="J44" s="430">
        <f>SUMIF(125:125,I44,126:126)-SUMIF(125:125,C44,126:126)+100</f>
        <v>100</v>
      </c>
      <c r="K44" s="607"/>
      <c r="L44" s="1135"/>
      <c r="M44" s="1126"/>
      <c r="N44" s="1126"/>
      <c r="O44" s="1126"/>
      <c r="P44" s="3276"/>
      <c r="Q44" s="1805" t="str">
        <f t="shared" si="11"/>
        <v>内部装修维护情况</v>
      </c>
      <c r="R44" s="769" t="s">
        <v>17</v>
      </c>
      <c r="S44" s="770">
        <f t="shared" si="12"/>
        <v>100</v>
      </c>
      <c r="T44" s="769" t="s">
        <v>17</v>
      </c>
      <c r="U44" s="770">
        <f t="shared" si="13"/>
        <v>100</v>
      </c>
      <c r="V44" s="769" t="s">
        <v>17</v>
      </c>
      <c r="W44" s="770">
        <f t="shared" si="14"/>
        <v>100</v>
      </c>
      <c r="X44" s="1808"/>
      <c r="Y44" s="3242"/>
      <c r="Z44" s="1809" t="str">
        <f t="shared" si="15"/>
        <v>内部装修维护情况</v>
      </c>
      <c r="AA44" s="1806">
        <f t="shared" si="3"/>
        <v>1</v>
      </c>
      <c r="AB44" s="1806">
        <f t="shared" si="4"/>
        <v>1</v>
      </c>
      <c r="AC44" s="2660">
        <f t="shared" si="5"/>
        <v>1</v>
      </c>
    </row>
    <row r="45" spans="1:29" s="114" customFormat="1" ht="15.5">
      <c r="A45" s="468"/>
      <c r="B45" s="1381">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7"/>
      <c r="M45" s="1128"/>
      <c r="N45" s="1128"/>
      <c r="O45" s="1128"/>
      <c r="P45" s="3276"/>
      <c r="Q45" s="1790">
        <f t="shared" si="11"/>
        <v>111</v>
      </c>
      <c r="R45" s="765" t="s">
        <v>17</v>
      </c>
      <c r="S45" s="766">
        <f t="shared" si="12"/>
        <v>100</v>
      </c>
      <c r="T45" s="765" t="s">
        <v>17</v>
      </c>
      <c r="U45" s="766">
        <f t="shared" si="13"/>
        <v>100</v>
      </c>
      <c r="V45" s="765" t="s">
        <v>17</v>
      </c>
      <c r="W45" s="766">
        <f t="shared" si="14"/>
        <v>100</v>
      </c>
      <c r="X45" s="767"/>
      <c r="Y45" s="3242"/>
      <c r="Z45" s="52">
        <f t="shared" si="15"/>
        <v>111</v>
      </c>
      <c r="AA45" s="768">
        <f t="shared" si="3"/>
        <v>1</v>
      </c>
      <c r="AB45" s="768">
        <f t="shared" si="4"/>
        <v>1</v>
      </c>
      <c r="AC45" s="2657">
        <f t="shared" si="5"/>
        <v>1</v>
      </c>
    </row>
    <row r="46" spans="1:29" ht="15.5">
      <c r="A46" s="467"/>
      <c r="B46" s="1381">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5"/>
      <c r="M46" s="1126"/>
      <c r="N46" s="1126"/>
      <c r="O46" s="1126"/>
      <c r="P46" s="3276"/>
      <c r="Q46" s="1805">
        <f t="shared" si="11"/>
        <v>111</v>
      </c>
      <c r="R46" s="769" t="s">
        <v>17</v>
      </c>
      <c r="S46" s="770">
        <f t="shared" si="12"/>
        <v>100</v>
      </c>
      <c r="T46" s="769" t="s">
        <v>17</v>
      </c>
      <c r="U46" s="770">
        <f t="shared" si="13"/>
        <v>100</v>
      </c>
      <c r="V46" s="769" t="s">
        <v>17</v>
      </c>
      <c r="W46" s="770">
        <f t="shared" si="14"/>
        <v>100</v>
      </c>
      <c r="X46" s="1808"/>
      <c r="Y46" s="3242"/>
      <c r="Z46" s="1809">
        <f t="shared" si="15"/>
        <v>111</v>
      </c>
      <c r="AA46" s="1806">
        <f t="shared" si="3"/>
        <v>1</v>
      </c>
      <c r="AB46" s="1806">
        <f t="shared" si="4"/>
        <v>1</v>
      </c>
      <c r="AC46" s="2660">
        <f t="shared" si="5"/>
        <v>1</v>
      </c>
    </row>
    <row r="47" spans="1:29" ht="16" thickBot="1">
      <c r="A47" s="473"/>
      <c r="B47" s="2589">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5"/>
      <c r="M47" s="1126"/>
      <c r="N47" s="1126"/>
      <c r="O47" s="1126"/>
      <c r="P47" s="3277"/>
      <c r="Q47" s="1805">
        <f t="shared" si="11"/>
        <v>111</v>
      </c>
      <c r="R47" s="769" t="s">
        <v>17</v>
      </c>
      <c r="S47" s="770">
        <f t="shared" si="12"/>
        <v>100</v>
      </c>
      <c r="T47" s="769" t="s">
        <v>17</v>
      </c>
      <c r="U47" s="770">
        <f t="shared" si="13"/>
        <v>100</v>
      </c>
      <c r="V47" s="769" t="s">
        <v>17</v>
      </c>
      <c r="W47" s="770">
        <f t="shared" si="14"/>
        <v>100</v>
      </c>
      <c r="X47" s="1808"/>
      <c r="Y47" s="3278"/>
      <c r="Z47" s="1809">
        <f t="shared" si="15"/>
        <v>111</v>
      </c>
      <c r="AA47" s="1806">
        <f t="shared" si="3"/>
        <v>1</v>
      </c>
      <c r="AB47" s="1806">
        <f t="shared" si="4"/>
        <v>1</v>
      </c>
      <c r="AC47" s="2660">
        <f t="shared" si="5"/>
        <v>1</v>
      </c>
    </row>
    <row r="48" spans="1:29">
      <c r="A48" s="474" t="s">
        <v>2571</v>
      </c>
      <c r="B48" s="475"/>
      <c r="C48" s="1402" t="s">
        <v>1</v>
      </c>
      <c r="D48" s="1403"/>
      <c r="E48" s="1404"/>
      <c r="F48" s="1405"/>
      <c r="G48" s="1406"/>
      <c r="H48" s="1407"/>
      <c r="I48" s="1404"/>
      <c r="J48" s="480"/>
      <c r="K48" s="778"/>
      <c r="L48" s="1138"/>
      <c r="M48" s="1126"/>
      <c r="N48" s="1126"/>
      <c r="O48" s="1126"/>
      <c r="P48" s="3236" t="str">
        <f>A48</f>
        <v>成交单价（元/平方米）</v>
      </c>
      <c r="Q48" s="3237"/>
      <c r="R48" s="3274">
        <f>E48</f>
        <v>0</v>
      </c>
      <c r="S48" s="3274"/>
      <c r="T48" s="3274">
        <f>G48</f>
        <v>0</v>
      </c>
      <c r="U48" s="3274"/>
      <c r="V48" s="3274">
        <f>I48</f>
        <v>0</v>
      </c>
      <c r="W48" s="3274"/>
      <c r="X48" s="441"/>
      <c r="Y48" s="776"/>
      <c r="Z48" s="441"/>
      <c r="AA48" s="441"/>
      <c r="AB48" s="441"/>
      <c r="AC48" s="625"/>
    </row>
    <row r="49" spans="1:29" ht="14.5" thickBot="1">
      <c r="A49" s="481" t="s">
        <v>2663</v>
      </c>
      <c r="B49" s="482"/>
      <c r="C49" s="1408" t="e">
        <f>R50</f>
        <v>#DIV/0!</v>
      </c>
      <c r="D49" s="1409"/>
      <c r="E49" s="1410" t="e">
        <f>R49</f>
        <v>#DIV/0!</v>
      </c>
      <c r="F49" s="1410"/>
      <c r="G49" s="1408" t="e">
        <f>T49</f>
        <v>#DIV/0!</v>
      </c>
      <c r="H49" s="1409"/>
      <c r="I49" s="1410" t="e">
        <f>V49</f>
        <v>#DIV/0!</v>
      </c>
      <c r="J49" s="484"/>
      <c r="K49" s="779"/>
      <c r="L49" s="1138"/>
      <c r="M49" s="1126"/>
      <c r="N49" s="1126"/>
      <c r="O49" s="1126"/>
      <c r="P49" s="3236" t="str">
        <f>A49</f>
        <v>比较价值（元/平方米）</v>
      </c>
      <c r="Q49" s="3237"/>
      <c r="R49" s="3274" t="e">
        <f>IF(F1="售价",ROUND(PRODUCT(R48,AA7:AA47),0),ROUND(PRODUCT(R48,AA7:AA47),1))</f>
        <v>#DIV/0!</v>
      </c>
      <c r="S49" s="3274"/>
      <c r="T49" s="3274" t="e">
        <f>IF(F1="售价",ROUND(PRODUCT(T48,AB7:AB47),0),ROUND(PRODUCT(T48,AB7:AB47),1))</f>
        <v>#DIV/0!</v>
      </c>
      <c r="U49" s="3274"/>
      <c r="V49" s="3274" t="e">
        <f>IF(F1="售价",ROUND(PRODUCT(V48,AC7:AC47),0),ROUND(PRODUCT(V48,AC7:AC47),1))</f>
        <v>#DIV/0!</v>
      </c>
      <c r="W49" s="3274"/>
      <c r="X49" s="441"/>
      <c r="Y49" s="441"/>
      <c r="Z49" s="441"/>
      <c r="AA49" s="441"/>
      <c r="AB49" s="441"/>
      <c r="AC49" s="625"/>
    </row>
    <row r="50" spans="1:29" ht="14.5" thickBot="1">
      <c r="A50" s="487" t="s">
        <v>2664</v>
      </c>
      <c r="B50" s="488"/>
      <c r="C50" s="1412" t="e">
        <f>R50</f>
        <v>#DIV/0!</v>
      </c>
      <c r="D50" s="1412"/>
      <c r="E50" s="1412"/>
      <c r="F50" s="1412"/>
      <c r="G50" s="1412"/>
      <c r="H50" s="1412"/>
      <c r="I50" s="1412"/>
      <c r="J50" s="489"/>
      <c r="K50" s="780"/>
      <c r="L50" s="1138"/>
      <c r="M50" s="1126"/>
      <c r="N50" s="1126"/>
      <c r="O50" s="1126"/>
      <c r="P50" s="3314" t="str">
        <f>A50</f>
        <v>估价对象XX用房的比较价值（楼面单价，元/平方米）</v>
      </c>
      <c r="Q50" s="3315"/>
      <c r="R50" s="3316" t="e">
        <f>IF(F1="售价",ROUND(AVERAGE(R49:V49),0),ROUND(AVERAGE(R49:V49),1))</f>
        <v>#DIV/0!</v>
      </c>
      <c r="S50" s="3316"/>
      <c r="T50" s="3316"/>
      <c r="U50" s="3316"/>
      <c r="V50" s="3316"/>
      <c r="W50" s="3316"/>
      <c r="X50" s="2640"/>
      <c r="Y50" s="2640"/>
      <c r="Z50" s="2640"/>
      <c r="AA50" s="2640"/>
      <c r="AB50" s="2640"/>
      <c r="AC50" s="2641"/>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2" t="s">
        <v>2665</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0"/>
      <c r="L53" s="1101"/>
      <c r="M53" s="1139"/>
      <c r="N53" s="1139"/>
      <c r="O53" s="1139"/>
    </row>
    <row r="54" spans="1:29" ht="13.5" customHeight="1">
      <c r="A54" s="1139"/>
      <c r="B54" s="1139"/>
      <c r="C54" s="492" t="s">
        <v>2666</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0"/>
      <c r="L54" s="1101"/>
      <c r="M54" s="1139"/>
      <c r="N54" s="1139"/>
      <c r="O54" s="1139"/>
    </row>
    <row r="55" spans="1:29" s="497" customFormat="1" ht="13.5" customHeight="1">
      <c r="A55" s="1140"/>
      <c r="B55" s="1140"/>
      <c r="C55" s="492" t="s">
        <v>2667</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3"/>
      <c r="L55" s="1144"/>
      <c r="M55" s="1140"/>
      <c r="N55" s="1140"/>
      <c r="O55" s="1140"/>
      <c r="P55" s="2666"/>
    </row>
    <row r="56" spans="1:29" s="497" customFormat="1">
      <c r="A56" s="1140"/>
      <c r="B56" s="1141"/>
      <c r="C56" s="1145"/>
      <c r="D56" s="1140"/>
      <c r="E56" s="1140"/>
      <c r="F56" s="1140"/>
      <c r="G56" s="1140"/>
      <c r="H56" s="1140"/>
      <c r="I56" s="1140"/>
      <c r="J56" s="1140"/>
      <c r="K56" s="1143"/>
      <c r="L56" s="1144"/>
      <c r="M56" s="1140"/>
      <c r="N56" s="1140"/>
      <c r="O56" s="1140"/>
      <c r="P56" s="2666"/>
    </row>
    <row r="57" spans="1:29">
      <c r="A57" s="1139"/>
      <c r="B57" s="1141"/>
      <c r="C57" s="1145"/>
      <c r="D57" s="1139"/>
      <c r="E57" s="1139"/>
      <c r="F57" s="1139"/>
      <c r="G57" s="1139"/>
      <c r="H57" s="1139"/>
      <c r="I57" s="1139"/>
      <c r="J57" s="1139"/>
      <c r="K57" s="1100"/>
      <c r="L57" s="1101"/>
      <c r="M57" s="1139"/>
      <c r="N57" s="1139"/>
      <c r="O57" s="1139"/>
    </row>
    <row r="58" spans="1:29" ht="21.5" thickBot="1">
      <c r="A58" s="758" t="s">
        <v>2668</v>
      </c>
      <c r="B58" s="754"/>
      <c r="C58" s="759"/>
      <c r="D58" s="759"/>
      <c r="E58" s="759"/>
      <c r="F58" s="760"/>
      <c r="G58" s="760"/>
      <c r="H58" s="759"/>
      <c r="I58" s="759"/>
      <c r="J58" s="759"/>
      <c r="K58" s="761"/>
      <c r="L58" s="1156"/>
      <c r="M58" s="1154"/>
      <c r="N58" s="1154"/>
      <c r="O58" s="1154"/>
      <c r="P58" s="2667"/>
      <c r="Q58" s="499"/>
    </row>
    <row r="59" spans="1:29" s="503" customFormat="1">
      <c r="A59" s="500" t="s">
        <v>2542</v>
      </c>
      <c r="B59" s="501"/>
      <c r="C59" s="1569" t="str">
        <f>YEAR(C7)&amp;"-"&amp;MONTH(C7)</f>
        <v>2020-3</v>
      </c>
      <c r="D59" s="1570">
        <f>EDATE(C59,-1)</f>
        <v>43862</v>
      </c>
      <c r="E59" s="1570">
        <f>EDATE(D59,-1)</f>
        <v>43831</v>
      </c>
      <c r="F59" s="1570">
        <f t="shared" ref="F59:O59" si="16">EDATE(E59,-1)</f>
        <v>43800</v>
      </c>
      <c r="G59" s="1570">
        <f t="shared" si="16"/>
        <v>43770</v>
      </c>
      <c r="H59" s="1570">
        <f t="shared" si="16"/>
        <v>43739</v>
      </c>
      <c r="I59" s="1570">
        <f t="shared" si="16"/>
        <v>43709</v>
      </c>
      <c r="J59" s="1570">
        <f t="shared" si="16"/>
        <v>43678</v>
      </c>
      <c r="K59" s="1570">
        <f t="shared" si="16"/>
        <v>43647</v>
      </c>
      <c r="L59" s="1570">
        <f t="shared" si="16"/>
        <v>43617</v>
      </c>
      <c r="M59" s="1570">
        <f t="shared" si="16"/>
        <v>43586</v>
      </c>
      <c r="N59" s="1570">
        <f t="shared" si="16"/>
        <v>43556</v>
      </c>
      <c r="O59" s="1570">
        <f t="shared" si="16"/>
        <v>43525</v>
      </c>
      <c r="P59" s="1566"/>
    </row>
    <row r="60" spans="1:29" s="114" customFormat="1">
      <c r="A60" s="504"/>
      <c r="B60" s="505"/>
      <c r="C60" s="1568">
        <v>100</v>
      </c>
      <c r="D60" s="507"/>
      <c r="E60" s="507"/>
      <c r="F60" s="507"/>
      <c r="G60" s="507"/>
      <c r="H60" s="507"/>
      <c r="I60" s="507"/>
      <c r="J60" s="507"/>
      <c r="K60" s="507"/>
      <c r="L60" s="507"/>
      <c r="M60" s="508"/>
      <c r="N60" s="507"/>
      <c r="O60" s="508"/>
      <c r="P60" s="2668"/>
    </row>
    <row r="61" spans="1:29" s="114" customFormat="1" ht="14.5" thickBot="1">
      <c r="A61" s="510" t="s">
        <v>2579</v>
      </c>
      <c r="B61" s="511"/>
      <c r="C61" s="512"/>
      <c r="D61" s="513"/>
      <c r="E61" s="513"/>
      <c r="F61" s="513"/>
      <c r="G61" s="513"/>
      <c r="H61" s="513"/>
      <c r="I61" s="513"/>
      <c r="J61" s="513"/>
      <c r="K61" s="513"/>
      <c r="L61" s="513"/>
      <c r="M61" s="514"/>
      <c r="N61" s="513"/>
      <c r="O61" s="514"/>
      <c r="P61" s="2668"/>
      <c r="Q61" s="499"/>
    </row>
    <row r="62" spans="1:29" s="114" customFormat="1">
      <c r="A62" s="516" t="s">
        <v>2544</v>
      </c>
      <c r="B62" s="505"/>
      <c r="C62" s="517" t="s">
        <v>2646</v>
      </c>
      <c r="D62" s="518"/>
      <c r="E62" s="518"/>
      <c r="F62" s="518"/>
      <c r="G62" s="518"/>
      <c r="H62" s="518"/>
      <c r="I62" s="518"/>
      <c r="J62" s="518"/>
      <c r="K62" s="518"/>
      <c r="L62" s="519"/>
      <c r="M62" s="520"/>
      <c r="N62" s="1146"/>
      <c r="O62" s="1146"/>
      <c r="P62" s="2669"/>
      <c r="Q62" s="499"/>
    </row>
    <row r="63" spans="1:29" s="114" customFormat="1" ht="14.5" thickBot="1">
      <c r="A63" s="516"/>
      <c r="B63" s="505"/>
      <c r="C63" s="506">
        <v>100</v>
      </c>
      <c r="D63" s="507"/>
      <c r="E63" s="507"/>
      <c r="F63" s="507"/>
      <c r="G63" s="507"/>
      <c r="H63" s="507"/>
      <c r="I63" s="507"/>
      <c r="J63" s="507"/>
      <c r="K63" s="507"/>
      <c r="L63" s="507"/>
      <c r="M63" s="509"/>
      <c r="N63" s="1146"/>
      <c r="O63" s="1146"/>
      <c r="P63" s="2668"/>
      <c r="Q63" s="499"/>
    </row>
    <row r="64" spans="1:29">
      <c r="A64" s="522" t="s">
        <v>2582</v>
      </c>
      <c r="B64" s="523" t="s">
        <v>2548</v>
      </c>
      <c r="C64" s="524">
        <f>C9</f>
        <v>0</v>
      </c>
      <c r="D64" s="525"/>
      <c r="E64" s="525"/>
      <c r="F64" s="525"/>
      <c r="G64" s="525"/>
      <c r="H64" s="525"/>
      <c r="I64" s="525"/>
      <c r="J64" s="525"/>
      <c r="K64" s="526"/>
      <c r="L64" s="527"/>
      <c r="M64" s="528"/>
      <c r="N64" s="1147"/>
      <c r="O64" s="1147"/>
      <c r="P64" s="2670"/>
      <c r="Q64" s="499"/>
    </row>
    <row r="65" spans="1:17" ht="14.5" thickBot="1">
      <c r="A65" s="529"/>
      <c r="B65" s="530"/>
      <c r="C65" s="531">
        <v>100</v>
      </c>
      <c r="D65" s="531"/>
      <c r="E65" s="531"/>
      <c r="F65" s="531"/>
      <c r="G65" s="531"/>
      <c r="H65" s="531"/>
      <c r="I65" s="531"/>
      <c r="J65" s="531"/>
      <c r="K65" s="531"/>
      <c r="L65" s="531"/>
      <c r="M65" s="532"/>
      <c r="N65" s="1148"/>
      <c r="O65" s="1148"/>
      <c r="P65" s="2670"/>
      <c r="Q65" s="499"/>
    </row>
    <row r="66" spans="1:17" ht="28.5" thickTop="1">
      <c r="A66" s="529"/>
      <c r="B66" s="533" t="s">
        <v>2551</v>
      </c>
      <c r="C66" s="534" t="s">
        <v>2583</v>
      </c>
      <c r="D66" s="534" t="s">
        <v>2584</v>
      </c>
      <c r="E66" s="534" t="s">
        <v>2585</v>
      </c>
      <c r="F66" s="534" t="s">
        <v>2586</v>
      </c>
      <c r="G66" s="534" t="s">
        <v>2587</v>
      </c>
      <c r="H66" s="534" t="s">
        <v>2588</v>
      </c>
      <c r="I66" s="534" t="s">
        <v>2589</v>
      </c>
      <c r="J66" s="534"/>
      <c r="K66" s="535"/>
      <c r="L66" s="536"/>
      <c r="M66" s="537"/>
      <c r="N66" s="1147"/>
      <c r="O66" s="1147"/>
      <c r="P66" s="2670"/>
      <c r="Q66" s="499"/>
    </row>
    <row r="67" spans="1:17" ht="14.5" thickBot="1">
      <c r="A67" s="529"/>
      <c r="B67" s="538"/>
      <c r="C67" s="539" t="s">
        <v>24</v>
      </c>
      <c r="D67" s="539" t="s">
        <v>25</v>
      </c>
      <c r="E67" s="539">
        <v>100</v>
      </c>
      <c r="F67" s="539">
        <f>E67-$K10</f>
        <v>100</v>
      </c>
      <c r="G67" s="539">
        <f>F67-$K10</f>
        <v>100</v>
      </c>
      <c r="H67" s="539">
        <f>G67-$K10</f>
        <v>100</v>
      </c>
      <c r="I67" s="539">
        <f>H67-$K10</f>
        <v>100</v>
      </c>
      <c r="J67" s="539"/>
      <c r="K67" s="539"/>
      <c r="L67" s="539"/>
      <c r="M67" s="540"/>
      <c r="N67" s="1148"/>
      <c r="O67" s="1148"/>
      <c r="P67" s="2670"/>
      <c r="Q67" s="499"/>
    </row>
    <row r="68" spans="1:17" ht="14.5" thickTop="1">
      <c r="A68" s="529"/>
      <c r="B68" s="541" t="s">
        <v>2552</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8"/>
      <c r="O68" s="1148"/>
      <c r="P68" s="2670"/>
      <c r="Q68" s="499"/>
    </row>
    <row r="69" spans="1:17">
      <c r="A69" s="529"/>
      <c r="B69" s="543"/>
      <c r="C69" s="544"/>
      <c r="D69" s="544"/>
      <c r="E69" s="544"/>
      <c r="F69" s="544"/>
      <c r="G69" s="544"/>
      <c r="H69" s="544"/>
      <c r="I69" s="544"/>
      <c r="J69" s="544"/>
      <c r="K69" s="545"/>
      <c r="L69" s="546"/>
      <c r="M69" s="547"/>
      <c r="N69" s="1147"/>
      <c r="O69" s="1147"/>
      <c r="P69" s="2670"/>
      <c r="Q69" s="499"/>
    </row>
    <row r="70" spans="1:17" ht="14.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8"/>
      <c r="O70" s="1148"/>
      <c r="P70" s="2670"/>
      <c r="Q70" s="499"/>
    </row>
    <row r="71" spans="1:17" s="466" customFormat="1" ht="14.5" thickTop="1">
      <c r="A71" s="548"/>
      <c r="B71" s="533">
        <f>B12</f>
        <v>111</v>
      </c>
      <c r="C71" s="549"/>
      <c r="D71" s="549"/>
      <c r="E71" s="549"/>
      <c r="F71" s="549"/>
      <c r="G71" s="549"/>
      <c r="H71" s="550"/>
      <c r="I71" s="550"/>
      <c r="J71" s="550"/>
      <c r="K71" s="550"/>
      <c r="L71" s="551"/>
      <c r="M71" s="552"/>
      <c r="N71" s="1149"/>
      <c r="O71" s="1149"/>
      <c r="P71" s="2671"/>
      <c r="Q71" s="554"/>
    </row>
    <row r="72" spans="1:17" s="466" customFormat="1" ht="14.5" thickBot="1">
      <c r="A72" s="548"/>
      <c r="B72" s="538"/>
      <c r="C72" s="555"/>
      <c r="D72" s="531"/>
      <c r="E72" s="531"/>
      <c r="F72" s="531"/>
      <c r="G72" s="531"/>
      <c r="H72" s="531"/>
      <c r="I72" s="531"/>
      <c r="J72" s="531"/>
      <c r="K72" s="531"/>
      <c r="L72" s="531"/>
      <c r="M72" s="532"/>
      <c r="N72" s="1148"/>
      <c r="O72" s="1148"/>
      <c r="P72" s="2671"/>
      <c r="Q72" s="554"/>
    </row>
    <row r="73" spans="1:17" s="466" customFormat="1" ht="14.5" thickTop="1">
      <c r="A73" s="548"/>
      <c r="B73" s="533">
        <f>B13</f>
        <v>111</v>
      </c>
      <c r="C73" s="549"/>
      <c r="D73" s="549"/>
      <c r="E73" s="549"/>
      <c r="F73" s="549"/>
      <c r="G73" s="549"/>
      <c r="H73" s="550"/>
      <c r="I73" s="550"/>
      <c r="J73" s="550"/>
      <c r="K73" s="550"/>
      <c r="L73" s="551"/>
      <c r="M73" s="552"/>
      <c r="N73" s="1149"/>
      <c r="O73" s="1149"/>
      <c r="P73" s="2672"/>
      <c r="Q73" s="556"/>
    </row>
    <row r="74" spans="1:17" s="466" customFormat="1" ht="14.5" thickBot="1">
      <c r="A74" s="548"/>
      <c r="B74" s="538"/>
      <c r="C74" s="555"/>
      <c r="D74" s="555"/>
      <c r="E74" s="555"/>
      <c r="F74" s="555"/>
      <c r="G74" s="555"/>
      <c r="H74" s="557"/>
      <c r="I74" s="557"/>
      <c r="J74" s="557"/>
      <c r="K74" s="557"/>
      <c r="L74" s="557"/>
      <c r="M74" s="558"/>
      <c r="N74" s="1149"/>
      <c r="O74" s="1149"/>
      <c r="P74" s="2671"/>
      <c r="Q74" s="554"/>
    </row>
    <row r="75" spans="1:17" s="466" customFormat="1" ht="14.5" thickTop="1">
      <c r="A75" s="548"/>
      <c r="B75" s="541">
        <f>B14</f>
        <v>111</v>
      </c>
      <c r="C75" s="518"/>
      <c r="D75" s="518"/>
      <c r="E75" s="518"/>
      <c r="F75" s="518"/>
      <c r="G75" s="518"/>
      <c r="H75" s="559"/>
      <c r="I75" s="559"/>
      <c r="J75" s="559"/>
      <c r="K75" s="559"/>
      <c r="L75" s="560"/>
      <c r="M75" s="561"/>
      <c r="N75" s="1149"/>
      <c r="O75" s="1149"/>
      <c r="P75" s="2673"/>
      <c r="Q75" s="554"/>
    </row>
    <row r="76" spans="1:17" s="466" customFormat="1" ht="14.5" thickBot="1">
      <c r="A76" s="563"/>
      <c r="B76" s="564"/>
      <c r="C76" s="565"/>
      <c r="D76" s="565"/>
      <c r="E76" s="565"/>
      <c r="F76" s="565"/>
      <c r="G76" s="565"/>
      <c r="H76" s="566"/>
      <c r="I76" s="566"/>
      <c r="J76" s="566"/>
      <c r="K76" s="566"/>
      <c r="L76" s="566"/>
      <c r="M76" s="567"/>
      <c r="N76" s="1149"/>
      <c r="O76" s="1149"/>
      <c r="P76" s="2671"/>
      <c r="Q76" s="554"/>
    </row>
    <row r="77" spans="1:17">
      <c r="A77" s="522" t="s">
        <v>2553</v>
      </c>
      <c r="B77" s="523" t="s">
        <v>2691</v>
      </c>
      <c r="C77" s="568" t="s">
        <v>2591</v>
      </c>
      <c r="D77" s="568" t="s">
        <v>2592</v>
      </c>
      <c r="E77" s="568" t="s">
        <v>2593</v>
      </c>
      <c r="F77" s="568" t="s">
        <v>2594</v>
      </c>
      <c r="G77" s="568" t="s">
        <v>2595</v>
      </c>
      <c r="H77" s="524"/>
      <c r="I77" s="524"/>
      <c r="J77" s="524"/>
      <c r="K77" s="569"/>
      <c r="L77" s="570"/>
      <c r="M77" s="571"/>
      <c r="N77" s="1147"/>
      <c r="O77" s="1147"/>
      <c r="P77" s="2674"/>
      <c r="Q77" s="499"/>
    </row>
    <row r="78" spans="1:17" ht="14.5" thickBot="1">
      <c r="A78" s="529"/>
      <c r="B78" s="538"/>
      <c r="C78" s="539">
        <v>100</v>
      </c>
      <c r="D78" s="539">
        <f>C78-$K15</f>
        <v>100</v>
      </c>
      <c r="E78" s="539">
        <f>D78-$K15</f>
        <v>100</v>
      </c>
      <c r="F78" s="539">
        <f>E78-$K15</f>
        <v>100</v>
      </c>
      <c r="G78" s="539">
        <f>F78-$K15</f>
        <v>100</v>
      </c>
      <c r="H78" s="539"/>
      <c r="I78" s="539"/>
      <c r="J78" s="539"/>
      <c r="K78" s="539"/>
      <c r="L78" s="539"/>
      <c r="M78" s="540"/>
      <c r="N78" s="1148"/>
      <c r="O78" s="1148"/>
      <c r="P78" s="2670"/>
      <c r="Q78" s="499"/>
    </row>
    <row r="79" spans="1:17" ht="14.5" thickTop="1">
      <c r="A79" s="529"/>
      <c r="B79" s="533" t="s">
        <v>2596</v>
      </c>
      <c r="C79" s="573" t="s">
        <v>2591</v>
      </c>
      <c r="D79" s="573" t="s">
        <v>2592</v>
      </c>
      <c r="E79" s="573" t="s">
        <v>2593</v>
      </c>
      <c r="F79" s="573" t="s">
        <v>2594</v>
      </c>
      <c r="G79" s="573" t="s">
        <v>2595</v>
      </c>
      <c r="H79" s="534"/>
      <c r="I79" s="534"/>
      <c r="J79" s="534"/>
      <c r="K79" s="535"/>
      <c r="L79" s="536"/>
      <c r="M79" s="537"/>
      <c r="N79" s="1147"/>
      <c r="O79" s="1147"/>
      <c r="P79" s="2670"/>
      <c r="Q79" s="499"/>
    </row>
    <row r="80" spans="1:17" ht="14.5" thickBot="1">
      <c r="A80" s="529"/>
      <c r="B80" s="538"/>
      <c r="C80" s="539">
        <v>100</v>
      </c>
      <c r="D80" s="539">
        <f>C80-$K17</f>
        <v>100</v>
      </c>
      <c r="E80" s="539">
        <f>D80-$K17</f>
        <v>100</v>
      </c>
      <c r="F80" s="539">
        <f>E80-$K17</f>
        <v>100</v>
      </c>
      <c r="G80" s="539">
        <f>F80-$K17</f>
        <v>100</v>
      </c>
      <c r="H80" s="539"/>
      <c r="I80" s="539"/>
      <c r="J80" s="539"/>
      <c r="K80" s="539"/>
      <c r="L80" s="539"/>
      <c r="M80" s="540"/>
      <c r="N80" s="1148"/>
      <c r="O80" s="1148"/>
      <c r="P80" s="2670"/>
      <c r="Q80" s="499"/>
    </row>
    <row r="81" spans="1:17" ht="14.5" thickTop="1">
      <c r="A81" s="529"/>
      <c r="B81" s="533" t="s">
        <v>2597</v>
      </c>
      <c r="C81" s="573" t="s">
        <v>2591</v>
      </c>
      <c r="D81" s="573" t="s">
        <v>2592</v>
      </c>
      <c r="E81" s="573" t="s">
        <v>2593</v>
      </c>
      <c r="F81" s="573" t="s">
        <v>2594</v>
      </c>
      <c r="G81" s="573" t="s">
        <v>2595</v>
      </c>
      <c r="H81" s="534"/>
      <c r="I81" s="534"/>
      <c r="J81" s="534"/>
      <c r="K81" s="535"/>
      <c r="L81" s="536"/>
      <c r="M81" s="537"/>
      <c r="N81" s="1147"/>
      <c r="O81" s="1147"/>
      <c r="P81" s="2670"/>
      <c r="Q81" s="499"/>
    </row>
    <row r="82" spans="1:17" ht="14.5" thickBot="1">
      <c r="A82" s="529"/>
      <c r="B82" s="538"/>
      <c r="C82" s="539">
        <v>100</v>
      </c>
      <c r="D82" s="539">
        <f>C82-$K19</f>
        <v>100</v>
      </c>
      <c r="E82" s="539">
        <f>D82-$K19</f>
        <v>100</v>
      </c>
      <c r="F82" s="539">
        <f>E82-$K19</f>
        <v>100</v>
      </c>
      <c r="G82" s="539">
        <f>F82-$K19</f>
        <v>100</v>
      </c>
      <c r="H82" s="539"/>
      <c r="I82" s="539"/>
      <c r="J82" s="539"/>
      <c r="K82" s="539"/>
      <c r="L82" s="539"/>
      <c r="M82" s="540"/>
      <c r="N82" s="1148"/>
      <c r="O82" s="1148"/>
      <c r="P82" s="2670"/>
      <c r="Q82" s="499"/>
    </row>
    <row r="83" spans="1:17" ht="14.5" thickTop="1">
      <c r="A83" s="529"/>
      <c r="B83" s="541" t="s">
        <v>2683</v>
      </c>
      <c r="C83" s="655" t="s">
        <v>2669</v>
      </c>
      <c r="D83" s="655" t="s">
        <v>2670</v>
      </c>
      <c r="E83" s="655" t="s">
        <v>2671</v>
      </c>
      <c r="F83" s="655" t="s">
        <v>2672</v>
      </c>
      <c r="G83" s="655" t="s">
        <v>2673</v>
      </c>
      <c r="H83" s="534"/>
      <c r="I83" s="534"/>
      <c r="J83" s="534"/>
      <c r="K83" s="534"/>
      <c r="L83" s="534"/>
      <c r="M83" s="1377"/>
      <c r="N83" s="1148"/>
      <c r="O83" s="1148"/>
      <c r="P83" s="2670"/>
      <c r="Q83" s="499"/>
    </row>
    <row r="84" spans="1:17" ht="14.5" thickBot="1">
      <c r="A84" s="529"/>
      <c r="B84" s="541"/>
      <c r="C84" s="539">
        <v>100</v>
      </c>
      <c r="D84" s="539">
        <f>C84-$K21</f>
        <v>100</v>
      </c>
      <c r="E84" s="539">
        <f>D84-$K21</f>
        <v>100</v>
      </c>
      <c r="F84" s="539">
        <f>E84-$K21</f>
        <v>100</v>
      </c>
      <c r="G84" s="539">
        <f>F84-$K21</f>
        <v>100</v>
      </c>
      <c r="H84" s="655"/>
      <c r="I84" s="655"/>
      <c r="J84" s="655"/>
      <c r="K84" s="655"/>
      <c r="L84" s="655"/>
      <c r="M84" s="445"/>
      <c r="N84" s="1148"/>
      <c r="O84" s="1148"/>
      <c r="P84" s="2670"/>
      <c r="Q84" s="499"/>
    </row>
    <row r="85" spans="1:17" ht="14.5" thickTop="1">
      <c r="A85" s="529"/>
      <c r="B85" s="533" t="s">
        <v>2692</v>
      </c>
      <c r="C85" s="573" t="s">
        <v>2591</v>
      </c>
      <c r="D85" s="573" t="s">
        <v>2592</v>
      </c>
      <c r="E85" s="573" t="s">
        <v>2593</v>
      </c>
      <c r="F85" s="573" t="s">
        <v>2594</v>
      </c>
      <c r="G85" s="573" t="s">
        <v>2595</v>
      </c>
      <c r="H85" s="534"/>
      <c r="I85" s="534"/>
      <c r="J85" s="534"/>
      <c r="K85" s="535"/>
      <c r="L85" s="536"/>
      <c r="M85" s="537"/>
      <c r="N85" s="1147"/>
      <c r="O85" s="1147"/>
      <c r="P85" s="2670"/>
      <c r="Q85" s="499"/>
    </row>
    <row r="86" spans="1:17" ht="14.5" thickBot="1">
      <c r="A86" s="529"/>
      <c r="B86" s="538"/>
      <c r="C86" s="539">
        <v>100</v>
      </c>
      <c r="D86" s="539">
        <f>C86-$K23</f>
        <v>100</v>
      </c>
      <c r="E86" s="539">
        <f>D86-$K23</f>
        <v>100</v>
      </c>
      <c r="F86" s="539">
        <f>E86-$K23</f>
        <v>100</v>
      </c>
      <c r="G86" s="539">
        <f>F86-$K23</f>
        <v>100</v>
      </c>
      <c r="H86" s="539"/>
      <c r="I86" s="539"/>
      <c r="J86" s="539"/>
      <c r="K86" s="539"/>
      <c r="L86" s="539"/>
      <c r="M86" s="540"/>
      <c r="N86" s="1148"/>
      <c r="O86" s="1148"/>
      <c r="P86" s="2670"/>
      <c r="Q86" s="499"/>
    </row>
    <row r="87" spans="1:17" s="114" customFormat="1" ht="28.5" thickTop="1">
      <c r="A87" s="574"/>
      <c r="B87" s="533" t="s">
        <v>2693</v>
      </c>
      <c r="C87" s="549"/>
      <c r="D87" s="549"/>
      <c r="E87" s="549"/>
      <c r="F87" s="549"/>
      <c r="G87" s="549"/>
      <c r="H87" s="549"/>
      <c r="I87" s="549"/>
      <c r="J87" s="549"/>
      <c r="K87" s="549"/>
      <c r="L87" s="575"/>
      <c r="M87" s="576"/>
      <c r="N87" s="1146"/>
      <c r="O87" s="1146"/>
      <c r="P87" s="2670"/>
      <c r="Q87" s="499"/>
    </row>
    <row r="88" spans="1:17" s="114" customFormat="1" ht="14.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8"/>
      <c r="O88" s="1148"/>
      <c r="P88" s="2670"/>
      <c r="Q88" s="499"/>
    </row>
    <row r="89" spans="1:17" s="114" customFormat="1" ht="14.5" thickTop="1">
      <c r="A89" s="574"/>
      <c r="B89" s="533" t="str">
        <f>B27</f>
        <v>楼层</v>
      </c>
      <c r="C89" s="549"/>
      <c r="D89" s="549"/>
      <c r="E89" s="549"/>
      <c r="F89" s="2621"/>
      <c r="G89" s="549"/>
      <c r="H89" s="549"/>
      <c r="I89" s="549"/>
      <c r="J89" s="549"/>
      <c r="K89" s="549"/>
      <c r="L89" s="549"/>
      <c r="M89" s="576"/>
      <c r="N89" s="1146"/>
      <c r="O89" s="1146"/>
      <c r="P89" s="2670"/>
      <c r="Q89" s="499"/>
    </row>
    <row r="90" spans="1:17" s="114" customFormat="1" ht="14.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8"/>
      <c r="O90" s="1148"/>
      <c r="P90" s="2670"/>
      <c r="Q90" s="499"/>
    </row>
    <row r="91" spans="1:17" s="466" customFormat="1" ht="14.5" thickTop="1">
      <c r="A91" s="548"/>
      <c r="B91" s="533" t="str">
        <f>B28</f>
        <v>朝向</v>
      </c>
      <c r="C91" s="549"/>
      <c r="D91" s="549"/>
      <c r="E91" s="549"/>
      <c r="F91" s="549"/>
      <c r="G91" s="549"/>
      <c r="H91" s="550"/>
      <c r="I91" s="550"/>
      <c r="J91" s="550"/>
      <c r="K91" s="550"/>
      <c r="L91" s="551"/>
      <c r="M91" s="552"/>
      <c r="N91" s="1149"/>
      <c r="O91" s="1149"/>
      <c r="P91" s="2671"/>
      <c r="Q91" s="554"/>
    </row>
    <row r="92" spans="1:17" s="466" customFormat="1" ht="14.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9"/>
      <c r="O92" s="1149"/>
      <c r="P92" s="2671"/>
      <c r="Q92" s="554"/>
    </row>
    <row r="93" spans="1:17" ht="14.5" thickTop="1">
      <c r="A93" s="529"/>
      <c r="B93" s="533">
        <f>B29</f>
        <v>111</v>
      </c>
      <c r="C93" s="549"/>
      <c r="D93" s="549"/>
      <c r="E93" s="549"/>
      <c r="F93" s="549"/>
      <c r="G93" s="549"/>
      <c r="H93" s="549"/>
      <c r="I93" s="549"/>
      <c r="J93" s="549"/>
      <c r="K93" s="549"/>
      <c r="L93" s="575"/>
      <c r="M93" s="576"/>
      <c r="N93" s="1147"/>
      <c r="O93" s="1147"/>
      <c r="P93" s="2670"/>
      <c r="Q93" s="499"/>
    </row>
    <row r="94" spans="1:17" ht="14.5" thickBot="1">
      <c r="A94" s="529"/>
      <c r="B94" s="538"/>
      <c r="C94" s="555"/>
      <c r="D94" s="531"/>
      <c r="E94" s="531"/>
      <c r="F94" s="531"/>
      <c r="G94" s="531"/>
      <c r="H94" s="531"/>
      <c r="I94" s="531"/>
      <c r="J94" s="531"/>
      <c r="K94" s="531"/>
      <c r="L94" s="531"/>
      <c r="M94" s="532"/>
      <c r="N94" s="1148"/>
      <c r="O94" s="1148"/>
      <c r="P94" s="2670"/>
      <c r="Q94" s="499"/>
    </row>
    <row r="95" spans="1:17" ht="14.5" thickTop="1">
      <c r="A95" s="529"/>
      <c r="B95" s="533">
        <f>B30</f>
        <v>111</v>
      </c>
      <c r="C95" s="549"/>
      <c r="D95" s="549"/>
      <c r="E95" s="549"/>
      <c r="F95" s="549"/>
      <c r="G95" s="578"/>
      <c r="H95" s="578"/>
      <c r="I95" s="578"/>
      <c r="J95" s="578"/>
      <c r="K95" s="579"/>
      <c r="L95" s="580"/>
      <c r="M95" s="581"/>
      <c r="N95" s="1147"/>
      <c r="O95" s="1147"/>
      <c r="P95" s="2670"/>
      <c r="Q95" s="499"/>
    </row>
    <row r="96" spans="1:17" ht="14.5" thickBot="1">
      <c r="A96" s="529"/>
      <c r="B96" s="538"/>
      <c r="C96" s="555"/>
      <c r="D96" s="555"/>
      <c r="E96" s="555"/>
      <c r="F96" s="555"/>
      <c r="G96" s="531"/>
      <c r="H96" s="531"/>
      <c r="I96" s="531"/>
      <c r="J96" s="531"/>
      <c r="K96" s="531"/>
      <c r="L96" s="531"/>
      <c r="M96" s="532"/>
      <c r="N96" s="1148"/>
      <c r="O96" s="1148"/>
      <c r="P96" s="2670"/>
      <c r="Q96" s="499"/>
    </row>
    <row r="97" spans="1:17" ht="14.5" thickTop="1">
      <c r="A97" s="529"/>
      <c r="B97" s="533">
        <f>B31</f>
        <v>111</v>
      </c>
      <c r="C97" s="549"/>
      <c r="D97" s="549"/>
      <c r="E97" s="549"/>
      <c r="F97" s="549"/>
      <c r="G97" s="578"/>
      <c r="H97" s="578"/>
      <c r="I97" s="578"/>
      <c r="J97" s="578"/>
      <c r="K97" s="579"/>
      <c r="L97" s="580"/>
      <c r="M97" s="581"/>
      <c r="N97" s="1147"/>
      <c r="O97" s="1147"/>
      <c r="P97" s="2670"/>
      <c r="Q97" s="499"/>
    </row>
    <row r="98" spans="1:17" ht="14.5" thickBot="1">
      <c r="A98" s="529"/>
      <c r="B98" s="538"/>
      <c r="C98" s="555"/>
      <c r="D98" s="531"/>
      <c r="E98" s="531"/>
      <c r="F98" s="531"/>
      <c r="G98" s="531"/>
      <c r="H98" s="531"/>
      <c r="I98" s="531"/>
      <c r="J98" s="531"/>
      <c r="K98" s="531"/>
      <c r="L98" s="531"/>
      <c r="M98" s="532"/>
      <c r="N98" s="1148"/>
      <c r="O98" s="1148"/>
      <c r="P98" s="2670"/>
      <c r="Q98" s="499"/>
    </row>
    <row r="99" spans="1:17" ht="14.5" thickTop="1">
      <c r="A99" s="529"/>
      <c r="B99" s="541">
        <f>B32</f>
        <v>111</v>
      </c>
      <c r="C99" s="518"/>
      <c r="D99" s="518"/>
      <c r="E99" s="518"/>
      <c r="F99" s="518"/>
      <c r="G99" s="582"/>
      <c r="H99" s="582"/>
      <c r="I99" s="582"/>
      <c r="J99" s="582"/>
      <c r="K99" s="583"/>
      <c r="L99" s="584"/>
      <c r="M99" s="585"/>
      <c r="N99" s="1147"/>
      <c r="O99" s="1147"/>
      <c r="P99" s="2670"/>
      <c r="Q99" s="499"/>
    </row>
    <row r="100" spans="1:17" ht="14.5" thickBot="1">
      <c r="A100" s="2622"/>
      <c r="B100" s="564"/>
      <c r="C100" s="565"/>
      <c r="D100" s="565"/>
      <c r="E100" s="565"/>
      <c r="F100" s="565"/>
      <c r="G100" s="586"/>
      <c r="H100" s="586"/>
      <c r="I100" s="586"/>
      <c r="J100" s="586"/>
      <c r="K100" s="586"/>
      <c r="L100" s="586"/>
      <c r="M100" s="587"/>
      <c r="N100" s="1148"/>
      <c r="O100" s="1148"/>
      <c r="P100" s="2670"/>
      <c r="Q100" s="499"/>
    </row>
    <row r="101" spans="1:17">
      <c r="A101" s="522" t="s">
        <v>2557</v>
      </c>
      <c r="B101" s="523" t="s">
        <v>2606</v>
      </c>
      <c r="C101" s="525"/>
      <c r="D101" s="525"/>
      <c r="E101" s="525"/>
      <c r="F101" s="525"/>
      <c r="G101" s="525"/>
      <c r="H101" s="525"/>
      <c r="I101" s="525"/>
      <c r="J101" s="525"/>
      <c r="K101" s="526"/>
      <c r="L101" s="527"/>
      <c r="M101" s="528"/>
      <c r="N101" s="1147"/>
      <c r="O101" s="1147"/>
      <c r="P101" s="2670"/>
      <c r="Q101" s="499"/>
    </row>
    <row r="102" spans="1:17" ht="14.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8"/>
      <c r="O102" s="1148"/>
      <c r="P102" s="2670"/>
      <c r="Q102" s="499"/>
    </row>
    <row r="103" spans="1:17" ht="14.5" thickTop="1">
      <c r="A103" s="529"/>
      <c r="B103" s="533" t="s">
        <v>2607</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6"/>
      <c r="O103" s="1146"/>
      <c r="P103" s="2670"/>
      <c r="Q103" s="499"/>
    </row>
    <row r="104" spans="1:17" s="466" customFormat="1">
      <c r="A104" s="588"/>
      <c r="B104" s="589"/>
      <c r="C104" s="590"/>
      <c r="D104" s="590"/>
      <c r="E104" s="590"/>
      <c r="F104" s="590"/>
      <c r="G104" s="590"/>
      <c r="H104" s="590"/>
      <c r="I104" s="590"/>
      <c r="J104" s="591"/>
      <c r="K104" s="591"/>
      <c r="L104" s="592"/>
      <c r="M104" s="593"/>
      <c r="N104" s="1149"/>
      <c r="O104" s="1149"/>
      <c r="P104" s="2671"/>
      <c r="Q104" s="554"/>
    </row>
    <row r="105" spans="1:17" s="466" customFormat="1" ht="14.5" thickBot="1">
      <c r="A105" s="548"/>
      <c r="B105" s="538"/>
      <c r="C105" s="555"/>
      <c r="D105" s="531"/>
      <c r="E105" s="531"/>
      <c r="F105" s="531"/>
      <c r="G105" s="531"/>
      <c r="H105" s="531"/>
      <c r="I105" s="531"/>
      <c r="J105" s="531"/>
      <c r="K105" s="531"/>
      <c r="L105" s="531"/>
      <c r="M105" s="532"/>
      <c r="N105" s="1148"/>
      <c r="O105" s="1148"/>
      <c r="P105" s="2671"/>
      <c r="Q105" s="554"/>
    </row>
    <row r="106" spans="1:17" ht="14.5" thickTop="1">
      <c r="A106" s="594"/>
      <c r="B106" s="533" t="s">
        <v>2608</v>
      </c>
      <c r="C106" s="549"/>
      <c r="D106" s="549"/>
      <c r="E106" s="578"/>
      <c r="F106" s="578"/>
      <c r="G106" s="578"/>
      <c r="H106" s="578"/>
      <c r="I106" s="578"/>
      <c r="J106" s="578"/>
      <c r="K106" s="579"/>
      <c r="L106" s="580"/>
      <c r="M106" s="581"/>
      <c r="N106" s="1147"/>
      <c r="O106" s="1147"/>
      <c r="P106" s="2670"/>
      <c r="Q106" s="499"/>
    </row>
    <row r="107" spans="1:17" ht="14.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8"/>
      <c r="O107" s="1148"/>
      <c r="P107" s="2670"/>
      <c r="Q107" s="499"/>
    </row>
    <row r="108" spans="1:17" ht="14.5" thickTop="1">
      <c r="A108" s="594"/>
      <c r="B108" s="533" t="s">
        <v>2610</v>
      </c>
      <c r="C108" s="549"/>
      <c r="D108" s="549"/>
      <c r="E108" s="549"/>
      <c r="F108" s="578"/>
      <c r="G108" s="578"/>
      <c r="H108" s="578"/>
      <c r="I108" s="578"/>
      <c r="J108" s="578"/>
      <c r="K108" s="579"/>
      <c r="L108" s="580"/>
      <c r="M108" s="581"/>
      <c r="N108" s="1147"/>
      <c r="O108" s="1147"/>
      <c r="P108" s="2670"/>
      <c r="Q108" s="499"/>
    </row>
    <row r="109" spans="1:17" ht="14.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8"/>
      <c r="O109" s="1148"/>
      <c r="P109" s="2670"/>
      <c r="Q109" s="499"/>
    </row>
    <row r="110" spans="1:17" ht="14.5" thickTop="1">
      <c r="A110" s="594"/>
      <c r="B110" s="533" t="s">
        <v>1993</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7"/>
      <c r="O110" s="1147"/>
      <c r="P110" s="2670"/>
      <c r="Q110" s="499"/>
    </row>
    <row r="111" spans="1:17">
      <c r="A111" s="594"/>
      <c r="B111" s="541"/>
      <c r="C111" s="598">
        <v>0.5</v>
      </c>
      <c r="D111" s="598">
        <v>0.6</v>
      </c>
      <c r="E111" s="598">
        <v>0.7</v>
      </c>
      <c r="F111" s="598">
        <v>0.8</v>
      </c>
      <c r="G111" s="598">
        <v>0.9</v>
      </c>
      <c r="H111" s="598">
        <v>1.0001</v>
      </c>
      <c r="I111" s="618"/>
      <c r="J111" s="618"/>
      <c r="K111" s="619"/>
      <c r="L111" s="620"/>
      <c r="M111" s="621"/>
      <c r="N111" s="1147"/>
      <c r="O111" s="1147"/>
      <c r="P111" s="2670"/>
      <c r="Q111" s="499"/>
    </row>
    <row r="112" spans="1:17" ht="14.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8"/>
      <c r="O112" s="1148"/>
      <c r="P112" s="2670"/>
      <c r="Q112" s="499"/>
    </row>
    <row r="113" spans="1:17" s="466" customFormat="1" ht="14.5" thickTop="1">
      <c r="A113" s="588"/>
      <c r="B113" s="533" t="s">
        <v>2694</v>
      </c>
      <c r="C113" s="549"/>
      <c r="D113" s="549"/>
      <c r="E113" s="549"/>
      <c r="F113" s="549"/>
      <c r="G113" s="549"/>
      <c r="H113" s="578"/>
      <c r="I113" s="578"/>
      <c r="J113" s="578"/>
      <c r="K113" s="579"/>
      <c r="L113" s="580"/>
      <c r="M113" s="581"/>
      <c r="N113" s="1149"/>
      <c r="O113" s="1149"/>
      <c r="P113" s="2671"/>
      <c r="Q113" s="554"/>
    </row>
    <row r="114" spans="1:17" s="466" customFormat="1" ht="14.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9"/>
      <c r="O114" s="1149"/>
      <c r="P114" s="2671"/>
      <c r="Q114" s="554"/>
    </row>
    <row r="115" spans="1:17" ht="14.5" thickTop="1">
      <c r="A115" s="594"/>
      <c r="B115" s="533" t="s">
        <v>2611</v>
      </c>
      <c r="C115" s="549"/>
      <c r="D115" s="549"/>
      <c r="E115" s="578"/>
      <c r="F115" s="578"/>
      <c r="G115" s="578"/>
      <c r="H115" s="578"/>
      <c r="I115" s="578"/>
      <c r="J115" s="578"/>
      <c r="K115" s="579"/>
      <c r="L115" s="580"/>
      <c r="M115" s="581"/>
      <c r="N115" s="1147"/>
      <c r="O115" s="1147"/>
      <c r="P115" s="2670"/>
      <c r="Q115" s="499"/>
    </row>
    <row r="116" spans="1:17" ht="14.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8"/>
      <c r="O116" s="1148"/>
      <c r="P116" s="2670"/>
      <c r="Q116" s="499"/>
    </row>
    <row r="117" spans="1:17" ht="14.5" thickTop="1">
      <c r="A117" s="594"/>
      <c r="B117" s="533" t="s">
        <v>2612</v>
      </c>
      <c r="C117" s="549"/>
      <c r="D117" s="549"/>
      <c r="E117" s="549"/>
      <c r="F117" s="549"/>
      <c r="G117" s="549"/>
      <c r="H117" s="578"/>
      <c r="I117" s="578"/>
      <c r="J117" s="578"/>
      <c r="K117" s="579"/>
      <c r="L117" s="580"/>
      <c r="M117" s="581"/>
      <c r="N117" s="1147"/>
      <c r="O117" s="1147"/>
      <c r="P117" s="2670"/>
      <c r="Q117" s="499"/>
    </row>
    <row r="118" spans="1:17" ht="14.5" thickBot="1">
      <c r="A118" s="529"/>
      <c r="B118" s="538"/>
      <c r="C118" s="539">
        <v>100</v>
      </c>
      <c r="D118" s="539">
        <f>C118-$K40</f>
        <v>100</v>
      </c>
      <c r="E118" s="539">
        <f>D118-$K40</f>
        <v>100</v>
      </c>
      <c r="F118" s="539">
        <f>E118-$K40</f>
        <v>100</v>
      </c>
      <c r="G118" s="539">
        <f>F118-$K40</f>
        <v>100</v>
      </c>
      <c r="H118" s="539"/>
      <c r="I118" s="539"/>
      <c r="J118" s="539"/>
      <c r="K118" s="539"/>
      <c r="L118" s="539"/>
      <c r="M118" s="540"/>
      <c r="N118" s="1148"/>
      <c r="O118" s="1148"/>
      <c r="P118" s="2670"/>
      <c r="Q118" s="499"/>
    </row>
    <row r="119" spans="1:17" ht="14.5" thickTop="1">
      <c r="A119" s="594"/>
      <c r="B119" s="631" t="s">
        <v>2695</v>
      </c>
      <c r="C119" s="578"/>
      <c r="D119" s="578"/>
      <c r="E119" s="578"/>
      <c r="F119" s="578"/>
      <c r="G119" s="578"/>
      <c r="H119" s="578"/>
      <c r="I119" s="578"/>
      <c r="J119" s="578"/>
      <c r="K119" s="578"/>
      <c r="L119" s="2675"/>
      <c r="M119" s="2676"/>
      <c r="N119" s="1148"/>
      <c r="O119" s="1148"/>
      <c r="P119" s="2677"/>
      <c r="Q119" s="633"/>
    </row>
    <row r="120" spans="1:17" ht="14.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8"/>
      <c r="O120" s="1148"/>
      <c r="P120" s="2670"/>
      <c r="Q120" s="499"/>
    </row>
    <row r="121" spans="1:17" s="466" customFormat="1" ht="14.5" thickTop="1">
      <c r="A121" s="588"/>
      <c r="B121" s="533" t="s">
        <v>2678</v>
      </c>
      <c r="C121" s="549"/>
      <c r="D121" s="549"/>
      <c r="E121" s="549"/>
      <c r="F121" s="578"/>
      <c r="G121" s="550"/>
      <c r="H121" s="550"/>
      <c r="I121" s="550"/>
      <c r="J121" s="550"/>
      <c r="K121" s="550"/>
      <c r="L121" s="551"/>
      <c r="M121" s="552"/>
      <c r="N121" s="1149"/>
      <c r="O121" s="1149"/>
      <c r="P121" s="2671"/>
      <c r="Q121" s="554"/>
    </row>
    <row r="122" spans="1:17" s="466" customFormat="1" ht="14.5" thickBot="1">
      <c r="A122" s="548"/>
      <c r="B122" s="530"/>
      <c r="C122" s="555"/>
      <c r="D122" s="555"/>
      <c r="E122" s="555"/>
      <c r="F122" s="555"/>
      <c r="G122" s="555"/>
      <c r="H122" s="555"/>
      <c r="I122" s="555"/>
      <c r="J122" s="555"/>
      <c r="K122" s="555"/>
      <c r="L122" s="555"/>
      <c r="M122" s="555"/>
      <c r="N122" s="1149"/>
      <c r="O122" s="1149"/>
      <c r="P122" s="2671"/>
      <c r="Q122" s="554"/>
    </row>
    <row r="123" spans="1:17" ht="14.5" thickTop="1">
      <c r="A123" s="594"/>
      <c r="B123" s="533" t="s">
        <v>2614</v>
      </c>
      <c r="C123" s="549"/>
      <c r="D123" s="549"/>
      <c r="E123" s="549"/>
      <c r="F123" s="578"/>
      <c r="G123" s="578"/>
      <c r="H123" s="578"/>
      <c r="I123" s="578"/>
      <c r="J123" s="578"/>
      <c r="K123" s="579"/>
      <c r="L123" s="580"/>
      <c r="M123" s="581"/>
      <c r="N123" s="1147"/>
      <c r="O123" s="1147"/>
      <c r="P123" s="2670"/>
      <c r="Q123" s="499"/>
    </row>
    <row r="124" spans="1:17" ht="14.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8"/>
      <c r="O124" s="1148"/>
      <c r="P124" s="2670"/>
      <c r="Q124" s="499"/>
    </row>
    <row r="125" spans="1:17" ht="28.5" thickTop="1">
      <c r="A125" s="594"/>
      <c r="B125" s="533" t="s">
        <v>2615</v>
      </c>
      <c r="C125" s="573" t="s">
        <v>2591</v>
      </c>
      <c r="D125" s="573" t="s">
        <v>2592</v>
      </c>
      <c r="E125" s="573" t="s">
        <v>2593</v>
      </c>
      <c r="F125" s="573" t="s">
        <v>2594</v>
      </c>
      <c r="G125" s="573" t="s">
        <v>2595</v>
      </c>
      <c r="H125" s="534"/>
      <c r="I125" s="534"/>
      <c r="J125" s="534"/>
      <c r="K125" s="535"/>
      <c r="L125" s="536"/>
      <c r="M125" s="537"/>
      <c r="N125" s="1147"/>
      <c r="O125" s="1147"/>
      <c r="P125" s="2671"/>
      <c r="Q125" s="499"/>
    </row>
    <row r="126" spans="1:17" ht="14.5" thickBot="1">
      <c r="A126" s="529"/>
      <c r="B126" s="538"/>
      <c r="C126" s="539">
        <v>100</v>
      </c>
      <c r="D126" s="539">
        <f>C126-$K44</f>
        <v>100</v>
      </c>
      <c r="E126" s="539">
        <f>D126-$K44</f>
        <v>100</v>
      </c>
      <c r="F126" s="539">
        <f>E126-$K44</f>
        <v>100</v>
      </c>
      <c r="G126" s="539">
        <f>F126-$K44</f>
        <v>100</v>
      </c>
      <c r="H126" s="539"/>
      <c r="I126" s="539"/>
      <c r="J126" s="539"/>
      <c r="K126" s="539"/>
      <c r="L126" s="539"/>
      <c r="M126" s="540"/>
      <c r="N126" s="1148"/>
      <c r="O126" s="1148"/>
      <c r="P126" s="2670"/>
      <c r="Q126" s="499"/>
    </row>
    <row r="127" spans="1:17" s="466" customFormat="1" ht="14.5" thickTop="1">
      <c r="A127" s="588"/>
      <c r="B127" s="533">
        <f>B45</f>
        <v>111</v>
      </c>
      <c r="C127" s="549"/>
      <c r="D127" s="549"/>
      <c r="E127" s="549"/>
      <c r="F127" s="549"/>
      <c r="G127" s="549"/>
      <c r="H127" s="550"/>
      <c r="I127" s="550"/>
      <c r="J127" s="550"/>
      <c r="K127" s="550"/>
      <c r="L127" s="551"/>
      <c r="M127" s="552"/>
      <c r="N127" s="1149"/>
      <c r="O127" s="1149"/>
      <c r="P127" s="2671"/>
      <c r="Q127" s="554"/>
    </row>
    <row r="128" spans="1:17" s="466" customFormat="1" ht="14.5" thickBot="1">
      <c r="A128" s="548"/>
      <c r="B128" s="538"/>
      <c r="C128" s="555"/>
      <c r="D128" s="531"/>
      <c r="E128" s="531"/>
      <c r="F128" s="531"/>
      <c r="G128" s="555"/>
      <c r="H128" s="557"/>
      <c r="I128" s="557"/>
      <c r="J128" s="557"/>
      <c r="K128" s="557"/>
      <c r="L128" s="557"/>
      <c r="M128" s="558"/>
      <c r="N128" s="1149"/>
      <c r="O128" s="1149"/>
      <c r="P128" s="2671"/>
      <c r="Q128" s="554"/>
    </row>
    <row r="129" spans="1:17" ht="14.5" thickTop="1">
      <c r="A129" s="594"/>
      <c r="B129" s="533">
        <f>B46</f>
        <v>111</v>
      </c>
      <c r="C129" s="549"/>
      <c r="D129" s="549"/>
      <c r="E129" s="549"/>
      <c r="F129" s="549"/>
      <c r="G129" s="578"/>
      <c r="H129" s="578"/>
      <c r="I129" s="578"/>
      <c r="J129" s="578"/>
      <c r="K129" s="579"/>
      <c r="L129" s="580"/>
      <c r="M129" s="581"/>
      <c r="N129" s="1147"/>
      <c r="O129" s="1147"/>
      <c r="P129" s="2670"/>
      <c r="Q129" s="499"/>
    </row>
    <row r="130" spans="1:17" ht="14.5" thickBot="1">
      <c r="A130" s="529"/>
      <c r="B130" s="538"/>
      <c r="C130" s="555"/>
      <c r="D130" s="555"/>
      <c r="E130" s="555"/>
      <c r="F130" s="555"/>
      <c r="G130" s="531"/>
      <c r="H130" s="531"/>
      <c r="I130" s="531"/>
      <c r="J130" s="531"/>
      <c r="K130" s="531"/>
      <c r="L130" s="531"/>
      <c r="M130" s="532"/>
      <c r="N130" s="1148"/>
      <c r="O130" s="1148"/>
      <c r="P130" s="2670"/>
      <c r="Q130" s="499"/>
    </row>
    <row r="131" spans="1:17" ht="14.5" thickTop="1">
      <c r="A131" s="594"/>
      <c r="B131" s="541">
        <f>B47</f>
        <v>111</v>
      </c>
      <c r="C131" s="518"/>
      <c r="D131" s="518"/>
      <c r="E131" s="518"/>
      <c r="F131" s="518"/>
      <c r="G131" s="582"/>
      <c r="H131" s="582"/>
      <c r="I131" s="582"/>
      <c r="J131" s="582"/>
      <c r="K131" s="518"/>
      <c r="L131" s="519"/>
      <c r="M131" s="585"/>
      <c r="N131" s="1147"/>
      <c r="O131" s="1147"/>
      <c r="P131" s="2670"/>
      <c r="Q131" s="499"/>
    </row>
    <row r="132" spans="1:17" ht="14.5" thickBot="1">
      <c r="A132" s="2622"/>
      <c r="B132" s="564"/>
      <c r="C132" s="565"/>
      <c r="D132" s="565"/>
      <c r="E132" s="565"/>
      <c r="F132" s="565"/>
      <c r="G132" s="586"/>
      <c r="H132" s="586"/>
      <c r="I132" s="586"/>
      <c r="J132" s="586"/>
      <c r="K132" s="586"/>
      <c r="L132" s="586"/>
      <c r="M132" s="587"/>
      <c r="N132" s="1148"/>
      <c r="O132" s="1148"/>
      <c r="P132" s="2670"/>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398" customWidth="1"/>
    <col min="2" max="2" width="15.90625" style="398" customWidth="1"/>
    <col min="3" max="3" width="14.3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39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2522</v>
      </c>
      <c r="B1" s="2655" t="s">
        <v>2696</v>
      </c>
      <c r="C1" s="1615" t="s">
        <v>2524</v>
      </c>
      <c r="D1" s="1616"/>
      <c r="E1" s="1625"/>
      <c r="F1" s="2571"/>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2324</v>
      </c>
      <c r="B2" s="1413" t="e">
        <f ca="1">IF(C2="——",ROUND(C43*D3/10000,0),ROUND(C43*D3/10000,0)-D2)</f>
        <v>#DIV/0!</v>
      </c>
      <c r="C2" s="2573"/>
      <c r="D2" s="1119" t="e">
        <f ca="1">SUMIF(INDIRECT("'"&amp;F2&amp;"'"&amp;"!A:A"),"承租人权益价值",INDIRECT("'"&amp;F2&amp;"'"&amp;"!c:c"))</f>
        <v>#REF!</v>
      </c>
      <c r="E2" s="2574" t="s">
        <v>2325</v>
      </c>
      <c r="F2" s="2575"/>
      <c r="G2" s="1120"/>
      <c r="H2" s="1120"/>
      <c r="I2" s="1120"/>
      <c r="J2" s="1120"/>
      <c r="K2" s="1120"/>
      <c r="L2" s="1123"/>
      <c r="M2" s="1124"/>
      <c r="N2" s="1124"/>
      <c r="O2" s="1124"/>
      <c r="P2" s="763"/>
      <c r="Q2" s="763"/>
      <c r="R2" s="763"/>
      <c r="S2" s="763"/>
      <c r="T2" s="763"/>
      <c r="U2" s="763"/>
      <c r="V2" s="763"/>
      <c r="W2" s="763"/>
      <c r="X2" s="763"/>
      <c r="Y2" s="763"/>
      <c r="Z2" s="763"/>
      <c r="AA2" s="763"/>
      <c r="AB2" s="763"/>
      <c r="AC2" s="777"/>
    </row>
    <row r="3" spans="1:29" s="393" customFormat="1" ht="28.5" customHeight="1" thickBot="1">
      <c r="A3" s="242" t="s">
        <v>2326</v>
      </c>
      <c r="B3" s="604" t="e">
        <f ca="1">IF(C2="——",C43,ROUND(B2*10000/D3,0))</f>
        <v>#DIV/0!</v>
      </c>
      <c r="C3" s="395" t="s">
        <v>2638</v>
      </c>
      <c r="D3" s="394">
        <f>IF(D1="",'数据-汇总表'!E3,SUMIF('数据-汇总表'!$C19:$C33,D1,'数据-汇总表'!$E19:$E33))</f>
        <v>212264.80000000002</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c r="A4" s="396" t="s">
        <v>2639</v>
      </c>
      <c r="B4" s="397"/>
      <c r="C4" s="3234" t="s">
        <v>2640</v>
      </c>
      <c r="D4" s="3247"/>
      <c r="E4" s="3248" t="s">
        <v>2641</v>
      </c>
      <c r="F4" s="3249"/>
      <c r="G4" s="3234" t="s">
        <v>2642</v>
      </c>
      <c r="H4" s="3247"/>
      <c r="I4" s="3234" t="s">
        <v>2643</v>
      </c>
      <c r="J4" s="3247"/>
      <c r="K4" s="605" t="s">
        <v>2644</v>
      </c>
      <c r="L4" s="1125"/>
      <c r="M4" s="1126"/>
      <c r="N4" s="1126"/>
      <c r="O4" s="1126"/>
      <c r="P4" s="3250" t="s">
        <v>2645</v>
      </c>
      <c r="Q4" s="3251"/>
      <c r="R4" s="3256" t="s">
        <v>2641</v>
      </c>
      <c r="S4" s="3257"/>
      <c r="T4" s="3256" t="s">
        <v>2642</v>
      </c>
      <c r="U4" s="3257"/>
      <c r="V4" s="3243" t="s">
        <v>2643</v>
      </c>
      <c r="W4" s="3243"/>
      <c r="X4" s="1808"/>
      <c r="Y4" s="3256" t="s">
        <v>2645</v>
      </c>
      <c r="Z4" s="3257"/>
      <c r="AA4" s="3244" t="s">
        <v>2641</v>
      </c>
      <c r="AB4" s="3245" t="s">
        <v>2642</v>
      </c>
      <c r="AC4" s="3244" t="s">
        <v>2643</v>
      </c>
    </row>
    <row r="5" spans="1:29">
      <c r="A5" s="399"/>
      <c r="B5" s="400"/>
      <c r="C5" s="3264" t="s">
        <v>2536</v>
      </c>
      <c r="D5" s="3265"/>
      <c r="E5" s="3271" t="s">
        <v>2537</v>
      </c>
      <c r="F5" s="3272"/>
      <c r="G5" s="3264" t="s">
        <v>2538</v>
      </c>
      <c r="H5" s="3265"/>
      <c r="I5" s="3264" t="s">
        <v>2539</v>
      </c>
      <c r="J5" s="3265"/>
      <c r="K5" s="605"/>
      <c r="L5" s="1125"/>
      <c r="M5" s="1126"/>
      <c r="N5" s="1126"/>
      <c r="O5" s="1126"/>
      <c r="P5" s="3252"/>
      <c r="Q5" s="3253"/>
      <c r="R5" s="3258"/>
      <c r="S5" s="3259"/>
      <c r="T5" s="3258"/>
      <c r="U5" s="3259"/>
      <c r="V5" s="3243"/>
      <c r="W5" s="3243"/>
      <c r="X5" s="1808"/>
      <c r="Y5" s="3258"/>
      <c r="Z5" s="3259"/>
      <c r="AA5" s="3245"/>
      <c r="AB5" s="3245"/>
      <c r="AC5" s="3245"/>
    </row>
    <row r="6" spans="1:29" ht="15" thickBot="1">
      <c r="A6" s="401"/>
      <c r="B6" s="402"/>
      <c r="C6" s="3262" t="s">
        <v>2540</v>
      </c>
      <c r="D6" s="3263"/>
      <c r="E6" s="3269" t="s">
        <v>2540</v>
      </c>
      <c r="F6" s="3270"/>
      <c r="G6" s="3262" t="s">
        <v>2540</v>
      </c>
      <c r="H6" s="3263"/>
      <c r="I6" s="3262" t="s">
        <v>2540</v>
      </c>
      <c r="J6" s="3263"/>
      <c r="K6" s="605" t="s">
        <v>2541</v>
      </c>
      <c r="L6" s="1125"/>
      <c r="M6" s="1126"/>
      <c r="N6" s="1126"/>
      <c r="O6" s="1126"/>
      <c r="P6" s="3254"/>
      <c r="Q6" s="3255"/>
      <c r="R6" s="3258"/>
      <c r="S6" s="3259"/>
      <c r="T6" s="3260"/>
      <c r="U6" s="3261"/>
      <c r="V6" s="3243"/>
      <c r="W6" s="3243"/>
      <c r="X6" s="1808"/>
      <c r="Y6" s="3260"/>
      <c r="Z6" s="3261"/>
      <c r="AA6" s="3246"/>
      <c r="AB6" s="3246"/>
      <c r="AC6" s="3246"/>
    </row>
    <row r="7" spans="1:29" s="114" customFormat="1" ht="14.5" thickBot="1">
      <c r="A7" s="403" t="s">
        <v>2542</v>
      </c>
      <c r="B7" s="404"/>
      <c r="C7" s="405">
        <f>'数据-取费表'!B2</f>
        <v>43903</v>
      </c>
      <c r="D7" s="406">
        <v>100</v>
      </c>
      <c r="E7" s="407"/>
      <c r="F7" s="408">
        <f>SUMIF(52:52,YEAR(E7)&amp;"-"&amp;MONTH(E7),53:53)</f>
        <v>0</v>
      </c>
      <c r="G7" s="407"/>
      <c r="H7" s="406">
        <f>SUMIF(52:52,YEAR(G7)&amp;"-"&amp;MONTH(G7),53:53)</f>
        <v>0</v>
      </c>
      <c r="I7" s="407"/>
      <c r="J7" s="406">
        <f>SUMIF(52:52,YEAR(I7)&amp;"-"&amp;MONTH(I7),53:53)</f>
        <v>0</v>
      </c>
      <c r="K7" s="606"/>
      <c r="L7" s="1127"/>
      <c r="M7" s="1128"/>
      <c r="N7" s="1128"/>
      <c r="O7" s="1128"/>
      <c r="P7" s="3266" t="s">
        <v>2543</v>
      </c>
      <c r="Q7" s="3268"/>
      <c r="R7" s="765" t="s">
        <v>17</v>
      </c>
      <c r="S7" s="766">
        <f t="shared" ref="S7:S15" si="0">F7</f>
        <v>0</v>
      </c>
      <c r="T7" s="765" t="s">
        <v>17</v>
      </c>
      <c r="U7" s="766">
        <f t="shared" ref="U7:U15" si="1">H7</f>
        <v>0</v>
      </c>
      <c r="V7" s="765" t="s">
        <v>17</v>
      </c>
      <c r="W7" s="766">
        <f t="shared" ref="W7:W15" si="2">J7</f>
        <v>0</v>
      </c>
      <c r="X7" s="767"/>
      <c r="Y7" s="3266" t="s">
        <v>2543</v>
      </c>
      <c r="Z7" s="3267"/>
      <c r="AA7" s="768" t="e">
        <f>D7/F7</f>
        <v>#DIV/0!</v>
      </c>
      <c r="AB7" s="768" t="e">
        <f>D7/H7</f>
        <v>#DIV/0!</v>
      </c>
      <c r="AC7" s="768" t="e">
        <f>D7/J7</f>
        <v>#DIV/0!</v>
      </c>
    </row>
    <row r="8" spans="1:29" s="114" customFormat="1" ht="14.5" thickBot="1">
      <c r="A8" s="403" t="s">
        <v>2544</v>
      </c>
      <c r="B8" s="404"/>
      <c r="C8" s="409" t="s">
        <v>2545</v>
      </c>
      <c r="D8" s="406">
        <v>100</v>
      </c>
      <c r="E8" s="409"/>
      <c r="F8" s="408">
        <f>SUMIF(55:55,E8,56:56)-SUMIF(55:55,C8,56:56)+100</f>
        <v>0</v>
      </c>
      <c r="G8" s="409"/>
      <c r="H8" s="406">
        <f>SUMIF(55:55,G8,56:56)-SUMIF(55:55,C8,56:56)+100</f>
        <v>0</v>
      </c>
      <c r="I8" s="409"/>
      <c r="J8" s="406">
        <f>SUMIF(55:55,I8,56:56)-SUMIF(55:55,C8,56:56)+100</f>
        <v>0</v>
      </c>
      <c r="K8" s="606"/>
      <c r="L8" s="1127"/>
      <c r="M8" s="1128"/>
      <c r="N8" s="1128"/>
      <c r="O8" s="1128"/>
      <c r="P8" s="3266" t="s">
        <v>2546</v>
      </c>
      <c r="Q8" s="3267"/>
      <c r="R8" s="765" t="s">
        <v>17</v>
      </c>
      <c r="S8" s="766">
        <f t="shared" si="0"/>
        <v>0</v>
      </c>
      <c r="T8" s="765" t="s">
        <v>17</v>
      </c>
      <c r="U8" s="766">
        <f t="shared" si="1"/>
        <v>0</v>
      </c>
      <c r="V8" s="765" t="s">
        <v>17</v>
      </c>
      <c r="W8" s="766">
        <f t="shared" si="2"/>
        <v>0</v>
      </c>
      <c r="X8" s="767"/>
      <c r="Y8" s="3266" t="s">
        <v>2546</v>
      </c>
      <c r="Z8" s="3267"/>
      <c r="AA8" s="768" t="e">
        <f t="shared" ref="AA8:AA40" si="3">D8/F8</f>
        <v>#DIV/0!</v>
      </c>
      <c r="AB8" s="768" t="e">
        <f t="shared" ref="AB8:AB40" si="4">D8/H8</f>
        <v>#DIV/0!</v>
      </c>
      <c r="AC8" s="768" t="e">
        <f t="shared" ref="AC8:AC40" si="5">D8/J8</f>
        <v>#DIV/0!</v>
      </c>
    </row>
    <row r="9" spans="1:29" s="114" customFormat="1">
      <c r="A9" s="410" t="s">
        <v>2547</v>
      </c>
      <c r="B9" s="68" t="s">
        <v>2548</v>
      </c>
      <c r="C9" s="411"/>
      <c r="D9" s="130">
        <v>100</v>
      </c>
      <c r="E9" s="414"/>
      <c r="F9" s="130">
        <f>SUMIF(57:57,E9,58:58)-SUMIF(57:57,C9,58:58)+100</f>
        <v>100</v>
      </c>
      <c r="G9" s="412"/>
      <c r="H9" s="130">
        <f>SUMIF(57:57,G9,58:58)-SUMIF(57:57,C9,58:58)+100</f>
        <v>100</v>
      </c>
      <c r="I9" s="412"/>
      <c r="J9" s="130">
        <f>SUMIF(57:57,I9,58:58)-SUMIF(57:57,C9,58:58)+100</f>
        <v>100</v>
      </c>
      <c r="K9" s="606"/>
      <c r="L9" s="1127"/>
      <c r="M9" s="1128"/>
      <c r="N9" s="1128"/>
      <c r="O9" s="1129"/>
      <c r="P9" s="3237" t="s">
        <v>2549</v>
      </c>
      <c r="Q9" s="1790" t="str">
        <f t="shared" ref="Q9:Q15" si="6">B9</f>
        <v>用途</v>
      </c>
      <c r="R9" s="765" t="s">
        <v>17</v>
      </c>
      <c r="S9" s="766">
        <f t="shared" si="0"/>
        <v>100</v>
      </c>
      <c r="T9" s="765" t="s">
        <v>17</v>
      </c>
      <c r="U9" s="766">
        <f t="shared" si="1"/>
        <v>100</v>
      </c>
      <c r="V9" s="765" t="s">
        <v>17</v>
      </c>
      <c r="W9" s="766">
        <f t="shared" si="2"/>
        <v>100</v>
      </c>
      <c r="X9" s="767"/>
      <c r="Y9" s="3085" t="s">
        <v>2550</v>
      </c>
      <c r="Z9" s="52" t="str">
        <f t="shared" ref="Z9:Z15" si="7">Q9</f>
        <v>用途</v>
      </c>
      <c r="AA9" s="768">
        <f t="shared" si="3"/>
        <v>1</v>
      </c>
      <c r="AB9" s="768">
        <f t="shared" si="4"/>
        <v>1</v>
      </c>
      <c r="AC9" s="768">
        <f t="shared" si="5"/>
        <v>1</v>
      </c>
    </row>
    <row r="10" spans="1:29" s="422" customFormat="1" ht="28">
      <c r="A10" s="416"/>
      <c r="B10" s="417" t="s">
        <v>2551</v>
      </c>
      <c r="C10" s="418"/>
      <c r="D10" s="131">
        <v>100</v>
      </c>
      <c r="E10" s="418"/>
      <c r="F10" s="131">
        <f>SUMIF(59:59,E10,60:60)-SUMIF(59:59,C10,60:60)+100</f>
        <v>100</v>
      </c>
      <c r="G10" s="419"/>
      <c r="H10" s="131">
        <f>SUMIF(59:59,G10,60:60)-SUMIF(59:59,C10,60:60)+100</f>
        <v>100</v>
      </c>
      <c r="I10" s="418"/>
      <c r="J10" s="131">
        <f>SUMIF(59:59,I10,60:60)-SUMIF(59:59,C10,60:60)+100</f>
        <v>100</v>
      </c>
      <c r="K10" s="607"/>
      <c r="L10" s="1130"/>
      <c r="M10" s="1131"/>
      <c r="N10" s="1131"/>
      <c r="O10" s="1132"/>
      <c r="P10" s="3237"/>
      <c r="Q10" s="1790" t="str">
        <f t="shared" si="6"/>
        <v>土地使用年限（年）</v>
      </c>
      <c r="R10" s="765" t="s">
        <v>17</v>
      </c>
      <c r="S10" s="766">
        <f t="shared" si="0"/>
        <v>100</v>
      </c>
      <c r="T10" s="765" t="s">
        <v>17</v>
      </c>
      <c r="U10" s="766">
        <f t="shared" si="1"/>
        <v>100</v>
      </c>
      <c r="V10" s="765" t="s">
        <v>17</v>
      </c>
      <c r="W10" s="766">
        <f t="shared" si="2"/>
        <v>100</v>
      </c>
      <c r="X10" s="767"/>
      <c r="Y10" s="3085"/>
      <c r="Z10" s="52" t="str">
        <f t="shared" si="7"/>
        <v>土地使用年限（年）</v>
      </c>
      <c r="AA10" s="768">
        <f t="shared" si="3"/>
        <v>1</v>
      </c>
      <c r="AB10" s="768">
        <f t="shared" si="4"/>
        <v>1</v>
      </c>
      <c r="AC10" s="768">
        <f t="shared" si="5"/>
        <v>1</v>
      </c>
    </row>
    <row r="11" spans="1:29" ht="15.5">
      <c r="A11" s="423"/>
      <c r="B11" s="417" t="s">
        <v>2552</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3"/>
      <c r="M11" s="1126"/>
      <c r="N11" s="1126"/>
      <c r="O11" s="1134"/>
      <c r="P11" s="3237"/>
      <c r="Q11" s="1790" t="str">
        <f t="shared" si="6"/>
        <v>容积率</v>
      </c>
      <c r="R11" s="765" t="s">
        <v>17</v>
      </c>
      <c r="S11" s="766" t="e">
        <f t="shared" si="0"/>
        <v>#N/A</v>
      </c>
      <c r="T11" s="765" t="s">
        <v>17</v>
      </c>
      <c r="U11" s="766" t="e">
        <f t="shared" si="1"/>
        <v>#N/A</v>
      </c>
      <c r="V11" s="765" t="s">
        <v>17</v>
      </c>
      <c r="W11" s="766" t="e">
        <f t="shared" si="2"/>
        <v>#N/A</v>
      </c>
      <c r="X11" s="767"/>
      <c r="Y11" s="3085"/>
      <c r="Z11" s="52" t="str">
        <f t="shared" si="7"/>
        <v>容积率</v>
      </c>
      <c r="AA11" s="768" t="e">
        <f t="shared" si="3"/>
        <v>#N/A</v>
      </c>
      <c r="AB11" s="768" t="e">
        <f t="shared" si="4"/>
        <v>#N/A</v>
      </c>
      <c r="AC11" s="768" t="e">
        <f t="shared" si="5"/>
        <v>#N/A</v>
      </c>
    </row>
    <row r="12" spans="1:29" s="114" customFormat="1" ht="15.5">
      <c r="A12" s="426"/>
      <c r="B12" s="2587">
        <v>111</v>
      </c>
      <c r="C12" s="427"/>
      <c r="D12" s="428">
        <v>100</v>
      </c>
      <c r="E12" s="429"/>
      <c r="F12" s="131">
        <f>SUMIF(64:64,E12,65:65)-SUMIF(64:64,C12,65:65)+100</f>
        <v>100</v>
      </c>
      <c r="G12" s="2678"/>
      <c r="H12" s="131">
        <f>SUMIF(64:64,G12,65:65)-SUMIF(64:64,C12,65:65)+100</f>
        <v>100</v>
      </c>
      <c r="I12" s="464"/>
      <c r="J12" s="131">
        <f>SUMIF(64:64,I12,65:65)-SUMIF(64:64,C12,65:65)+100</f>
        <v>100</v>
      </c>
      <c r="K12" s="608"/>
      <c r="L12" s="1127"/>
      <c r="M12" s="1128"/>
      <c r="N12" s="1128"/>
      <c r="O12" s="1129"/>
      <c r="P12" s="3237"/>
      <c r="Q12" s="1790">
        <f t="shared" si="6"/>
        <v>111</v>
      </c>
      <c r="R12" s="765" t="s">
        <v>17</v>
      </c>
      <c r="S12" s="766">
        <f t="shared" si="0"/>
        <v>100</v>
      </c>
      <c r="T12" s="765" t="s">
        <v>17</v>
      </c>
      <c r="U12" s="766">
        <f t="shared" si="1"/>
        <v>100</v>
      </c>
      <c r="V12" s="765" t="s">
        <v>17</v>
      </c>
      <c r="W12" s="766">
        <f t="shared" si="2"/>
        <v>100</v>
      </c>
      <c r="X12" s="767"/>
      <c r="Y12" s="3085"/>
      <c r="Z12" s="52">
        <f t="shared" si="7"/>
        <v>111</v>
      </c>
      <c r="AA12" s="768">
        <f>D12/F12</f>
        <v>1</v>
      </c>
      <c r="AB12" s="768">
        <f>D12/H12</f>
        <v>1</v>
      </c>
      <c r="AC12" s="768">
        <f>D12/J12</f>
        <v>1</v>
      </c>
    </row>
    <row r="13" spans="1:29" ht="15.5">
      <c r="A13" s="423"/>
      <c r="B13" s="2587">
        <v>111</v>
      </c>
      <c r="C13" s="429"/>
      <c r="D13" s="430">
        <v>100</v>
      </c>
      <c r="E13" s="429"/>
      <c r="F13" s="131">
        <f>SUMIF(66:66,E13,67:67)-SUMIF(66:66,C13,67:67)+100</f>
        <v>100</v>
      </c>
      <c r="G13" s="2678"/>
      <c r="H13" s="430">
        <f>SUMIF(66:66,G13,67:67)-SUMIF(66:66,C13,67:67)+100</f>
        <v>100</v>
      </c>
      <c r="I13" s="464"/>
      <c r="J13" s="430">
        <f>SUMIF(66:66,I13,67:67)-SUMIF(66:66,C13,67:67)+100</f>
        <v>100</v>
      </c>
      <c r="K13" s="608"/>
      <c r="L13" s="1135"/>
      <c r="M13" s="1126"/>
      <c r="N13" s="1126"/>
      <c r="O13" s="1134"/>
      <c r="P13" s="3237"/>
      <c r="Q13" s="1790">
        <f t="shared" si="6"/>
        <v>111</v>
      </c>
      <c r="R13" s="765" t="s">
        <v>17</v>
      </c>
      <c r="S13" s="766">
        <f t="shared" si="0"/>
        <v>100</v>
      </c>
      <c r="T13" s="765" t="s">
        <v>17</v>
      </c>
      <c r="U13" s="766">
        <f t="shared" si="1"/>
        <v>100</v>
      </c>
      <c r="V13" s="765" t="s">
        <v>17</v>
      </c>
      <c r="W13" s="766">
        <f t="shared" si="2"/>
        <v>100</v>
      </c>
      <c r="X13" s="767"/>
      <c r="Y13" s="3085"/>
      <c r="Z13" s="52">
        <f t="shared" si="7"/>
        <v>111</v>
      </c>
      <c r="AA13" s="768">
        <f t="shared" si="3"/>
        <v>1</v>
      </c>
      <c r="AB13" s="768">
        <f t="shared" si="4"/>
        <v>1</v>
      </c>
      <c r="AC13" s="768">
        <f t="shared" si="5"/>
        <v>1</v>
      </c>
    </row>
    <row r="14" spans="1:29" ht="16" thickBot="1">
      <c r="A14" s="431"/>
      <c r="B14" s="2589">
        <v>111</v>
      </c>
      <c r="C14" s="432"/>
      <c r="D14" s="433">
        <v>100</v>
      </c>
      <c r="E14" s="432"/>
      <c r="F14" s="433">
        <f>SUMIF(68:68,E14,69:69)-SUMIF(68:68,C14,69:69)+100</f>
        <v>100</v>
      </c>
      <c r="G14" s="2678"/>
      <c r="H14" s="433">
        <f>SUMIF(68:68,G14,69:69)-SUMIF(68:68,C14,69:69)+100</f>
        <v>100</v>
      </c>
      <c r="I14" s="464"/>
      <c r="J14" s="433">
        <f>SUMIF(68:68,I14,69:69)-SUMIF(68:68,C14,69:69)+100</f>
        <v>100</v>
      </c>
      <c r="K14" s="608"/>
      <c r="L14" s="1135"/>
      <c r="M14" s="1126"/>
      <c r="N14" s="1126"/>
      <c r="O14" s="1134"/>
      <c r="P14" s="3237"/>
      <c r="Q14" s="1790">
        <f t="shared" si="6"/>
        <v>111</v>
      </c>
      <c r="R14" s="765" t="s">
        <v>17</v>
      </c>
      <c r="S14" s="766">
        <f t="shared" si="0"/>
        <v>100</v>
      </c>
      <c r="T14" s="765" t="s">
        <v>17</v>
      </c>
      <c r="U14" s="766">
        <f t="shared" si="1"/>
        <v>100</v>
      </c>
      <c r="V14" s="765" t="s">
        <v>17</v>
      </c>
      <c r="W14" s="766">
        <f t="shared" si="2"/>
        <v>100</v>
      </c>
      <c r="X14" s="767"/>
      <c r="Y14" s="3085"/>
      <c r="Z14" s="52">
        <f t="shared" si="7"/>
        <v>111</v>
      </c>
      <c r="AA14" s="768">
        <f t="shared" si="3"/>
        <v>1</v>
      </c>
      <c r="AB14" s="768">
        <f t="shared" si="4"/>
        <v>1</v>
      </c>
      <c r="AC14" s="768">
        <f t="shared" si="5"/>
        <v>1</v>
      </c>
    </row>
    <row r="15" spans="1:29" ht="70">
      <c r="A15" s="435" t="s">
        <v>2553</v>
      </c>
      <c r="B15" s="66" t="s">
        <v>2697</v>
      </c>
      <c r="C15" s="2679"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5"/>
      <c r="M15" s="1126"/>
      <c r="N15" s="1126"/>
      <c r="O15" s="1134"/>
      <c r="P15" s="3239" t="s">
        <v>2554</v>
      </c>
      <c r="Q15" s="1805" t="str">
        <f t="shared" si="6"/>
        <v>产业集聚程度</v>
      </c>
      <c r="R15" s="769" t="s">
        <v>17</v>
      </c>
      <c r="S15" s="770">
        <f t="shared" si="0"/>
        <v>100</v>
      </c>
      <c r="T15" s="769" t="s">
        <v>17</v>
      </c>
      <c r="U15" s="770">
        <f t="shared" si="1"/>
        <v>100</v>
      </c>
      <c r="V15" s="769" t="s">
        <v>17</v>
      </c>
      <c r="W15" s="770">
        <f t="shared" si="2"/>
        <v>100</v>
      </c>
      <c r="X15" s="1808"/>
      <c r="Y15" s="3239" t="s">
        <v>2554</v>
      </c>
      <c r="Z15" s="1809" t="str">
        <f t="shared" si="7"/>
        <v>产业集聚程度</v>
      </c>
      <c r="AA15" s="1806">
        <f t="shared" si="3"/>
        <v>1</v>
      </c>
      <c r="AB15" s="1806">
        <f t="shared" si="4"/>
        <v>1</v>
      </c>
      <c r="AC15" s="1806">
        <f t="shared" si="5"/>
        <v>1</v>
      </c>
    </row>
    <row r="16" spans="1:29" ht="15.5">
      <c r="A16" s="423"/>
      <c r="B16" s="441"/>
      <c r="C16" s="442"/>
      <c r="D16" s="443"/>
      <c r="E16" s="442"/>
      <c r="F16" s="444"/>
      <c r="G16" s="442"/>
      <c r="H16" s="445"/>
      <c r="I16" s="442"/>
      <c r="J16" s="443"/>
      <c r="K16" s="610"/>
      <c r="L16" s="1135"/>
      <c r="M16" s="1126"/>
      <c r="N16" s="1126"/>
      <c r="O16" s="1134"/>
      <c r="P16" s="3240"/>
      <c r="Q16" s="1805"/>
      <c r="R16" s="769"/>
      <c r="S16" s="770"/>
      <c r="T16" s="769"/>
      <c r="U16" s="770"/>
      <c r="V16" s="769"/>
      <c r="W16" s="770"/>
      <c r="X16" s="1808"/>
      <c r="Y16" s="3240"/>
      <c r="Z16" s="1809"/>
      <c r="AA16" s="1806">
        <v>1</v>
      </c>
      <c r="AB16" s="1806">
        <v>1</v>
      </c>
      <c r="AC16" s="1806">
        <v>1</v>
      </c>
    </row>
    <row r="17" spans="1:29" ht="98">
      <c r="A17" s="423"/>
      <c r="B17" s="446" t="s">
        <v>2095</v>
      </c>
      <c r="C17" s="2594"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5"/>
      <c r="M17" s="1126"/>
      <c r="N17" s="1126"/>
      <c r="O17" s="1134"/>
      <c r="P17" s="3240"/>
      <c r="Q17" s="1805" t="str">
        <f>B17</f>
        <v>交通便捷度</v>
      </c>
      <c r="R17" s="769" t="s">
        <v>17</v>
      </c>
      <c r="S17" s="770">
        <f>F17</f>
        <v>100</v>
      </c>
      <c r="T17" s="769" t="s">
        <v>17</v>
      </c>
      <c r="U17" s="770">
        <f>H17</f>
        <v>100</v>
      </c>
      <c r="V17" s="769" t="s">
        <v>17</v>
      </c>
      <c r="W17" s="770">
        <f>J17</f>
        <v>100</v>
      </c>
      <c r="X17" s="1808"/>
      <c r="Y17" s="3240"/>
      <c r="Z17" s="1809" t="str">
        <f>Q17</f>
        <v>交通便捷度</v>
      </c>
      <c r="AA17" s="1806">
        <f t="shared" si="3"/>
        <v>1</v>
      </c>
      <c r="AB17" s="1806">
        <f t="shared" si="4"/>
        <v>1</v>
      </c>
      <c r="AC17" s="1806">
        <f t="shared" si="5"/>
        <v>1</v>
      </c>
    </row>
    <row r="18" spans="1:29" ht="15.5">
      <c r="A18" s="423"/>
      <c r="B18" s="451"/>
      <c r="C18" s="2595"/>
      <c r="D18" s="445"/>
      <c r="E18" s="2597"/>
      <c r="F18" s="448"/>
      <c r="G18" s="2596"/>
      <c r="H18" s="443"/>
      <c r="I18" s="2597"/>
      <c r="J18" s="443"/>
      <c r="K18" s="610"/>
      <c r="L18" s="1135"/>
      <c r="M18" s="1126"/>
      <c r="N18" s="1126"/>
      <c r="O18" s="1134"/>
      <c r="P18" s="3240"/>
      <c r="Q18" s="1805"/>
      <c r="R18" s="769"/>
      <c r="S18" s="770"/>
      <c r="T18" s="769"/>
      <c r="U18" s="770"/>
      <c r="V18" s="769"/>
      <c r="W18" s="770"/>
      <c r="X18" s="1808"/>
      <c r="Y18" s="3240"/>
      <c r="Z18" s="1809"/>
      <c r="AA18" s="1806">
        <v>1</v>
      </c>
      <c r="AB18" s="1806">
        <v>1</v>
      </c>
      <c r="AC18" s="1806">
        <v>1</v>
      </c>
    </row>
    <row r="19" spans="1:29" ht="42">
      <c r="A19" s="423"/>
      <c r="B19" s="446" t="s">
        <v>2682</v>
      </c>
      <c r="C19" s="2594"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5"/>
      <c r="M19" s="1126"/>
      <c r="N19" s="1126"/>
      <c r="O19" s="1134"/>
      <c r="P19" s="3240"/>
      <c r="Q19" s="1805" t="str">
        <f>B19</f>
        <v>公共配套设施</v>
      </c>
      <c r="R19" s="769" t="s">
        <v>17</v>
      </c>
      <c r="S19" s="770">
        <f>F19</f>
        <v>100</v>
      </c>
      <c r="T19" s="769" t="s">
        <v>17</v>
      </c>
      <c r="U19" s="770">
        <f>H19</f>
        <v>100</v>
      </c>
      <c r="V19" s="769" t="s">
        <v>17</v>
      </c>
      <c r="W19" s="770">
        <f>J19</f>
        <v>100</v>
      </c>
      <c r="X19" s="1808"/>
      <c r="Y19" s="3240"/>
      <c r="Z19" s="1809" t="str">
        <f>Q19</f>
        <v>公共配套设施</v>
      </c>
      <c r="AA19" s="1806">
        <f t="shared" si="3"/>
        <v>1</v>
      </c>
      <c r="AB19" s="1806">
        <f t="shared" si="4"/>
        <v>1</v>
      </c>
      <c r="AC19" s="1806">
        <f t="shared" si="5"/>
        <v>1</v>
      </c>
    </row>
    <row r="20" spans="1:29" ht="15.5">
      <c r="A20" s="423"/>
      <c r="B20" s="451"/>
      <c r="C20" s="442"/>
      <c r="D20" s="443"/>
      <c r="E20" s="2592"/>
      <c r="F20" s="444"/>
      <c r="G20" s="2591"/>
      <c r="H20" s="443"/>
      <c r="I20" s="2592"/>
      <c r="J20" s="443"/>
      <c r="K20" s="610"/>
      <c r="L20" s="1135"/>
      <c r="M20" s="1126"/>
      <c r="N20" s="1126"/>
      <c r="O20" s="1134"/>
      <c r="P20" s="3240"/>
      <c r="Q20" s="1805"/>
      <c r="R20" s="769"/>
      <c r="S20" s="770"/>
      <c r="T20" s="769"/>
      <c r="U20" s="770"/>
      <c r="V20" s="769"/>
      <c r="W20" s="770"/>
      <c r="X20" s="1808"/>
      <c r="Y20" s="3240"/>
      <c r="Z20" s="1809"/>
      <c r="AA20" s="1806">
        <v>1</v>
      </c>
      <c r="AB20" s="1806">
        <v>1</v>
      </c>
      <c r="AC20" s="1806">
        <v>1</v>
      </c>
    </row>
    <row r="21" spans="1:29" ht="42">
      <c r="A21" s="423"/>
      <c r="B21" s="1379" t="s">
        <v>2683</v>
      </c>
      <c r="C21" s="2594"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5"/>
      <c r="M21" s="1126"/>
      <c r="N21" s="1126"/>
      <c r="O21" s="1134"/>
      <c r="P21" s="3240"/>
      <c r="Q21" s="1805" t="str">
        <f>B21</f>
        <v>基础设施水平</v>
      </c>
      <c r="R21" s="769" t="s">
        <v>17</v>
      </c>
      <c r="S21" s="770">
        <f>F21</f>
        <v>100</v>
      </c>
      <c r="T21" s="769" t="s">
        <v>17</v>
      </c>
      <c r="U21" s="770">
        <f>H21</f>
        <v>100</v>
      </c>
      <c r="V21" s="769" t="s">
        <v>17</v>
      </c>
      <c r="W21" s="770">
        <f>J21</f>
        <v>100</v>
      </c>
      <c r="X21" s="1808"/>
      <c r="Y21" s="3240"/>
      <c r="Z21" s="1809" t="str">
        <f>Q21</f>
        <v>基础设施水平</v>
      </c>
      <c r="AA21" s="1806">
        <f t="shared" ref="AA21" si="8">D21/F21</f>
        <v>1</v>
      </c>
      <c r="AB21" s="1806">
        <f t="shared" ref="AB21" si="9">D21/H21</f>
        <v>1</v>
      </c>
      <c r="AC21" s="1806">
        <f t="shared" ref="AC21" si="10">D21/J21</f>
        <v>1</v>
      </c>
    </row>
    <row r="22" spans="1:29" ht="15.5">
      <c r="A22" s="423"/>
      <c r="B22" s="1379"/>
      <c r="C22" s="2595"/>
      <c r="D22" s="443"/>
      <c r="E22" s="442"/>
      <c r="F22" s="444"/>
      <c r="G22" s="442"/>
      <c r="H22" s="443"/>
      <c r="I22" s="442"/>
      <c r="J22" s="443"/>
      <c r="K22" s="1378"/>
      <c r="L22" s="1135"/>
      <c r="M22" s="1126"/>
      <c r="N22" s="1126"/>
      <c r="O22" s="1134"/>
      <c r="P22" s="3240"/>
      <c r="Q22" s="1805"/>
      <c r="R22" s="769"/>
      <c r="S22" s="770"/>
      <c r="T22" s="769"/>
      <c r="U22" s="770"/>
      <c r="V22" s="769"/>
      <c r="W22" s="770"/>
      <c r="X22" s="1808"/>
      <c r="Y22" s="3240"/>
      <c r="Z22" s="1809"/>
      <c r="AA22" s="1806">
        <v>1</v>
      </c>
      <c r="AB22" s="1806">
        <v>1</v>
      </c>
      <c r="AC22" s="1806">
        <v>1</v>
      </c>
    </row>
    <row r="23" spans="1:29" ht="84">
      <c r="A23" s="423"/>
      <c r="B23" s="446" t="s">
        <v>2684</v>
      </c>
      <c r="C23" s="2594"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5"/>
      <c r="M23" s="1126"/>
      <c r="N23" s="1126"/>
      <c r="O23" s="1134"/>
      <c r="P23" s="3240"/>
      <c r="Q23" s="1805" t="str">
        <f>B23</f>
        <v>环境质量</v>
      </c>
      <c r="R23" s="769" t="s">
        <v>17</v>
      </c>
      <c r="S23" s="770">
        <f>F23</f>
        <v>100</v>
      </c>
      <c r="T23" s="769" t="s">
        <v>17</v>
      </c>
      <c r="U23" s="770">
        <f>H23</f>
        <v>100</v>
      </c>
      <c r="V23" s="769" t="s">
        <v>17</v>
      </c>
      <c r="W23" s="770">
        <f>J23</f>
        <v>100</v>
      </c>
      <c r="X23" s="1808"/>
      <c r="Y23" s="3240"/>
      <c r="Z23" s="1809" t="str">
        <f>Q23</f>
        <v>环境质量</v>
      </c>
      <c r="AA23" s="1806">
        <f t="shared" si="3"/>
        <v>1</v>
      </c>
      <c r="AB23" s="1806">
        <f t="shared" si="4"/>
        <v>1</v>
      </c>
      <c r="AC23" s="1806">
        <f t="shared" si="5"/>
        <v>1</v>
      </c>
    </row>
    <row r="24" spans="1:29" ht="15.5">
      <c r="A24" s="423"/>
      <c r="B24" s="1379"/>
      <c r="C24" s="442"/>
      <c r="D24" s="443"/>
      <c r="E24" s="2592"/>
      <c r="F24" s="444"/>
      <c r="G24" s="2591"/>
      <c r="H24" s="443"/>
      <c r="I24" s="2592"/>
      <c r="J24" s="443"/>
      <c r="K24" s="610"/>
      <c r="L24" s="1135"/>
      <c r="M24" s="1126"/>
      <c r="N24" s="1126"/>
      <c r="O24" s="1134"/>
      <c r="P24" s="3240"/>
      <c r="Q24" s="1805"/>
      <c r="R24" s="769"/>
      <c r="S24" s="770"/>
      <c r="T24" s="769"/>
      <c r="U24" s="770"/>
      <c r="V24" s="769"/>
      <c r="W24" s="770"/>
      <c r="X24" s="1808"/>
      <c r="Y24" s="3240"/>
      <c r="Z24" s="1809"/>
      <c r="AA24" s="1806">
        <v>1</v>
      </c>
      <c r="AB24" s="1806">
        <v>1</v>
      </c>
      <c r="AC24" s="1806">
        <v>1</v>
      </c>
    </row>
    <row r="25" spans="1:29" ht="15.5">
      <c r="A25" s="399"/>
      <c r="B25" s="1381">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5"/>
      <c r="M25" s="1126"/>
      <c r="N25" s="1126"/>
      <c r="O25" s="1134"/>
      <c r="P25" s="3240"/>
      <c r="Q25" s="1805">
        <f>B25</f>
        <v>111</v>
      </c>
      <c r="R25" s="769" t="s">
        <v>17</v>
      </c>
      <c r="S25" s="770">
        <f>F25</f>
        <v>100</v>
      </c>
      <c r="T25" s="769" t="s">
        <v>17</v>
      </c>
      <c r="U25" s="770">
        <f>H25</f>
        <v>100</v>
      </c>
      <c r="V25" s="769" t="s">
        <v>17</v>
      </c>
      <c r="W25" s="770">
        <f>J25</f>
        <v>100</v>
      </c>
      <c r="X25" s="1808"/>
      <c r="Y25" s="3240"/>
      <c r="Z25" s="1809">
        <f>Q25</f>
        <v>111</v>
      </c>
      <c r="AA25" s="1806">
        <f t="shared" si="3"/>
        <v>1</v>
      </c>
      <c r="AB25" s="1806">
        <f t="shared" si="4"/>
        <v>1</v>
      </c>
      <c r="AC25" s="1806">
        <f t="shared" si="5"/>
        <v>1</v>
      </c>
    </row>
    <row r="26" spans="1:29" ht="15.5">
      <c r="A26" s="423"/>
      <c r="B26" s="1381">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5"/>
      <c r="M26" s="1126"/>
      <c r="N26" s="1126"/>
      <c r="O26" s="1134"/>
      <c r="P26" s="3240"/>
      <c r="Q26" s="1805">
        <f t="shared" ref="Q26:Q40" si="11">B26</f>
        <v>111</v>
      </c>
      <c r="R26" s="769" t="s">
        <v>17</v>
      </c>
      <c r="S26" s="770">
        <f>F26</f>
        <v>100</v>
      </c>
      <c r="T26" s="769" t="s">
        <v>17</v>
      </c>
      <c r="U26" s="770">
        <f>H26</f>
        <v>100</v>
      </c>
      <c r="V26" s="769" t="s">
        <v>17</v>
      </c>
      <c r="W26" s="770">
        <f>J26</f>
        <v>100</v>
      </c>
      <c r="X26" s="1808"/>
      <c r="Y26" s="3240"/>
      <c r="Z26" s="1809">
        <f>Q26</f>
        <v>111</v>
      </c>
      <c r="AA26" s="1806">
        <f t="shared" si="3"/>
        <v>1</v>
      </c>
      <c r="AB26" s="1806">
        <f t="shared" si="4"/>
        <v>1</v>
      </c>
      <c r="AC26" s="1806">
        <f t="shared" si="5"/>
        <v>1</v>
      </c>
    </row>
    <row r="27" spans="1:29" s="114" customFormat="1" ht="15.5">
      <c r="A27" s="426"/>
      <c r="B27" s="1381">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7"/>
      <c r="M27" s="1128"/>
      <c r="N27" s="1128"/>
      <c r="O27" s="1129"/>
      <c r="P27" s="3240"/>
      <c r="Q27" s="1790">
        <f t="shared" si="11"/>
        <v>111</v>
      </c>
      <c r="R27" s="765" t="s">
        <v>17</v>
      </c>
      <c r="S27" s="766">
        <f>F27</f>
        <v>100</v>
      </c>
      <c r="T27" s="765" t="s">
        <v>17</v>
      </c>
      <c r="U27" s="766">
        <f>H27</f>
        <v>100</v>
      </c>
      <c r="V27" s="765" t="s">
        <v>17</v>
      </c>
      <c r="W27" s="766">
        <f>J27</f>
        <v>100</v>
      </c>
      <c r="X27" s="767"/>
      <c r="Y27" s="3240"/>
      <c r="Z27" s="52">
        <f>Q27</f>
        <v>111</v>
      </c>
      <c r="AA27" s="1806">
        <f>D27/F27</f>
        <v>1</v>
      </c>
      <c r="AB27" s="1806">
        <f>D27/H27</f>
        <v>1</v>
      </c>
      <c r="AC27" s="1806">
        <f>D27/J27</f>
        <v>1</v>
      </c>
    </row>
    <row r="28" spans="1:29" ht="16" thickBot="1">
      <c r="A28" s="431"/>
      <c r="B28" s="1381">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5"/>
      <c r="M28" s="1126"/>
      <c r="N28" s="1126"/>
      <c r="O28" s="1134"/>
      <c r="P28" s="3240"/>
      <c r="Q28" s="1805">
        <f t="shared" si="11"/>
        <v>111</v>
      </c>
      <c r="R28" s="769" t="s">
        <v>17</v>
      </c>
      <c r="S28" s="770">
        <f t="shared" ref="S28:S40" si="12">F28</f>
        <v>100</v>
      </c>
      <c r="T28" s="769" t="s">
        <v>17</v>
      </c>
      <c r="U28" s="770">
        <f t="shared" ref="U28:U40" si="13">H28</f>
        <v>100</v>
      </c>
      <c r="V28" s="769" t="s">
        <v>17</v>
      </c>
      <c r="W28" s="770">
        <f t="shared" ref="W28:W40" si="14">J28</f>
        <v>100</v>
      </c>
      <c r="X28" s="1808"/>
      <c r="Y28" s="3240"/>
      <c r="Z28" s="1809">
        <f t="shared" ref="Z28:Z40" si="15">Q28</f>
        <v>111</v>
      </c>
      <c r="AA28" s="1806">
        <f t="shared" si="3"/>
        <v>1</v>
      </c>
      <c r="AB28" s="1806">
        <f t="shared" si="4"/>
        <v>1</v>
      </c>
      <c r="AC28" s="1806">
        <f t="shared" si="5"/>
        <v>1</v>
      </c>
    </row>
    <row r="29" spans="1:29" ht="29">
      <c r="A29" s="461" t="s">
        <v>2557</v>
      </c>
      <c r="B29" s="68" t="s">
        <v>2687</v>
      </c>
      <c r="C29" s="2665"/>
      <c r="D29" s="462">
        <v>100</v>
      </c>
      <c r="E29" s="2665"/>
      <c r="F29" s="456">
        <f>SUMIF(88:88,E29,89:89)-SUMIF(88:88,C29,89:89)+100</f>
        <v>100</v>
      </c>
      <c r="G29" s="2665"/>
      <c r="H29" s="430">
        <f>SUMIF(88:88,G29,89:89)-SUMIF(88:88,C29,89:89)+100</f>
        <v>100</v>
      </c>
      <c r="I29" s="2665"/>
      <c r="J29" s="462">
        <f>SUMIF(88:88,I29,89:89)-SUMIF(88:88,C29,89:89)+100</f>
        <v>100</v>
      </c>
      <c r="K29" s="607"/>
      <c r="L29" s="1135"/>
      <c r="M29" s="1126"/>
      <c r="N29" s="1126"/>
      <c r="O29" s="1134"/>
      <c r="P29" s="3241" t="s">
        <v>2559</v>
      </c>
      <c r="Q29" s="1805" t="str">
        <f t="shared" si="11"/>
        <v>建筑类型</v>
      </c>
      <c r="R29" s="769" t="s">
        <v>17</v>
      </c>
      <c r="S29" s="770">
        <f t="shared" si="12"/>
        <v>100</v>
      </c>
      <c r="T29" s="769" t="s">
        <v>17</v>
      </c>
      <c r="U29" s="770">
        <f t="shared" si="13"/>
        <v>100</v>
      </c>
      <c r="V29" s="769" t="s">
        <v>17</v>
      </c>
      <c r="W29" s="770">
        <f t="shared" si="14"/>
        <v>100</v>
      </c>
      <c r="X29" s="1808"/>
      <c r="Y29" s="3242" t="s">
        <v>2559</v>
      </c>
      <c r="Z29" s="1809" t="str">
        <f t="shared" si="15"/>
        <v>建筑类型</v>
      </c>
      <c r="AA29" s="1806">
        <f t="shared" si="3"/>
        <v>1</v>
      </c>
      <c r="AB29" s="1806">
        <f t="shared" si="4"/>
        <v>1</v>
      </c>
      <c r="AC29" s="1806">
        <f t="shared" si="5"/>
        <v>1</v>
      </c>
    </row>
    <row r="30" spans="1:29" s="466" customFormat="1" ht="15.5">
      <c r="A30" s="463"/>
      <c r="B30" s="417" t="s">
        <v>2560</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3"/>
      <c r="M30" s="1136"/>
      <c r="N30" s="1136"/>
      <c r="O30" s="1137"/>
      <c r="P30" s="3242"/>
      <c r="Q30" s="771" t="str">
        <f t="shared" si="11"/>
        <v>项目建筑规模</v>
      </c>
      <c r="R30" s="772" t="s">
        <v>17</v>
      </c>
      <c r="S30" s="773" t="e">
        <f t="shared" si="12"/>
        <v>#N/A</v>
      </c>
      <c r="T30" s="772" t="s">
        <v>17</v>
      </c>
      <c r="U30" s="773" t="e">
        <f t="shared" si="13"/>
        <v>#N/A</v>
      </c>
      <c r="V30" s="772" t="s">
        <v>17</v>
      </c>
      <c r="W30" s="773" t="e">
        <f t="shared" si="14"/>
        <v>#N/A</v>
      </c>
      <c r="X30" s="774"/>
      <c r="Y30" s="3242"/>
      <c r="Z30" s="775" t="str">
        <f t="shared" si="15"/>
        <v>项目建筑规模</v>
      </c>
      <c r="AA30" s="1806" t="e">
        <f t="shared" si="3"/>
        <v>#N/A</v>
      </c>
      <c r="AB30" s="1806" t="e">
        <f t="shared" si="4"/>
        <v>#N/A</v>
      </c>
      <c r="AC30" s="1806" t="e">
        <f t="shared" si="5"/>
        <v>#N/A</v>
      </c>
    </row>
    <row r="31" spans="1:29" ht="15.5">
      <c r="A31" s="467"/>
      <c r="B31" s="417" t="s">
        <v>2561</v>
      </c>
      <c r="C31" s="455"/>
      <c r="D31" s="430">
        <v>100</v>
      </c>
      <c r="E31" s="455"/>
      <c r="F31" s="456">
        <f>SUMIF(93:93,E31,94:94)-SUMIF(93:93,C31,94:94)+100</f>
        <v>100</v>
      </c>
      <c r="G31" s="455"/>
      <c r="H31" s="430">
        <f>SUMIF(93:93,G31,94:94)-SUMIF(93:93,C31,94:94)+100</f>
        <v>100</v>
      </c>
      <c r="I31" s="455"/>
      <c r="J31" s="430">
        <f>SUMIF(93:93,I31,94:94)-SUMIF(93:93,C31,94:94)+100</f>
        <v>100</v>
      </c>
      <c r="K31" s="607"/>
      <c r="L31" s="1135"/>
      <c r="M31" s="1126"/>
      <c r="N31" s="1126"/>
      <c r="O31" s="1134"/>
      <c r="P31" s="3242"/>
      <c r="Q31" s="1805" t="str">
        <f t="shared" si="11"/>
        <v>建筑结构</v>
      </c>
      <c r="R31" s="769" t="s">
        <v>17</v>
      </c>
      <c r="S31" s="770">
        <f t="shared" si="12"/>
        <v>100</v>
      </c>
      <c r="T31" s="769" t="s">
        <v>17</v>
      </c>
      <c r="U31" s="770">
        <f t="shared" si="13"/>
        <v>100</v>
      </c>
      <c r="V31" s="769" t="s">
        <v>17</v>
      </c>
      <c r="W31" s="770">
        <f t="shared" si="14"/>
        <v>100</v>
      </c>
      <c r="X31" s="1808"/>
      <c r="Y31" s="3242"/>
      <c r="Z31" s="1809" t="str">
        <f t="shared" si="15"/>
        <v>建筑结构</v>
      </c>
      <c r="AA31" s="1806">
        <f t="shared" si="3"/>
        <v>1</v>
      </c>
      <c r="AB31" s="1806">
        <f t="shared" si="4"/>
        <v>1</v>
      </c>
      <c r="AC31" s="1806">
        <f t="shared" si="5"/>
        <v>1</v>
      </c>
    </row>
    <row r="32" spans="1:29" ht="15.5">
      <c r="A32" s="467"/>
      <c r="B32" s="417" t="s">
        <v>2655</v>
      </c>
      <c r="C32" s="455"/>
      <c r="D32" s="430">
        <v>100</v>
      </c>
      <c r="E32" s="455"/>
      <c r="F32" s="456">
        <f>SUMIF(95:95,E32,96:96)-SUMIF(95:95,C32,96:96)+100</f>
        <v>100</v>
      </c>
      <c r="G32" s="455"/>
      <c r="H32" s="430">
        <f>SUMIF(95:95,G32,96:96)-SUMIF(95:95,C32,96:96)+100</f>
        <v>100</v>
      </c>
      <c r="I32" s="455"/>
      <c r="J32" s="430">
        <f>SUMIF(95:95,I32,96:96)-SUMIF(95:95,C32,96:96)+100</f>
        <v>100</v>
      </c>
      <c r="K32" s="607"/>
      <c r="L32" s="1135"/>
      <c r="M32" s="1126"/>
      <c r="N32" s="1126"/>
      <c r="O32" s="1134"/>
      <c r="P32" s="3242"/>
      <c r="Q32" s="1805" t="str">
        <f t="shared" si="11"/>
        <v>公共部分装修</v>
      </c>
      <c r="R32" s="769" t="s">
        <v>17</v>
      </c>
      <c r="S32" s="770">
        <f t="shared" si="12"/>
        <v>100</v>
      </c>
      <c r="T32" s="769" t="s">
        <v>17</v>
      </c>
      <c r="U32" s="770">
        <f t="shared" si="13"/>
        <v>100</v>
      </c>
      <c r="V32" s="769" t="s">
        <v>17</v>
      </c>
      <c r="W32" s="770">
        <f t="shared" si="14"/>
        <v>100</v>
      </c>
      <c r="X32" s="1808"/>
      <c r="Y32" s="3242"/>
      <c r="Z32" s="1809" t="str">
        <f t="shared" si="15"/>
        <v>公共部分装修</v>
      </c>
      <c r="AA32" s="1806">
        <f t="shared" si="3"/>
        <v>1</v>
      </c>
      <c r="AB32" s="1806">
        <f t="shared" si="4"/>
        <v>1</v>
      </c>
      <c r="AC32" s="1806">
        <f t="shared" si="5"/>
        <v>1</v>
      </c>
    </row>
    <row r="33" spans="1:29" ht="15.5">
      <c r="A33" s="467"/>
      <c r="B33" s="417" t="s">
        <v>2656</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5"/>
      <c r="M33" s="1126"/>
      <c r="N33" s="1126"/>
      <c r="O33" s="1134"/>
      <c r="P33" s="3242"/>
      <c r="Q33" s="1805" t="str">
        <f t="shared" si="11"/>
        <v>成新度</v>
      </c>
      <c r="R33" s="769" t="s">
        <v>17</v>
      </c>
      <c r="S33" s="770" t="e">
        <f t="shared" si="12"/>
        <v>#N/A</v>
      </c>
      <c r="T33" s="769" t="s">
        <v>17</v>
      </c>
      <c r="U33" s="770" t="e">
        <f t="shared" si="13"/>
        <v>#N/A</v>
      </c>
      <c r="V33" s="769" t="s">
        <v>17</v>
      </c>
      <c r="W33" s="770" t="e">
        <f t="shared" si="14"/>
        <v>#N/A</v>
      </c>
      <c r="X33" s="1808"/>
      <c r="Y33" s="3242"/>
      <c r="Z33" s="1809" t="str">
        <f t="shared" si="15"/>
        <v>成新度</v>
      </c>
      <c r="AA33" s="1806" t="e">
        <f t="shared" si="3"/>
        <v>#N/A</v>
      </c>
      <c r="AB33" s="1806" t="e">
        <f t="shared" si="4"/>
        <v>#N/A</v>
      </c>
      <c r="AC33" s="1806" t="e">
        <f t="shared" si="5"/>
        <v>#N/A</v>
      </c>
    </row>
    <row r="34" spans="1:29" s="114" customFormat="1" ht="15.5">
      <c r="A34" s="468"/>
      <c r="B34" s="417" t="s">
        <v>2689</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7"/>
      <c r="M34" s="1128"/>
      <c r="N34" s="1128"/>
      <c r="O34" s="1129"/>
      <c r="P34" s="3242"/>
      <c r="Q34" s="1790" t="str">
        <f t="shared" si="11"/>
        <v>物业管理</v>
      </c>
      <c r="R34" s="765" t="s">
        <v>17</v>
      </c>
      <c r="S34" s="766">
        <f t="shared" si="12"/>
        <v>100</v>
      </c>
      <c r="T34" s="765" t="s">
        <v>17</v>
      </c>
      <c r="U34" s="766">
        <f t="shared" si="13"/>
        <v>100</v>
      </c>
      <c r="V34" s="765" t="s">
        <v>17</v>
      </c>
      <c r="W34" s="766">
        <f t="shared" si="14"/>
        <v>100</v>
      </c>
      <c r="X34" s="767"/>
      <c r="Y34" s="3242"/>
      <c r="Z34" s="52" t="str">
        <f t="shared" si="15"/>
        <v>物业管理</v>
      </c>
      <c r="AA34" s="768">
        <f t="shared" si="3"/>
        <v>1</v>
      </c>
      <c r="AB34" s="768">
        <f t="shared" si="4"/>
        <v>1</v>
      </c>
      <c r="AC34" s="768">
        <f t="shared" si="5"/>
        <v>1</v>
      </c>
    </row>
    <row r="35" spans="1:29" ht="15.5">
      <c r="A35" s="467"/>
      <c r="B35" s="417" t="s">
        <v>2657</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5"/>
      <c r="M35" s="1126"/>
      <c r="N35" s="1126"/>
      <c r="O35" s="1134"/>
      <c r="P35" s="3242" t="s">
        <v>2559</v>
      </c>
      <c r="Q35" s="1805" t="str">
        <f t="shared" si="11"/>
        <v>市政基础设施</v>
      </c>
      <c r="R35" s="769" t="s">
        <v>17</v>
      </c>
      <c r="S35" s="770">
        <f t="shared" si="12"/>
        <v>100</v>
      </c>
      <c r="T35" s="769" t="s">
        <v>17</v>
      </c>
      <c r="U35" s="770">
        <f t="shared" si="13"/>
        <v>100</v>
      </c>
      <c r="V35" s="769" t="s">
        <v>17</v>
      </c>
      <c r="W35" s="770">
        <f t="shared" si="14"/>
        <v>100</v>
      </c>
      <c r="X35" s="1808"/>
      <c r="Y35" s="3242" t="s">
        <v>2559</v>
      </c>
      <c r="Z35" s="1809" t="str">
        <f t="shared" si="15"/>
        <v>市政基础设施</v>
      </c>
      <c r="AA35" s="1806">
        <f t="shared" si="3"/>
        <v>1</v>
      </c>
      <c r="AB35" s="1806">
        <f t="shared" si="4"/>
        <v>1</v>
      </c>
      <c r="AC35" s="1806">
        <f t="shared" si="5"/>
        <v>1</v>
      </c>
    </row>
    <row r="36" spans="1:29" ht="15.5">
      <c r="A36" s="467"/>
      <c r="B36" s="417" t="s">
        <v>2662</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5"/>
      <c r="M36" s="1126"/>
      <c r="N36" s="1126"/>
      <c r="O36" s="1134"/>
      <c r="P36" s="3242"/>
      <c r="Q36" s="1805" t="str">
        <f t="shared" si="11"/>
        <v>内部装修</v>
      </c>
      <c r="R36" s="769" t="s">
        <v>17</v>
      </c>
      <c r="S36" s="770">
        <f t="shared" si="12"/>
        <v>100</v>
      </c>
      <c r="T36" s="769" t="s">
        <v>17</v>
      </c>
      <c r="U36" s="770">
        <f t="shared" si="13"/>
        <v>100</v>
      </c>
      <c r="V36" s="769" t="s">
        <v>17</v>
      </c>
      <c r="W36" s="770">
        <f t="shared" si="14"/>
        <v>100</v>
      </c>
      <c r="X36" s="1808"/>
      <c r="Y36" s="3242"/>
      <c r="Z36" s="1809" t="str">
        <f t="shared" si="15"/>
        <v>内部装修</v>
      </c>
      <c r="AA36" s="1806">
        <f t="shared" si="3"/>
        <v>1</v>
      </c>
      <c r="AB36" s="1806">
        <f t="shared" si="4"/>
        <v>1</v>
      </c>
      <c r="AC36" s="1806">
        <f t="shared" si="5"/>
        <v>1</v>
      </c>
    </row>
    <row r="37" spans="1:29" ht="15.5">
      <c r="A37" s="467"/>
      <c r="B37" s="417" t="s">
        <v>2698</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5"/>
      <c r="M37" s="1126"/>
      <c r="N37" s="1126"/>
      <c r="O37" s="1134"/>
      <c r="P37" s="3242"/>
      <c r="Q37" s="1805" t="str">
        <f t="shared" si="11"/>
        <v>内部装修状况</v>
      </c>
      <c r="R37" s="769" t="s">
        <v>17</v>
      </c>
      <c r="S37" s="770">
        <f t="shared" si="12"/>
        <v>100</v>
      </c>
      <c r="T37" s="769" t="s">
        <v>17</v>
      </c>
      <c r="U37" s="770">
        <f t="shared" si="13"/>
        <v>100</v>
      </c>
      <c r="V37" s="769" t="s">
        <v>17</v>
      </c>
      <c r="W37" s="770">
        <f t="shared" si="14"/>
        <v>100</v>
      </c>
      <c r="X37" s="1808"/>
      <c r="Y37" s="3242"/>
      <c r="Z37" s="1809" t="str">
        <f t="shared" si="15"/>
        <v>内部装修状况</v>
      </c>
      <c r="AA37" s="1806">
        <f t="shared" si="3"/>
        <v>1</v>
      </c>
      <c r="AB37" s="1806">
        <f t="shared" si="4"/>
        <v>1</v>
      </c>
      <c r="AC37" s="1806">
        <f t="shared" si="5"/>
        <v>1</v>
      </c>
    </row>
    <row r="38" spans="1:29" s="466" customFormat="1" ht="15.5">
      <c r="A38" s="463"/>
      <c r="B38" s="1381">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3"/>
      <c r="M38" s="1136"/>
      <c r="N38" s="1136"/>
      <c r="O38" s="1137"/>
      <c r="P38" s="3242"/>
      <c r="Q38" s="771">
        <f t="shared" si="11"/>
        <v>111</v>
      </c>
      <c r="R38" s="772" t="s">
        <v>17</v>
      </c>
      <c r="S38" s="773">
        <f t="shared" si="12"/>
        <v>100</v>
      </c>
      <c r="T38" s="772" t="s">
        <v>17</v>
      </c>
      <c r="U38" s="773">
        <f t="shared" si="13"/>
        <v>100</v>
      </c>
      <c r="V38" s="772" t="s">
        <v>17</v>
      </c>
      <c r="W38" s="773">
        <f t="shared" si="14"/>
        <v>100</v>
      </c>
      <c r="X38" s="774"/>
      <c r="Y38" s="3242"/>
      <c r="Z38" s="775">
        <f t="shared" si="15"/>
        <v>111</v>
      </c>
      <c r="AA38" s="1806">
        <f t="shared" si="3"/>
        <v>1</v>
      </c>
      <c r="AB38" s="1806">
        <f t="shared" si="4"/>
        <v>1</v>
      </c>
      <c r="AC38" s="1806">
        <f t="shared" si="5"/>
        <v>1</v>
      </c>
    </row>
    <row r="39" spans="1:29" ht="15.5">
      <c r="A39" s="467"/>
      <c r="B39" s="1381">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5"/>
      <c r="M39" s="1126"/>
      <c r="N39" s="1126"/>
      <c r="O39" s="1134"/>
      <c r="P39" s="3242"/>
      <c r="Q39" s="1805">
        <f t="shared" si="11"/>
        <v>111</v>
      </c>
      <c r="R39" s="769" t="s">
        <v>17</v>
      </c>
      <c r="S39" s="770">
        <f t="shared" si="12"/>
        <v>100</v>
      </c>
      <c r="T39" s="769" t="s">
        <v>17</v>
      </c>
      <c r="U39" s="770">
        <f t="shared" si="13"/>
        <v>100</v>
      </c>
      <c r="V39" s="769" t="s">
        <v>17</v>
      </c>
      <c r="W39" s="770">
        <f t="shared" si="14"/>
        <v>100</v>
      </c>
      <c r="X39" s="1808"/>
      <c r="Y39" s="3242"/>
      <c r="Z39" s="1809">
        <f t="shared" si="15"/>
        <v>111</v>
      </c>
      <c r="AA39" s="1806">
        <f t="shared" si="3"/>
        <v>1</v>
      </c>
      <c r="AB39" s="1806">
        <f t="shared" si="4"/>
        <v>1</v>
      </c>
      <c r="AC39" s="1806">
        <f t="shared" si="5"/>
        <v>1</v>
      </c>
    </row>
    <row r="40" spans="1:29" ht="16" thickBot="1">
      <c r="A40" s="473"/>
      <c r="B40" s="2589">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5"/>
      <c r="M40" s="1126"/>
      <c r="N40" s="1126"/>
      <c r="O40" s="1134"/>
      <c r="P40" s="3278"/>
      <c r="Q40" s="1805">
        <f t="shared" si="11"/>
        <v>111</v>
      </c>
      <c r="R40" s="769" t="s">
        <v>17</v>
      </c>
      <c r="S40" s="770">
        <f t="shared" si="12"/>
        <v>100</v>
      </c>
      <c r="T40" s="769" t="s">
        <v>17</v>
      </c>
      <c r="U40" s="770">
        <f t="shared" si="13"/>
        <v>100</v>
      </c>
      <c r="V40" s="769" t="s">
        <v>17</v>
      </c>
      <c r="W40" s="770">
        <f t="shared" si="14"/>
        <v>100</v>
      </c>
      <c r="X40" s="1808"/>
      <c r="Y40" s="3278"/>
      <c r="Z40" s="1809">
        <f t="shared" si="15"/>
        <v>111</v>
      </c>
      <c r="AA40" s="1806">
        <f t="shared" si="3"/>
        <v>1</v>
      </c>
      <c r="AB40" s="1806">
        <f t="shared" si="4"/>
        <v>1</v>
      </c>
      <c r="AC40" s="1806">
        <f t="shared" si="5"/>
        <v>1</v>
      </c>
    </row>
    <row r="41" spans="1:29">
      <c r="A41" s="474" t="s">
        <v>2571</v>
      </c>
      <c r="B41" s="475"/>
      <c r="C41" s="1402" t="s">
        <v>1</v>
      </c>
      <c r="D41" s="1403"/>
      <c r="E41" s="1404"/>
      <c r="F41" s="1405"/>
      <c r="G41" s="1406"/>
      <c r="H41" s="1407"/>
      <c r="I41" s="1404"/>
      <c r="J41" s="1407"/>
      <c r="K41" s="778"/>
      <c r="L41" s="1138"/>
      <c r="M41" s="1139"/>
      <c r="N41" s="1126"/>
      <c r="O41" s="1139"/>
      <c r="P41" s="3237" t="str">
        <f>A41</f>
        <v>成交单价（元/平方米）</v>
      </c>
      <c r="Q41" s="3237"/>
      <c r="R41" s="3274">
        <f>E41</f>
        <v>0</v>
      </c>
      <c r="S41" s="3274"/>
      <c r="T41" s="3274">
        <f>G41</f>
        <v>0</v>
      </c>
      <c r="U41" s="3274"/>
      <c r="V41" s="3274">
        <f>I41</f>
        <v>0</v>
      </c>
      <c r="W41" s="3274"/>
      <c r="X41" s="754"/>
      <c r="Y41" s="776"/>
      <c r="Z41" s="754"/>
      <c r="AA41" s="754"/>
      <c r="AB41" s="754"/>
      <c r="AC41" s="754"/>
    </row>
    <row r="42" spans="1:29" ht="14.5" thickBot="1">
      <c r="A42" s="481" t="s">
        <v>2663</v>
      </c>
      <c r="B42" s="482"/>
      <c r="C42" s="1408" t="e">
        <f>R43</f>
        <v>#DIV/0!</v>
      </c>
      <c r="D42" s="1409"/>
      <c r="E42" s="1410" t="e">
        <f>R42</f>
        <v>#DIV/0!</v>
      </c>
      <c r="F42" s="1410"/>
      <c r="G42" s="1408" t="e">
        <f>T42</f>
        <v>#DIV/0!</v>
      </c>
      <c r="H42" s="1409"/>
      <c r="I42" s="1410" t="e">
        <f>V42</f>
        <v>#DIV/0!</v>
      </c>
      <c r="J42" s="1409"/>
      <c r="K42" s="779"/>
      <c r="L42" s="1138"/>
      <c r="M42" s="1139"/>
      <c r="N42" s="1126"/>
      <c r="O42" s="1139"/>
      <c r="P42" s="3237" t="str">
        <f>A42</f>
        <v>比较价值（元/平方米）</v>
      </c>
      <c r="Q42" s="3237"/>
      <c r="R42" s="3274" t="e">
        <f>IF(F1="售价",ROUND(PRODUCT(R41,AA7:AA40),0),ROUND(PRODUCT(R41,AA7:AA40),1))</f>
        <v>#DIV/0!</v>
      </c>
      <c r="S42" s="3274"/>
      <c r="T42" s="3274" t="e">
        <f>IF(F1="售价",ROUND(PRODUCT(T41,AB7:AB40),0),ROUND(PRODUCT(T41,AB7:AB40),1))</f>
        <v>#DIV/0!</v>
      </c>
      <c r="U42" s="3274"/>
      <c r="V42" s="3274" t="e">
        <f>IF(F1="售价",ROUND(PRODUCT(V41,AC7:AC40),0),ROUND(PRODUCT(V41,AC7:AC40),1))</f>
        <v>#DIV/0!</v>
      </c>
      <c r="W42" s="3274"/>
      <c r="X42" s="754"/>
      <c r="Y42" s="754"/>
      <c r="Z42" s="754"/>
      <c r="AA42" s="754"/>
      <c r="AB42" s="754"/>
      <c r="AC42" s="754"/>
    </row>
    <row r="43" spans="1:29" ht="14.5" thickBot="1">
      <c r="A43" s="487" t="s">
        <v>2664</v>
      </c>
      <c r="B43" s="488"/>
      <c r="C43" s="1412" t="e">
        <f>R43</f>
        <v>#DIV/0!</v>
      </c>
      <c r="D43" s="1412"/>
      <c r="E43" s="1412"/>
      <c r="F43" s="1412"/>
      <c r="G43" s="1412"/>
      <c r="H43" s="1412"/>
      <c r="I43" s="1412"/>
      <c r="J43" s="1412"/>
      <c r="K43" s="780"/>
      <c r="L43" s="1138"/>
      <c r="M43" s="1139"/>
      <c r="N43" s="1139"/>
      <c r="O43" s="1139"/>
      <c r="P43" s="3231" t="str">
        <f>A43</f>
        <v>估价对象XX用房的比较价值（楼面单价，元/平方米）</v>
      </c>
      <c r="Q43" s="3232"/>
      <c r="R43" s="3273" t="e">
        <f>IF(F1="售价",ROUND(AVERAGE(R42:V42),0),ROUND(AVERAGE(R42:V42),1))</f>
        <v>#DIV/0!</v>
      </c>
      <c r="S43" s="3273"/>
      <c r="T43" s="3273"/>
      <c r="U43" s="3273"/>
      <c r="V43" s="3273"/>
      <c r="W43" s="3273"/>
      <c r="X43" s="754"/>
      <c r="Y43" s="754"/>
      <c r="Z43" s="754"/>
      <c r="AA43" s="754"/>
      <c r="AB43" s="754"/>
      <c r="AC43" s="754"/>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2" t="s">
        <v>2665</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0"/>
      <c r="L46" s="1101"/>
      <c r="M46" s="1139"/>
      <c r="N46" s="1139"/>
      <c r="O46" s="1139"/>
    </row>
    <row r="47" spans="1:29" ht="13.5" customHeight="1">
      <c r="A47" s="1139"/>
      <c r="B47" s="1139"/>
      <c r="C47" s="492" t="s">
        <v>2666</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0"/>
      <c r="L47" s="1101"/>
      <c r="M47" s="1139"/>
      <c r="N47" s="1139"/>
      <c r="O47" s="1139"/>
    </row>
    <row r="48" spans="1:29" s="497" customFormat="1" ht="13.5" customHeight="1">
      <c r="A48" s="1140"/>
      <c r="B48" s="1140"/>
      <c r="C48" s="492" t="s">
        <v>2667</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3"/>
      <c r="L48" s="1144"/>
      <c r="M48" s="1140"/>
      <c r="N48" s="1140"/>
      <c r="O48" s="1140"/>
    </row>
    <row r="49" spans="1:17" s="497"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5" thickBot="1">
      <c r="A51" s="758" t="s">
        <v>2668</v>
      </c>
      <c r="B51" s="754"/>
      <c r="C51" s="759"/>
      <c r="D51" s="759"/>
      <c r="E51" s="759"/>
      <c r="F51" s="760"/>
      <c r="G51" s="760"/>
      <c r="H51" s="759"/>
      <c r="I51" s="759"/>
      <c r="J51" s="759"/>
      <c r="K51" s="1155"/>
      <c r="L51" s="1156"/>
      <c r="M51" s="1154"/>
      <c r="N51" s="1154"/>
      <c r="O51" s="1154"/>
      <c r="P51" s="498"/>
      <c r="Q51" s="499"/>
    </row>
    <row r="52" spans="1:17" s="503" customFormat="1">
      <c r="A52" s="500" t="s">
        <v>2542</v>
      </c>
      <c r="B52" s="501"/>
      <c r="C52" s="1569" t="str">
        <f>YEAR(C7)&amp;"-"&amp;MONTH(C7)</f>
        <v>2020-3</v>
      </c>
      <c r="D52" s="1570">
        <f>EDATE(C52,-1)</f>
        <v>43862</v>
      </c>
      <c r="E52" s="1570">
        <f t="shared" ref="E52:O52" si="16">EDATE(D52,-1)</f>
        <v>43831</v>
      </c>
      <c r="F52" s="1570">
        <f t="shared" si="16"/>
        <v>43800</v>
      </c>
      <c r="G52" s="1570">
        <f t="shared" si="16"/>
        <v>43770</v>
      </c>
      <c r="H52" s="1570">
        <f t="shared" si="16"/>
        <v>43739</v>
      </c>
      <c r="I52" s="1570">
        <f t="shared" si="16"/>
        <v>43709</v>
      </c>
      <c r="J52" s="1570">
        <f t="shared" si="16"/>
        <v>43678</v>
      </c>
      <c r="K52" s="1570">
        <f t="shared" si="16"/>
        <v>43647</v>
      </c>
      <c r="L52" s="1570">
        <f t="shared" si="16"/>
        <v>43617</v>
      </c>
      <c r="M52" s="1570">
        <f t="shared" si="16"/>
        <v>43586</v>
      </c>
      <c r="N52" s="1570">
        <f t="shared" si="16"/>
        <v>43556</v>
      </c>
      <c r="O52" s="1570">
        <f t="shared" si="16"/>
        <v>43525</v>
      </c>
      <c r="P52" s="502"/>
    </row>
    <row r="53" spans="1:17" s="114" customFormat="1">
      <c r="A53" s="504"/>
      <c r="B53" s="505"/>
      <c r="C53" s="1568">
        <v>100</v>
      </c>
      <c r="D53" s="507"/>
      <c r="E53" s="507"/>
      <c r="F53" s="507"/>
      <c r="G53" s="507"/>
      <c r="H53" s="507"/>
      <c r="I53" s="507"/>
      <c r="J53" s="507"/>
      <c r="K53" s="507"/>
      <c r="L53" s="507"/>
      <c r="M53" s="508"/>
      <c r="N53" s="507"/>
      <c r="O53" s="509"/>
      <c r="P53" s="499"/>
    </row>
    <row r="54" spans="1:17" s="114" customFormat="1" ht="14.5" thickBot="1">
      <c r="A54" s="510" t="s">
        <v>2579</v>
      </c>
      <c r="B54" s="511"/>
      <c r="C54" s="512"/>
      <c r="D54" s="513"/>
      <c r="E54" s="513"/>
      <c r="F54" s="513"/>
      <c r="G54" s="513"/>
      <c r="H54" s="513"/>
      <c r="I54" s="513"/>
      <c r="J54" s="513"/>
      <c r="K54" s="513"/>
      <c r="L54" s="513"/>
      <c r="M54" s="514"/>
      <c r="N54" s="513"/>
      <c r="O54" s="515"/>
      <c r="P54" s="499"/>
      <c r="Q54" s="499"/>
    </row>
    <row r="55" spans="1:17" s="114" customFormat="1">
      <c r="A55" s="516" t="s">
        <v>2544</v>
      </c>
      <c r="B55" s="505"/>
      <c r="C55" s="517" t="s">
        <v>2646</v>
      </c>
      <c r="D55" s="518"/>
      <c r="E55" s="518"/>
      <c r="F55" s="518"/>
      <c r="G55" s="518"/>
      <c r="H55" s="518"/>
      <c r="I55" s="518"/>
      <c r="J55" s="518"/>
      <c r="K55" s="518"/>
      <c r="L55" s="519"/>
      <c r="M55" s="520"/>
      <c r="N55" s="1146"/>
      <c r="O55" s="1146"/>
      <c r="P55" s="521"/>
      <c r="Q55" s="499"/>
    </row>
    <row r="56" spans="1:17" s="114" customFormat="1" ht="14.5" thickBot="1">
      <c r="A56" s="516"/>
      <c r="B56" s="505"/>
      <c r="C56" s="634">
        <v>100</v>
      </c>
      <c r="D56" s="507"/>
      <c r="E56" s="507"/>
      <c r="F56" s="507"/>
      <c r="G56" s="507"/>
      <c r="H56" s="507"/>
      <c r="I56" s="507"/>
      <c r="J56" s="507"/>
      <c r="K56" s="507"/>
      <c r="L56" s="507"/>
      <c r="M56" s="509"/>
      <c r="N56" s="1146"/>
      <c r="O56" s="1146"/>
      <c r="P56" s="499"/>
      <c r="Q56" s="499"/>
    </row>
    <row r="57" spans="1:17">
      <c r="A57" s="522" t="s">
        <v>2582</v>
      </c>
      <c r="B57" s="523" t="s">
        <v>2548</v>
      </c>
      <c r="C57" s="524">
        <f>C9</f>
        <v>0</v>
      </c>
      <c r="D57" s="525"/>
      <c r="E57" s="525"/>
      <c r="F57" s="525"/>
      <c r="G57" s="525"/>
      <c r="H57" s="525"/>
      <c r="I57" s="525"/>
      <c r="J57" s="525"/>
      <c r="K57" s="526"/>
      <c r="L57" s="527"/>
      <c r="M57" s="528"/>
      <c r="N57" s="1147"/>
      <c r="O57" s="1147"/>
      <c r="P57" s="43"/>
      <c r="Q57" s="499"/>
    </row>
    <row r="58" spans="1:17" ht="14.5" thickBot="1">
      <c r="A58" s="529"/>
      <c r="B58" s="530"/>
      <c r="C58" s="531">
        <v>100</v>
      </c>
      <c r="D58" s="531"/>
      <c r="E58" s="531"/>
      <c r="F58" s="531"/>
      <c r="G58" s="531"/>
      <c r="H58" s="531"/>
      <c r="I58" s="531"/>
      <c r="J58" s="531"/>
      <c r="K58" s="531"/>
      <c r="L58" s="531"/>
      <c r="M58" s="532"/>
      <c r="N58" s="1148"/>
      <c r="O58" s="1148"/>
      <c r="P58" s="43"/>
      <c r="Q58" s="499"/>
    </row>
    <row r="59" spans="1:17" ht="28.5" thickTop="1">
      <c r="A59" s="529"/>
      <c r="B59" s="533" t="s">
        <v>2551</v>
      </c>
      <c r="C59" s="534" t="s">
        <v>2583</v>
      </c>
      <c r="D59" s="534" t="s">
        <v>2584</v>
      </c>
      <c r="E59" s="534" t="s">
        <v>2585</v>
      </c>
      <c r="F59" s="534" t="s">
        <v>2586</v>
      </c>
      <c r="G59" s="534" t="s">
        <v>2587</v>
      </c>
      <c r="H59" s="534" t="s">
        <v>2588</v>
      </c>
      <c r="I59" s="534" t="s">
        <v>2589</v>
      </c>
      <c r="J59" s="534"/>
      <c r="K59" s="535"/>
      <c r="L59" s="536"/>
      <c r="M59" s="537"/>
      <c r="N59" s="1147"/>
      <c r="O59" s="1147"/>
      <c r="P59" s="43"/>
      <c r="Q59" s="499"/>
    </row>
    <row r="60" spans="1:17" ht="14.5" thickBot="1">
      <c r="A60" s="529"/>
      <c r="B60" s="538"/>
      <c r="C60" s="539" t="s">
        <v>24</v>
      </c>
      <c r="D60" s="539" t="s">
        <v>25</v>
      </c>
      <c r="E60" s="539">
        <v>100</v>
      </c>
      <c r="F60" s="539">
        <f>E60-$K10</f>
        <v>100</v>
      </c>
      <c r="G60" s="539">
        <f>F60-$K10</f>
        <v>100</v>
      </c>
      <c r="H60" s="539">
        <f>G60-$K10</f>
        <v>100</v>
      </c>
      <c r="I60" s="539">
        <f>H60-$K10</f>
        <v>100</v>
      </c>
      <c r="J60" s="539"/>
      <c r="K60" s="539"/>
      <c r="L60" s="539"/>
      <c r="M60" s="540"/>
      <c r="N60" s="1148"/>
      <c r="O60" s="1148"/>
      <c r="P60" s="43"/>
      <c r="Q60" s="499"/>
    </row>
    <row r="61" spans="1:17" ht="14.5" thickTop="1">
      <c r="A61" s="529"/>
      <c r="B61" s="541" t="s">
        <v>2552</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8"/>
      <c r="O61" s="1148"/>
      <c r="P61" s="43"/>
      <c r="Q61" s="499"/>
    </row>
    <row r="62" spans="1:17">
      <c r="A62" s="529"/>
      <c r="B62" s="543"/>
      <c r="C62" s="544"/>
      <c r="D62" s="544"/>
      <c r="E62" s="544"/>
      <c r="F62" s="544"/>
      <c r="G62" s="544"/>
      <c r="H62" s="544"/>
      <c r="I62" s="544"/>
      <c r="J62" s="544"/>
      <c r="K62" s="545"/>
      <c r="L62" s="546"/>
      <c r="M62" s="547"/>
      <c r="N62" s="1147"/>
      <c r="O62" s="1147"/>
      <c r="P62" s="43"/>
      <c r="Q62" s="499"/>
    </row>
    <row r="63" spans="1:17" ht="14.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8"/>
      <c r="O63" s="1148"/>
      <c r="P63" s="43"/>
      <c r="Q63" s="499"/>
    </row>
    <row r="64" spans="1:17" s="466" customFormat="1" ht="14.5" thickTop="1">
      <c r="A64" s="548"/>
      <c r="B64" s="533">
        <f>B12</f>
        <v>111</v>
      </c>
      <c r="C64" s="549"/>
      <c r="D64" s="549"/>
      <c r="E64" s="549"/>
      <c r="F64" s="549"/>
      <c r="G64" s="549"/>
      <c r="H64" s="550"/>
      <c r="I64" s="550"/>
      <c r="J64" s="550"/>
      <c r="K64" s="550"/>
      <c r="L64" s="551"/>
      <c r="M64" s="552"/>
      <c r="N64" s="1149"/>
      <c r="O64" s="1149"/>
      <c r="P64" s="553"/>
      <c r="Q64" s="554"/>
    </row>
    <row r="65" spans="1:17" s="466" customFormat="1" ht="14.5" thickBot="1">
      <c r="A65" s="548"/>
      <c r="B65" s="538"/>
      <c r="C65" s="555"/>
      <c r="D65" s="531"/>
      <c r="E65" s="531"/>
      <c r="F65" s="531"/>
      <c r="G65" s="531"/>
      <c r="H65" s="531"/>
      <c r="I65" s="531"/>
      <c r="J65" s="531"/>
      <c r="K65" s="531"/>
      <c r="L65" s="531"/>
      <c r="M65" s="532"/>
      <c r="N65" s="1148"/>
      <c r="O65" s="1148"/>
      <c r="P65" s="553"/>
      <c r="Q65" s="554"/>
    </row>
    <row r="66" spans="1:17" s="466" customFormat="1" ht="14.5" thickTop="1">
      <c r="A66" s="548"/>
      <c r="B66" s="533">
        <f>B13</f>
        <v>111</v>
      </c>
      <c r="C66" s="549"/>
      <c r="D66" s="549"/>
      <c r="E66" s="549"/>
      <c r="F66" s="549"/>
      <c r="G66" s="549"/>
      <c r="H66" s="550"/>
      <c r="I66" s="550"/>
      <c r="J66" s="550"/>
      <c r="K66" s="550"/>
      <c r="L66" s="551"/>
      <c r="M66" s="552"/>
      <c r="N66" s="1149"/>
      <c r="O66" s="1149"/>
      <c r="P66" s="465"/>
      <c r="Q66" s="556"/>
    </row>
    <row r="67" spans="1:17" s="466" customFormat="1" ht="14.5" thickBot="1">
      <c r="A67" s="548"/>
      <c r="B67" s="538"/>
      <c r="C67" s="555"/>
      <c r="D67" s="531"/>
      <c r="E67" s="531"/>
      <c r="F67" s="531"/>
      <c r="G67" s="555"/>
      <c r="H67" s="557"/>
      <c r="I67" s="557"/>
      <c r="J67" s="557"/>
      <c r="K67" s="557"/>
      <c r="L67" s="557"/>
      <c r="M67" s="558"/>
      <c r="N67" s="1149"/>
      <c r="O67" s="1149"/>
      <c r="P67" s="553"/>
      <c r="Q67" s="554"/>
    </row>
    <row r="68" spans="1:17" s="466" customFormat="1" ht="14.5" thickTop="1">
      <c r="A68" s="548"/>
      <c r="B68" s="541">
        <f>B14</f>
        <v>111</v>
      </c>
      <c r="C68" s="518"/>
      <c r="D68" s="518"/>
      <c r="E68" s="518"/>
      <c r="F68" s="518"/>
      <c r="G68" s="518"/>
      <c r="H68" s="559"/>
      <c r="I68" s="559"/>
      <c r="J68" s="559"/>
      <c r="K68" s="559"/>
      <c r="L68" s="560"/>
      <c r="M68" s="561"/>
      <c r="N68" s="1149"/>
      <c r="O68" s="1149"/>
      <c r="P68" s="562"/>
      <c r="Q68" s="554"/>
    </row>
    <row r="69" spans="1:17" s="466" customFormat="1" ht="14.5" thickBot="1">
      <c r="A69" s="563"/>
      <c r="B69" s="564"/>
      <c r="C69" s="565"/>
      <c r="D69" s="565"/>
      <c r="E69" s="565"/>
      <c r="F69" s="565"/>
      <c r="G69" s="565"/>
      <c r="H69" s="566"/>
      <c r="I69" s="566"/>
      <c r="J69" s="566"/>
      <c r="K69" s="566"/>
      <c r="L69" s="566"/>
      <c r="M69" s="567"/>
      <c r="N69" s="1149"/>
      <c r="O69" s="1149"/>
      <c r="P69" s="553"/>
      <c r="Q69" s="554"/>
    </row>
    <row r="70" spans="1:17">
      <c r="A70" s="522" t="s">
        <v>2553</v>
      </c>
      <c r="B70" s="523" t="s">
        <v>2699</v>
      </c>
      <c r="C70" s="568" t="s">
        <v>2591</v>
      </c>
      <c r="D70" s="568" t="s">
        <v>2592</v>
      </c>
      <c r="E70" s="568" t="s">
        <v>2593</v>
      </c>
      <c r="F70" s="568" t="s">
        <v>2594</v>
      </c>
      <c r="G70" s="568" t="s">
        <v>2595</v>
      </c>
      <c r="H70" s="524"/>
      <c r="I70" s="524"/>
      <c r="J70" s="524"/>
      <c r="K70" s="569"/>
      <c r="L70" s="570"/>
      <c r="M70" s="571"/>
      <c r="N70" s="1147"/>
      <c r="O70" s="1147"/>
      <c r="P70" s="572"/>
      <c r="Q70" s="499"/>
    </row>
    <row r="71" spans="1:17" ht="14.5" thickBot="1">
      <c r="A71" s="529"/>
      <c r="B71" s="538"/>
      <c r="C71" s="539">
        <v>100</v>
      </c>
      <c r="D71" s="539">
        <f>C71-$K15</f>
        <v>100</v>
      </c>
      <c r="E71" s="539">
        <f>D71-$K15</f>
        <v>100</v>
      </c>
      <c r="F71" s="539">
        <f>E71-$K15</f>
        <v>100</v>
      </c>
      <c r="G71" s="539">
        <f>F71-$K15</f>
        <v>100</v>
      </c>
      <c r="H71" s="539"/>
      <c r="I71" s="539"/>
      <c r="J71" s="539"/>
      <c r="K71" s="539"/>
      <c r="L71" s="539"/>
      <c r="M71" s="540"/>
      <c r="N71" s="1148"/>
      <c r="O71" s="1148"/>
      <c r="P71" s="43"/>
      <c r="Q71" s="499"/>
    </row>
    <row r="72" spans="1:17" ht="14.5" thickTop="1">
      <c r="A72" s="529"/>
      <c r="B72" s="533" t="s">
        <v>2596</v>
      </c>
      <c r="C72" s="573" t="s">
        <v>2591</v>
      </c>
      <c r="D72" s="573" t="s">
        <v>2592</v>
      </c>
      <c r="E72" s="573" t="s">
        <v>2593</v>
      </c>
      <c r="F72" s="573" t="s">
        <v>2594</v>
      </c>
      <c r="G72" s="573" t="s">
        <v>2595</v>
      </c>
      <c r="H72" s="534"/>
      <c r="I72" s="534"/>
      <c r="J72" s="534"/>
      <c r="K72" s="535"/>
      <c r="L72" s="536"/>
      <c r="M72" s="537"/>
      <c r="N72" s="1147"/>
      <c r="O72" s="1147"/>
      <c r="P72" s="43"/>
      <c r="Q72" s="499"/>
    </row>
    <row r="73" spans="1:17" ht="14.5" thickBot="1">
      <c r="A73" s="529"/>
      <c r="B73" s="538"/>
      <c r="C73" s="539">
        <v>100</v>
      </c>
      <c r="D73" s="539">
        <f>C73-$K17</f>
        <v>100</v>
      </c>
      <c r="E73" s="539">
        <f>D73-$K17</f>
        <v>100</v>
      </c>
      <c r="F73" s="539">
        <f>E73-$K17</f>
        <v>100</v>
      </c>
      <c r="G73" s="539">
        <f>F73-$K17</f>
        <v>100</v>
      </c>
      <c r="H73" s="539"/>
      <c r="I73" s="539"/>
      <c r="J73" s="539"/>
      <c r="K73" s="539"/>
      <c r="L73" s="539"/>
      <c r="M73" s="540"/>
      <c r="N73" s="1148"/>
      <c r="O73" s="1148"/>
      <c r="P73" s="43"/>
      <c r="Q73" s="499"/>
    </row>
    <row r="74" spans="1:17" ht="14.5" thickTop="1">
      <c r="A74" s="529"/>
      <c r="B74" s="533" t="s">
        <v>2597</v>
      </c>
      <c r="C74" s="573" t="s">
        <v>2591</v>
      </c>
      <c r="D74" s="573" t="s">
        <v>2592</v>
      </c>
      <c r="E74" s="573" t="s">
        <v>2593</v>
      </c>
      <c r="F74" s="573" t="s">
        <v>2594</v>
      </c>
      <c r="G74" s="573" t="s">
        <v>2595</v>
      </c>
      <c r="H74" s="534"/>
      <c r="I74" s="534"/>
      <c r="J74" s="534"/>
      <c r="K74" s="535"/>
      <c r="L74" s="536"/>
      <c r="M74" s="537"/>
      <c r="N74" s="1147"/>
      <c r="O74" s="1147"/>
      <c r="P74" s="43"/>
      <c r="Q74" s="499"/>
    </row>
    <row r="75" spans="1:17" ht="14.5" thickBot="1">
      <c r="A75" s="529"/>
      <c r="B75" s="538"/>
      <c r="C75" s="539">
        <v>100</v>
      </c>
      <c r="D75" s="539">
        <f>C75-$K19</f>
        <v>100</v>
      </c>
      <c r="E75" s="539">
        <f>D75-$K19</f>
        <v>100</v>
      </c>
      <c r="F75" s="539">
        <f>E75-$K19</f>
        <v>100</v>
      </c>
      <c r="G75" s="539">
        <f>F75-$K19</f>
        <v>100</v>
      </c>
      <c r="H75" s="539"/>
      <c r="I75" s="539"/>
      <c r="J75" s="539"/>
      <c r="K75" s="539"/>
      <c r="L75" s="539"/>
      <c r="M75" s="540"/>
      <c r="N75" s="1148"/>
      <c r="O75" s="1148"/>
      <c r="P75" s="43"/>
      <c r="Q75" s="499"/>
    </row>
    <row r="76" spans="1:17" ht="14.5" thickTop="1">
      <c r="A76" s="529"/>
      <c r="B76" s="541" t="s">
        <v>2683</v>
      </c>
      <c r="C76" s="655" t="s">
        <v>2669</v>
      </c>
      <c r="D76" s="655" t="s">
        <v>2670</v>
      </c>
      <c r="E76" s="655" t="s">
        <v>2671</v>
      </c>
      <c r="F76" s="655" t="s">
        <v>2672</v>
      </c>
      <c r="G76" s="655" t="s">
        <v>2673</v>
      </c>
      <c r="H76" s="534"/>
      <c r="I76" s="534"/>
      <c r="J76" s="534"/>
      <c r="K76" s="534"/>
      <c r="L76" s="534"/>
      <c r="M76" s="1377"/>
      <c r="N76" s="1148"/>
      <c r="O76" s="1148"/>
      <c r="P76" s="43"/>
      <c r="Q76" s="499"/>
    </row>
    <row r="77" spans="1:17" ht="14.5" thickBot="1">
      <c r="A77" s="529"/>
      <c r="B77" s="541"/>
      <c r="C77" s="539">
        <v>100</v>
      </c>
      <c r="D77" s="539">
        <f>C77-$K21</f>
        <v>100</v>
      </c>
      <c r="E77" s="539">
        <f>D77-$K21</f>
        <v>100</v>
      </c>
      <c r="F77" s="539">
        <f>E77-$K21</f>
        <v>100</v>
      </c>
      <c r="G77" s="539">
        <f>F77-$K21</f>
        <v>100</v>
      </c>
      <c r="H77" s="655"/>
      <c r="I77" s="655"/>
      <c r="J77" s="655"/>
      <c r="K77" s="655"/>
      <c r="L77" s="655"/>
      <c r="M77" s="445"/>
      <c r="N77" s="1148"/>
      <c r="O77" s="1148"/>
      <c r="P77" s="43"/>
      <c r="Q77" s="499"/>
    </row>
    <row r="78" spans="1:17" ht="14.5" thickTop="1">
      <c r="A78" s="529"/>
      <c r="B78" s="533" t="s">
        <v>2692</v>
      </c>
      <c r="C78" s="573" t="s">
        <v>2591</v>
      </c>
      <c r="D78" s="573" t="s">
        <v>2592</v>
      </c>
      <c r="E78" s="573" t="s">
        <v>2593</v>
      </c>
      <c r="F78" s="573" t="s">
        <v>2594</v>
      </c>
      <c r="G78" s="573" t="s">
        <v>2595</v>
      </c>
      <c r="H78" s="534"/>
      <c r="I78" s="534"/>
      <c r="J78" s="534"/>
      <c r="K78" s="535"/>
      <c r="L78" s="536"/>
      <c r="M78" s="537"/>
      <c r="N78" s="1147"/>
      <c r="O78" s="1147"/>
      <c r="P78" s="43"/>
      <c r="Q78" s="499"/>
    </row>
    <row r="79" spans="1:17" ht="14.5" thickBot="1">
      <c r="A79" s="529"/>
      <c r="B79" s="538"/>
      <c r="C79" s="539">
        <v>100</v>
      </c>
      <c r="D79" s="539">
        <f>C79-$K23</f>
        <v>100</v>
      </c>
      <c r="E79" s="539">
        <f>D79-$K23</f>
        <v>100</v>
      </c>
      <c r="F79" s="539">
        <f>E79-$K23</f>
        <v>100</v>
      </c>
      <c r="G79" s="539">
        <f>F79-$K23</f>
        <v>100</v>
      </c>
      <c r="H79" s="539"/>
      <c r="I79" s="539"/>
      <c r="J79" s="539"/>
      <c r="K79" s="539"/>
      <c r="L79" s="539"/>
      <c r="M79" s="540"/>
      <c r="N79" s="1148"/>
      <c r="O79" s="1148"/>
      <c r="P79" s="43"/>
      <c r="Q79" s="499"/>
    </row>
    <row r="80" spans="1:17" s="114" customFormat="1" ht="14.5" thickTop="1">
      <c r="A80" s="574"/>
      <c r="B80" s="533">
        <f>B25</f>
        <v>111</v>
      </c>
      <c r="C80" s="549"/>
      <c r="D80" s="549"/>
      <c r="E80" s="549"/>
      <c r="F80" s="549"/>
      <c r="G80" s="549"/>
      <c r="H80" s="549"/>
      <c r="I80" s="549"/>
      <c r="J80" s="549"/>
      <c r="K80" s="549"/>
      <c r="L80" s="575"/>
      <c r="M80" s="576"/>
      <c r="N80" s="1146"/>
      <c r="O80" s="1146"/>
      <c r="P80" s="43"/>
      <c r="Q80" s="499"/>
    </row>
    <row r="81" spans="1:17" s="114" customFormat="1" ht="14.5" thickBot="1">
      <c r="A81" s="574"/>
      <c r="B81" s="538"/>
      <c r="C81" s="555"/>
      <c r="D81" s="531"/>
      <c r="E81" s="531"/>
      <c r="F81" s="531"/>
      <c r="G81" s="531"/>
      <c r="H81" s="531"/>
      <c r="I81" s="531"/>
      <c r="J81" s="531"/>
      <c r="K81" s="531"/>
      <c r="L81" s="531"/>
      <c r="M81" s="532"/>
      <c r="N81" s="1148"/>
      <c r="O81" s="1148"/>
      <c r="P81" s="43"/>
      <c r="Q81" s="499"/>
    </row>
    <row r="82" spans="1:17" s="114" customFormat="1" ht="14.5" thickTop="1">
      <c r="A82" s="574"/>
      <c r="B82" s="533">
        <f>B26</f>
        <v>111</v>
      </c>
      <c r="C82" s="549"/>
      <c r="D82" s="549"/>
      <c r="E82" s="549"/>
      <c r="F82" s="549"/>
      <c r="G82" s="549"/>
      <c r="H82" s="549"/>
      <c r="I82" s="549"/>
      <c r="J82" s="549"/>
      <c r="K82" s="549"/>
      <c r="L82" s="575"/>
      <c r="M82" s="576"/>
      <c r="N82" s="1146"/>
      <c r="O82" s="1146"/>
      <c r="P82" s="43"/>
      <c r="Q82" s="499"/>
    </row>
    <row r="83" spans="1:17" s="114" customFormat="1" ht="14.5" thickBot="1">
      <c r="A83" s="574"/>
      <c r="B83" s="538"/>
      <c r="C83" s="555"/>
      <c r="D83" s="531"/>
      <c r="E83" s="531"/>
      <c r="F83" s="531"/>
      <c r="G83" s="531"/>
      <c r="H83" s="531"/>
      <c r="I83" s="531"/>
      <c r="J83" s="531"/>
      <c r="K83" s="531"/>
      <c r="L83" s="531"/>
      <c r="M83" s="532"/>
      <c r="N83" s="1148"/>
      <c r="O83" s="1148"/>
      <c r="P83" s="43"/>
      <c r="Q83" s="499"/>
    </row>
    <row r="84" spans="1:17" s="466" customFormat="1" ht="14.5" thickTop="1">
      <c r="A84" s="548"/>
      <c r="B84" s="533">
        <f>B27</f>
        <v>111</v>
      </c>
      <c r="C84" s="549"/>
      <c r="D84" s="549"/>
      <c r="E84" s="549"/>
      <c r="F84" s="549"/>
      <c r="G84" s="549"/>
      <c r="H84" s="549"/>
      <c r="I84" s="549"/>
      <c r="J84" s="549"/>
      <c r="K84" s="549"/>
      <c r="L84" s="575"/>
      <c r="M84" s="576"/>
      <c r="N84" s="1149"/>
      <c r="O84" s="1149"/>
      <c r="P84" s="553"/>
      <c r="Q84" s="554"/>
    </row>
    <row r="85" spans="1:17" s="466" customFormat="1" ht="14.5" thickBot="1">
      <c r="A85" s="548"/>
      <c r="B85" s="538"/>
      <c r="C85" s="555"/>
      <c r="D85" s="531"/>
      <c r="E85" s="531"/>
      <c r="F85" s="531"/>
      <c r="G85" s="531"/>
      <c r="H85" s="531"/>
      <c r="I85" s="531"/>
      <c r="J85" s="531"/>
      <c r="K85" s="531"/>
      <c r="L85" s="531"/>
      <c r="M85" s="532"/>
      <c r="N85" s="1149"/>
      <c r="O85" s="1149"/>
      <c r="P85" s="553"/>
      <c r="Q85" s="554"/>
    </row>
    <row r="86" spans="1:17" ht="14.5" thickTop="1">
      <c r="A86" s="529"/>
      <c r="B86" s="541">
        <f>B28</f>
        <v>111</v>
      </c>
      <c r="C86" s="518"/>
      <c r="D86" s="518"/>
      <c r="E86" s="518"/>
      <c r="F86" s="518"/>
      <c r="G86" s="582"/>
      <c r="H86" s="582"/>
      <c r="I86" s="582"/>
      <c r="J86" s="582"/>
      <c r="K86" s="583"/>
      <c r="L86" s="584"/>
      <c r="M86" s="585"/>
      <c r="N86" s="1147"/>
      <c r="O86" s="1147"/>
      <c r="P86" s="43"/>
      <c r="Q86" s="499"/>
    </row>
    <row r="87" spans="1:17" ht="14.5" thickBot="1">
      <c r="A87" s="2622"/>
      <c r="B87" s="564"/>
      <c r="C87" s="565"/>
      <c r="D87" s="565"/>
      <c r="E87" s="565"/>
      <c r="F87" s="565"/>
      <c r="G87" s="586"/>
      <c r="H87" s="586"/>
      <c r="I87" s="586"/>
      <c r="J87" s="586"/>
      <c r="K87" s="586"/>
      <c r="L87" s="586"/>
      <c r="M87" s="587"/>
      <c r="N87" s="1148"/>
      <c r="O87" s="1148"/>
      <c r="P87" s="43"/>
      <c r="Q87" s="499"/>
    </row>
    <row r="88" spans="1:17">
      <c r="A88" s="522" t="s">
        <v>2557</v>
      </c>
      <c r="B88" s="523" t="s">
        <v>2606</v>
      </c>
      <c r="C88" s="525"/>
      <c r="D88" s="525"/>
      <c r="E88" s="525"/>
      <c r="F88" s="525"/>
      <c r="G88" s="525"/>
      <c r="H88" s="525"/>
      <c r="I88" s="525"/>
      <c r="J88" s="525"/>
      <c r="K88" s="526"/>
      <c r="L88" s="527"/>
      <c r="M88" s="528"/>
      <c r="N88" s="1147"/>
      <c r="O88" s="1147"/>
      <c r="P88" s="43"/>
      <c r="Q88" s="499"/>
    </row>
    <row r="89" spans="1:17" ht="14.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8"/>
      <c r="O89" s="1148"/>
      <c r="P89" s="43"/>
      <c r="Q89" s="499"/>
    </row>
    <row r="90" spans="1:17" ht="14.5" thickTop="1">
      <c r="A90" s="529"/>
      <c r="B90" s="533" t="s">
        <v>2607</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6"/>
      <c r="O90" s="1146"/>
      <c r="P90" s="43"/>
      <c r="Q90" s="499"/>
    </row>
    <row r="91" spans="1:17" s="466" customFormat="1">
      <c r="A91" s="588"/>
      <c r="B91" s="589"/>
      <c r="C91" s="590"/>
      <c r="D91" s="590"/>
      <c r="E91" s="590"/>
      <c r="F91" s="590"/>
      <c r="G91" s="590"/>
      <c r="H91" s="590"/>
      <c r="I91" s="590"/>
      <c r="J91" s="591"/>
      <c r="K91" s="591"/>
      <c r="L91" s="592"/>
      <c r="M91" s="593"/>
      <c r="N91" s="1149"/>
      <c r="O91" s="1149"/>
      <c r="P91" s="553"/>
      <c r="Q91" s="554"/>
    </row>
    <row r="92" spans="1:17" s="466" customFormat="1" ht="14.5" thickBot="1">
      <c r="A92" s="548"/>
      <c r="B92" s="538"/>
      <c r="C92" s="555"/>
      <c r="D92" s="531"/>
      <c r="E92" s="531"/>
      <c r="F92" s="531"/>
      <c r="G92" s="531"/>
      <c r="H92" s="531"/>
      <c r="I92" s="531"/>
      <c r="J92" s="531"/>
      <c r="K92" s="531"/>
      <c r="L92" s="531"/>
      <c r="M92" s="532"/>
      <c r="N92" s="1148"/>
      <c r="O92" s="1148"/>
      <c r="P92" s="553"/>
      <c r="Q92" s="554"/>
    </row>
    <row r="93" spans="1:17" ht="14.5" thickTop="1">
      <c r="A93" s="594"/>
      <c r="B93" s="533" t="s">
        <v>2608</v>
      </c>
      <c r="C93" s="549"/>
      <c r="D93" s="549"/>
      <c r="E93" s="578"/>
      <c r="F93" s="578"/>
      <c r="G93" s="578"/>
      <c r="H93" s="578"/>
      <c r="I93" s="578"/>
      <c r="J93" s="578"/>
      <c r="K93" s="579"/>
      <c r="L93" s="580"/>
      <c r="M93" s="581"/>
      <c r="N93" s="1147"/>
      <c r="O93" s="1147"/>
      <c r="P93" s="43"/>
      <c r="Q93" s="499"/>
    </row>
    <row r="94" spans="1:17" ht="14.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8"/>
      <c r="O94" s="1148"/>
      <c r="P94" s="43"/>
      <c r="Q94" s="499"/>
    </row>
    <row r="95" spans="1:17" ht="14.5" thickTop="1">
      <c r="A95" s="594"/>
      <c r="B95" s="533" t="s">
        <v>2610</v>
      </c>
      <c r="C95" s="549"/>
      <c r="D95" s="549"/>
      <c r="E95" s="549"/>
      <c r="F95" s="578"/>
      <c r="G95" s="578"/>
      <c r="H95" s="578"/>
      <c r="I95" s="578"/>
      <c r="J95" s="578"/>
      <c r="K95" s="579"/>
      <c r="L95" s="580"/>
      <c r="M95" s="581"/>
      <c r="N95" s="1147"/>
      <c r="O95" s="1147"/>
      <c r="P95" s="43"/>
      <c r="Q95" s="499"/>
    </row>
    <row r="96" spans="1:17" ht="14.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8"/>
      <c r="O96" s="1148"/>
      <c r="P96" s="43"/>
      <c r="Q96" s="499"/>
    </row>
    <row r="97" spans="1:17" ht="14.5" thickTop="1">
      <c r="A97" s="594"/>
      <c r="B97" s="533" t="s">
        <v>1993</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7"/>
      <c r="O97" s="1147"/>
      <c r="P97" s="43"/>
      <c r="Q97" s="499"/>
    </row>
    <row r="98" spans="1:17">
      <c r="A98" s="594"/>
      <c r="B98" s="541"/>
      <c r="C98" s="598">
        <v>0.5</v>
      </c>
      <c r="D98" s="598">
        <v>0.6</v>
      </c>
      <c r="E98" s="598">
        <v>0.7</v>
      </c>
      <c r="F98" s="598">
        <v>0.8</v>
      </c>
      <c r="G98" s="598">
        <v>0.9</v>
      </c>
      <c r="H98" s="598">
        <v>1.0001</v>
      </c>
      <c r="I98" s="618"/>
      <c r="J98" s="618"/>
      <c r="K98" s="619"/>
      <c r="L98" s="620"/>
      <c r="M98" s="621"/>
      <c r="N98" s="1147"/>
      <c r="O98" s="1147"/>
      <c r="P98" s="43"/>
      <c r="Q98" s="499"/>
    </row>
    <row r="99" spans="1:17" ht="14.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8"/>
      <c r="O99" s="1148"/>
      <c r="P99" s="43"/>
      <c r="Q99" s="499"/>
    </row>
    <row r="100" spans="1:17" s="466" customFormat="1" ht="14.5" thickTop="1">
      <c r="A100" s="588"/>
      <c r="B100" s="533" t="s">
        <v>2611</v>
      </c>
      <c r="C100" s="549"/>
      <c r="D100" s="549"/>
      <c r="E100" s="549"/>
      <c r="F100" s="549"/>
      <c r="G100" s="549"/>
      <c r="H100" s="578"/>
      <c r="I100" s="578"/>
      <c r="J100" s="578"/>
      <c r="K100" s="579"/>
      <c r="L100" s="580"/>
      <c r="M100" s="581"/>
      <c r="N100" s="1149"/>
      <c r="O100" s="1149"/>
      <c r="P100" s="553"/>
      <c r="Q100" s="554"/>
    </row>
    <row r="101" spans="1:17" s="466" customFormat="1" ht="14.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9"/>
      <c r="O101" s="1149"/>
      <c r="P101" s="553"/>
      <c r="Q101" s="554"/>
    </row>
    <row r="102" spans="1:17" ht="14.5" thickTop="1">
      <c r="A102" s="594"/>
      <c r="B102" s="533" t="s">
        <v>2612</v>
      </c>
      <c r="C102" s="549"/>
      <c r="D102" s="549"/>
      <c r="E102" s="549"/>
      <c r="F102" s="549"/>
      <c r="G102" s="549"/>
      <c r="H102" s="578"/>
      <c r="I102" s="578"/>
      <c r="J102" s="578"/>
      <c r="K102" s="579"/>
      <c r="L102" s="580"/>
      <c r="M102" s="581"/>
      <c r="N102" s="1147"/>
      <c r="O102" s="1147"/>
      <c r="P102" s="43"/>
      <c r="Q102" s="499"/>
    </row>
    <row r="103" spans="1:17" ht="14.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8"/>
      <c r="O103" s="1148"/>
      <c r="P103" s="43"/>
      <c r="Q103" s="499"/>
    </row>
    <row r="104" spans="1:17" ht="14.5" thickTop="1">
      <c r="A104" s="594"/>
      <c r="B104" s="533" t="s">
        <v>2614</v>
      </c>
      <c r="C104" s="549"/>
      <c r="D104" s="549"/>
      <c r="E104" s="549"/>
      <c r="F104" s="549"/>
      <c r="G104" s="549"/>
      <c r="H104" s="578"/>
      <c r="I104" s="578"/>
      <c r="J104" s="578"/>
      <c r="K104" s="579"/>
      <c r="L104" s="580"/>
      <c r="M104" s="581"/>
      <c r="N104" s="1147"/>
      <c r="O104" s="1147"/>
      <c r="P104" s="43"/>
      <c r="Q104" s="499"/>
    </row>
    <row r="105" spans="1:17" ht="14.5" thickBot="1">
      <c r="A105" s="529"/>
      <c r="B105" s="538"/>
      <c r="C105" s="539">
        <v>100</v>
      </c>
      <c r="D105" s="539">
        <f>C105-$K36</f>
        <v>100</v>
      </c>
      <c r="E105" s="539">
        <f>D105-$K36</f>
        <v>100</v>
      </c>
      <c r="F105" s="539">
        <f>E105-$K36</f>
        <v>100</v>
      </c>
      <c r="G105" s="539">
        <f>F105-$K36</f>
        <v>100</v>
      </c>
      <c r="H105" s="539"/>
      <c r="I105" s="539"/>
      <c r="J105" s="539"/>
      <c r="K105" s="539"/>
      <c r="L105" s="539"/>
      <c r="M105" s="540"/>
      <c r="N105" s="1148"/>
      <c r="O105" s="1148"/>
      <c r="P105" s="43"/>
      <c r="Q105" s="499"/>
    </row>
    <row r="106" spans="1:17" ht="28.5" thickTop="1">
      <c r="A106" s="594"/>
      <c r="B106" s="631" t="s">
        <v>2700</v>
      </c>
      <c r="C106" s="573" t="s">
        <v>2591</v>
      </c>
      <c r="D106" s="573" t="s">
        <v>2592</v>
      </c>
      <c r="E106" s="573" t="s">
        <v>2593</v>
      </c>
      <c r="F106" s="573" t="s">
        <v>2594</v>
      </c>
      <c r="G106" s="573" t="s">
        <v>2595</v>
      </c>
      <c r="H106" s="534"/>
      <c r="I106" s="534"/>
      <c r="J106" s="534"/>
      <c r="K106" s="535"/>
      <c r="L106" s="536"/>
      <c r="M106" s="537"/>
      <c r="N106" s="1148"/>
      <c r="O106" s="1148"/>
      <c r="P106" s="632"/>
      <c r="Q106" s="633"/>
    </row>
    <row r="107" spans="1:17" ht="14.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8"/>
      <c r="O107" s="1148"/>
      <c r="P107" s="43"/>
      <c r="Q107" s="499"/>
    </row>
    <row r="108" spans="1:17" s="466" customFormat="1" ht="14.5" thickTop="1">
      <c r="A108" s="588"/>
      <c r="B108" s="533">
        <f>B38</f>
        <v>111</v>
      </c>
      <c r="C108" s="549"/>
      <c r="D108" s="549"/>
      <c r="E108" s="549"/>
      <c r="F108" s="549"/>
      <c r="G108" s="549"/>
      <c r="H108" s="550"/>
      <c r="I108" s="550"/>
      <c r="J108" s="550"/>
      <c r="K108" s="550"/>
      <c r="L108" s="551"/>
      <c r="M108" s="552"/>
      <c r="N108" s="1149"/>
      <c r="O108" s="1149"/>
      <c r="P108" s="553"/>
      <c r="Q108" s="554"/>
    </row>
    <row r="109" spans="1:17" s="466" customFormat="1" ht="14.5" thickBot="1">
      <c r="A109" s="548"/>
      <c r="B109" s="530"/>
      <c r="C109" s="555"/>
      <c r="D109" s="531"/>
      <c r="E109" s="531"/>
      <c r="F109" s="531"/>
      <c r="G109" s="555"/>
      <c r="H109" s="557"/>
      <c r="I109" s="557"/>
      <c r="J109" s="557"/>
      <c r="K109" s="557"/>
      <c r="L109" s="557"/>
      <c r="M109" s="558"/>
      <c r="N109" s="1149"/>
      <c r="O109" s="1149"/>
      <c r="P109" s="553"/>
      <c r="Q109" s="554"/>
    </row>
    <row r="110" spans="1:17" ht="14.5" thickTop="1">
      <c r="A110" s="594"/>
      <c r="B110" s="533">
        <f>B39</f>
        <v>111</v>
      </c>
      <c r="C110" s="549"/>
      <c r="D110" s="549"/>
      <c r="E110" s="549"/>
      <c r="F110" s="549"/>
      <c r="G110" s="549"/>
      <c r="H110" s="550"/>
      <c r="I110" s="550"/>
      <c r="J110" s="550"/>
      <c r="K110" s="550"/>
      <c r="L110" s="551"/>
      <c r="M110" s="552"/>
      <c r="N110" s="1147"/>
      <c r="O110" s="1147"/>
      <c r="P110" s="43"/>
      <c r="Q110" s="499"/>
    </row>
    <row r="111" spans="1:17" ht="14.5" thickBot="1">
      <c r="A111" s="529"/>
      <c r="B111" s="538"/>
      <c r="C111" s="555"/>
      <c r="D111" s="531"/>
      <c r="E111" s="531"/>
      <c r="F111" s="531"/>
      <c r="G111" s="555"/>
      <c r="H111" s="557"/>
      <c r="I111" s="557"/>
      <c r="J111" s="557"/>
      <c r="K111" s="557"/>
      <c r="L111" s="557"/>
      <c r="M111" s="558"/>
      <c r="N111" s="1148"/>
      <c r="O111" s="1148"/>
      <c r="P111" s="43"/>
      <c r="Q111" s="499"/>
    </row>
    <row r="112" spans="1:17" ht="14.5" thickTop="1">
      <c r="A112" s="594"/>
      <c r="B112" s="541">
        <f>B40</f>
        <v>111</v>
      </c>
      <c r="C112" s="518"/>
      <c r="D112" s="518"/>
      <c r="E112" s="518"/>
      <c r="F112" s="518"/>
      <c r="G112" s="582"/>
      <c r="H112" s="582"/>
      <c r="I112" s="582"/>
      <c r="J112" s="582"/>
      <c r="K112" s="518"/>
      <c r="L112" s="519"/>
      <c r="M112" s="585"/>
      <c r="N112" s="1147"/>
      <c r="O112" s="1147"/>
      <c r="P112" s="43"/>
      <c r="Q112" s="499"/>
    </row>
    <row r="113" spans="1:17" ht="14.5" thickBot="1">
      <c r="A113" s="2622"/>
      <c r="B113" s="564"/>
      <c r="C113" s="565"/>
      <c r="D113" s="565"/>
      <c r="E113" s="565"/>
      <c r="F113" s="565"/>
      <c r="G113" s="586"/>
      <c r="H113" s="586"/>
      <c r="I113" s="586"/>
      <c r="J113" s="586"/>
      <c r="K113" s="586"/>
      <c r="L113" s="586"/>
      <c r="M113" s="587"/>
      <c r="N113" s="1148"/>
      <c r="O113" s="1148"/>
      <c r="P113" s="43"/>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zoomScale="93" zoomScaleNormal="93" workbookViewId="0">
      <selection activeCell="G12" sqref="G12"/>
    </sheetView>
  </sheetViews>
  <sheetFormatPr defaultColWidth="9" defaultRowHeight="14"/>
  <cols>
    <col min="1" max="1" width="10.453125" style="398" customWidth="1"/>
    <col min="2" max="2" width="15.90625" style="398" customWidth="1"/>
    <col min="3" max="3" width="14.3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5.453125" style="398" customWidth="1"/>
    <col min="10" max="10" width="12.08984375" style="398" customWidth="1"/>
    <col min="11" max="11" width="12.08984375" style="490" customWidth="1"/>
    <col min="12" max="12" width="12.08984375" style="491" customWidth="1"/>
    <col min="13" max="15" width="12.08984375" style="398" customWidth="1"/>
    <col min="16" max="16" width="4.90625" style="111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2701</v>
      </c>
      <c r="B1" s="1614"/>
      <c r="C1" s="1615" t="s">
        <v>2524</v>
      </c>
      <c r="D1" s="1616"/>
      <c r="E1" s="1617"/>
      <c r="F1" s="2571"/>
      <c r="G1" s="1618" t="s">
        <v>2637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2324</v>
      </c>
      <c r="B2" s="1413" t="e">
        <f ca="1">IF(C2="——",IF(B37="元/平方米",ROUND(C39*D3/10000,0),ROUND(F3*C39/10000,0)),IF(B37="元/平方米",ROUND(C39*D3/10000,0),ROUND(F3*C39/10000,0))-D2)</f>
        <v>#DIV/0!</v>
      </c>
      <c r="C2" s="2573"/>
      <c r="D2" s="1119" t="e">
        <f ca="1">SUMIF(INDIRECT("'"&amp;F2&amp;"'"&amp;"!A:A"),"承租人权益价值",INDIRECT("'"&amp;F2&amp;"'"&amp;"!c:c"))</f>
        <v>#REF!</v>
      </c>
      <c r="E2" s="2574" t="s">
        <v>2325</v>
      </c>
      <c r="F2" s="2575"/>
      <c r="G2" s="1120"/>
      <c r="H2" s="1120"/>
      <c r="I2" s="1120"/>
      <c r="J2" s="1120"/>
      <c r="K2" s="1122"/>
      <c r="L2" s="1123"/>
      <c r="M2" s="1124"/>
      <c r="N2" s="1124"/>
      <c r="O2" s="1124"/>
      <c r="P2" s="1414"/>
      <c r="Q2" s="763"/>
      <c r="R2" s="763"/>
      <c r="S2" s="763"/>
      <c r="T2" s="763"/>
      <c r="U2" s="763"/>
      <c r="V2" s="763"/>
      <c r="W2" s="763"/>
      <c r="X2" s="763"/>
      <c r="Y2" s="763"/>
      <c r="Z2" s="763"/>
      <c r="AA2" s="763"/>
      <c r="AB2" s="763"/>
      <c r="AC2" s="764"/>
    </row>
    <row r="3" spans="1:29" s="393" customFormat="1" ht="28.5" customHeight="1" thickBot="1">
      <c r="A3" s="242" t="s">
        <v>2326</v>
      </c>
      <c r="B3" s="604" t="e">
        <f ca="1">IF(AND(C2="——",B37="元/平方米"),C39,ROUND(B2*10000/D3,0))</f>
        <v>#DIV/0!</v>
      </c>
      <c r="C3" s="395" t="s">
        <v>2638</v>
      </c>
      <c r="D3" s="394">
        <f>SUMIF('数据-汇总表'!$C19:$C33,D1,'数据-汇总表'!$E19:$E33)</f>
        <v>0</v>
      </c>
      <c r="E3" s="395" t="s">
        <v>2702</v>
      </c>
      <c r="F3" s="394">
        <f>SUMIF('数据-取费表'!A5:A15,D1,'数据-取费表'!AH5:AH15)</f>
        <v>0</v>
      </c>
      <c r="G3" s="1120"/>
      <c r="H3" s="1120"/>
      <c r="I3" s="1120"/>
      <c r="J3" s="1120"/>
      <c r="K3" s="1122"/>
      <c r="L3" s="1123"/>
      <c r="M3" s="1124"/>
      <c r="N3" s="1124"/>
      <c r="O3" s="1124"/>
      <c r="P3" s="1414"/>
      <c r="Q3" s="763"/>
      <c r="R3" s="763"/>
      <c r="S3" s="763"/>
      <c r="T3" s="763"/>
      <c r="U3" s="763"/>
      <c r="V3" s="763"/>
      <c r="W3" s="763"/>
      <c r="X3" s="763"/>
      <c r="Y3" s="763"/>
      <c r="Z3" s="763"/>
      <c r="AA3" s="763"/>
      <c r="AB3" s="781"/>
      <c r="AC3" s="777"/>
    </row>
    <row r="4" spans="1:29">
      <c r="A4" s="396" t="s">
        <v>2639</v>
      </c>
      <c r="B4" s="397"/>
      <c r="C4" s="3234" t="s">
        <v>2640</v>
      </c>
      <c r="D4" s="3247"/>
      <c r="E4" s="3248" t="s">
        <v>2641</v>
      </c>
      <c r="F4" s="3249"/>
      <c r="G4" s="3234" t="s">
        <v>2642</v>
      </c>
      <c r="H4" s="3247"/>
      <c r="I4" s="3234" t="s">
        <v>2643</v>
      </c>
      <c r="J4" s="3247"/>
      <c r="K4" s="605" t="s">
        <v>2644</v>
      </c>
      <c r="L4" s="1125"/>
      <c r="M4" s="1126"/>
      <c r="N4" s="1126"/>
      <c r="O4" s="1126"/>
      <c r="P4" s="3250" t="s">
        <v>2645</v>
      </c>
      <c r="Q4" s="3251"/>
      <c r="R4" s="3256" t="s">
        <v>2641</v>
      </c>
      <c r="S4" s="3257"/>
      <c r="T4" s="3256" t="s">
        <v>2642</v>
      </c>
      <c r="U4" s="3257"/>
      <c r="V4" s="3243" t="s">
        <v>2643</v>
      </c>
      <c r="W4" s="3243"/>
      <c r="X4" s="1808"/>
      <c r="Y4" s="3256" t="s">
        <v>2645</v>
      </c>
      <c r="Z4" s="3257"/>
      <c r="AA4" s="3244" t="s">
        <v>2641</v>
      </c>
      <c r="AB4" s="3245" t="s">
        <v>2642</v>
      </c>
      <c r="AC4" s="3244" t="s">
        <v>2643</v>
      </c>
    </row>
    <row r="5" spans="1:29">
      <c r="A5" s="399"/>
      <c r="B5" s="400"/>
      <c r="C5" s="3264" t="s">
        <v>2536</v>
      </c>
      <c r="D5" s="3265"/>
      <c r="E5" s="3271" t="s">
        <v>2537</v>
      </c>
      <c r="F5" s="3272"/>
      <c r="G5" s="3264" t="s">
        <v>2538</v>
      </c>
      <c r="H5" s="3265"/>
      <c r="I5" s="3264" t="s">
        <v>2539</v>
      </c>
      <c r="J5" s="3265"/>
      <c r="K5" s="605"/>
      <c r="L5" s="1125"/>
      <c r="M5" s="1126"/>
      <c r="N5" s="1126"/>
      <c r="O5" s="1126"/>
      <c r="P5" s="3252"/>
      <c r="Q5" s="3253"/>
      <c r="R5" s="3258"/>
      <c r="S5" s="3259"/>
      <c r="T5" s="3258"/>
      <c r="U5" s="3259"/>
      <c r="V5" s="3243"/>
      <c r="W5" s="3243"/>
      <c r="X5" s="1808"/>
      <c r="Y5" s="3258"/>
      <c r="Z5" s="3259"/>
      <c r="AA5" s="3245"/>
      <c r="AB5" s="3245"/>
      <c r="AC5" s="3245"/>
    </row>
    <row r="6" spans="1:29" ht="15" thickBot="1">
      <c r="A6" s="401"/>
      <c r="B6" s="402"/>
      <c r="C6" s="3262" t="s">
        <v>2540</v>
      </c>
      <c r="D6" s="3263"/>
      <c r="E6" s="3269" t="s">
        <v>2540</v>
      </c>
      <c r="F6" s="3270"/>
      <c r="G6" s="3262" t="s">
        <v>2540</v>
      </c>
      <c r="H6" s="3263"/>
      <c r="I6" s="3262" t="s">
        <v>2540</v>
      </c>
      <c r="J6" s="3263"/>
      <c r="K6" s="605" t="s">
        <v>2541</v>
      </c>
      <c r="L6" s="1125"/>
      <c r="M6" s="1126"/>
      <c r="N6" s="1126"/>
      <c r="O6" s="1126"/>
      <c r="P6" s="3254"/>
      <c r="Q6" s="3255"/>
      <c r="R6" s="3258"/>
      <c r="S6" s="3259"/>
      <c r="T6" s="3260"/>
      <c r="U6" s="3261"/>
      <c r="V6" s="3243"/>
      <c r="W6" s="3243"/>
      <c r="X6" s="1808"/>
      <c r="Y6" s="3260"/>
      <c r="Z6" s="3261"/>
      <c r="AA6" s="3246"/>
      <c r="AB6" s="3246"/>
      <c r="AC6" s="3246"/>
    </row>
    <row r="7" spans="1:29" s="114" customFormat="1" ht="14.5" thickBot="1">
      <c r="A7" s="403" t="s">
        <v>2542</v>
      </c>
      <c r="B7" s="404"/>
      <c r="C7" s="405">
        <f>'数据-取费表'!B2</f>
        <v>43903</v>
      </c>
      <c r="D7" s="406">
        <v>100</v>
      </c>
      <c r="E7" s="407"/>
      <c r="F7" s="408">
        <f>SUMIF(48:48,YEAR(E7)&amp;"-"&amp;MONTH(E7),49:49)</f>
        <v>0</v>
      </c>
      <c r="G7" s="407"/>
      <c r="H7" s="406">
        <f>SUMIF(48:48,YEAR(G7)&amp;"-"&amp;MONTH(G7),49:49)</f>
        <v>0</v>
      </c>
      <c r="I7" s="407"/>
      <c r="J7" s="406">
        <f>SUMIF(48:48,YEAR(I7)&amp;"-"&amp;MONTH(I7),49:49)</f>
        <v>0</v>
      </c>
      <c r="K7" s="606"/>
      <c r="L7" s="1127"/>
      <c r="M7" s="1128"/>
      <c r="N7" s="1128"/>
      <c r="O7" s="1128"/>
      <c r="P7" s="3266" t="s">
        <v>2543</v>
      </c>
      <c r="Q7" s="3268"/>
      <c r="R7" s="765" t="s">
        <v>17</v>
      </c>
      <c r="S7" s="766">
        <f t="shared" ref="S7:S14" si="0">F7</f>
        <v>0</v>
      </c>
      <c r="T7" s="765" t="s">
        <v>17</v>
      </c>
      <c r="U7" s="766">
        <f t="shared" ref="U7:U14" si="1">H7</f>
        <v>0</v>
      </c>
      <c r="V7" s="765" t="s">
        <v>17</v>
      </c>
      <c r="W7" s="766">
        <f t="shared" ref="W7:W14" si="2">J7</f>
        <v>0</v>
      </c>
      <c r="X7" s="767"/>
      <c r="Y7" s="3266" t="s">
        <v>2543</v>
      </c>
      <c r="Z7" s="3267"/>
      <c r="AA7" s="768" t="e">
        <f>D7/F7</f>
        <v>#DIV/0!</v>
      </c>
      <c r="AB7" s="768" t="e">
        <f>D7/H7</f>
        <v>#DIV/0!</v>
      </c>
      <c r="AC7" s="768" t="e">
        <f>D7/J7</f>
        <v>#DIV/0!</v>
      </c>
    </row>
    <row r="8" spans="1:29" s="114" customFormat="1" ht="14.5" thickBot="1">
      <c r="A8" s="403" t="s">
        <v>2544</v>
      </c>
      <c r="B8" s="404"/>
      <c r="C8" s="409" t="s">
        <v>2646</v>
      </c>
      <c r="D8" s="406">
        <v>100</v>
      </c>
      <c r="E8" s="409"/>
      <c r="F8" s="408">
        <f>SUMIF(51:51,E8,52:52)-SUMIF(51:51,C8,52:52)+100</f>
        <v>0</v>
      </c>
      <c r="G8" s="409"/>
      <c r="H8" s="406">
        <f>SUMIF(51:51,G8,52:52)-SUMIF(51:51,C8,52:52)+100</f>
        <v>0</v>
      </c>
      <c r="I8" s="409"/>
      <c r="J8" s="406">
        <f>SUMIF(51:51,I8,52:52)-SUMIF(51:51,C8,52:52)+100</f>
        <v>0</v>
      </c>
      <c r="K8" s="606"/>
      <c r="L8" s="1127"/>
      <c r="M8" s="1128"/>
      <c r="N8" s="1128"/>
      <c r="O8" s="1128"/>
      <c r="P8" s="3266" t="s">
        <v>2546</v>
      </c>
      <c r="Q8" s="3267"/>
      <c r="R8" s="765" t="s">
        <v>17</v>
      </c>
      <c r="S8" s="766">
        <f t="shared" si="0"/>
        <v>0</v>
      </c>
      <c r="T8" s="765" t="s">
        <v>17</v>
      </c>
      <c r="U8" s="766">
        <f t="shared" si="1"/>
        <v>0</v>
      </c>
      <c r="V8" s="765" t="s">
        <v>17</v>
      </c>
      <c r="W8" s="766">
        <f t="shared" si="2"/>
        <v>0</v>
      </c>
      <c r="X8" s="767"/>
      <c r="Y8" s="3266" t="s">
        <v>2546</v>
      </c>
      <c r="Z8" s="3267"/>
      <c r="AA8" s="768" t="e">
        <f t="shared" ref="AA8:AA36" si="3">D8/F8</f>
        <v>#DIV/0!</v>
      </c>
      <c r="AB8" s="768" t="e">
        <f t="shared" ref="AB8:AB36" si="4">D8/H8</f>
        <v>#DIV/0!</v>
      </c>
      <c r="AC8" s="768" t="e">
        <f t="shared" ref="AC8:AC36" si="5">D8/J8</f>
        <v>#DIV/0!</v>
      </c>
    </row>
    <row r="9" spans="1:29" s="114" customFormat="1">
      <c r="A9" s="65" t="s">
        <v>2547</v>
      </c>
      <c r="B9" s="635" t="s">
        <v>2548</v>
      </c>
      <c r="C9" s="411"/>
      <c r="D9" s="130">
        <v>100</v>
      </c>
      <c r="E9" s="414"/>
      <c r="F9" s="130">
        <f>SUMIF(53:53,E9,54:54)-SUMIF(53:53,C9,54:54)+100</f>
        <v>100</v>
      </c>
      <c r="G9" s="412"/>
      <c r="H9" s="130">
        <f>SUMIF(53:53,G9,54:54)-SUMIF(53:53,C9,54:54)+100</f>
        <v>100</v>
      </c>
      <c r="I9" s="412"/>
      <c r="J9" s="130">
        <f>SUMIF(53:53,I9,54:54)-SUMIF(53:53,C9,54:54)+100</f>
        <v>100</v>
      </c>
      <c r="K9" s="606"/>
      <c r="L9" s="1127"/>
      <c r="M9" s="1128"/>
      <c r="N9" s="1128"/>
      <c r="O9" s="1128"/>
      <c r="P9" s="3237" t="s">
        <v>2549</v>
      </c>
      <c r="Q9" s="1790" t="str">
        <f t="shared" ref="Q9:Q14" si="6">B9</f>
        <v>用途</v>
      </c>
      <c r="R9" s="765" t="s">
        <v>17</v>
      </c>
      <c r="S9" s="766">
        <f t="shared" si="0"/>
        <v>100</v>
      </c>
      <c r="T9" s="765" t="s">
        <v>17</v>
      </c>
      <c r="U9" s="766">
        <f t="shared" si="1"/>
        <v>100</v>
      </c>
      <c r="V9" s="765" t="s">
        <v>17</v>
      </c>
      <c r="W9" s="766">
        <f t="shared" si="2"/>
        <v>100</v>
      </c>
      <c r="X9" s="767"/>
      <c r="Y9" s="3085" t="s">
        <v>2550</v>
      </c>
      <c r="Z9" s="52" t="str">
        <f t="shared" ref="Z9:Z14" si="7">Q9</f>
        <v>用途</v>
      </c>
      <c r="AA9" s="768">
        <f t="shared" si="3"/>
        <v>1</v>
      </c>
      <c r="AB9" s="768">
        <f t="shared" si="4"/>
        <v>1</v>
      </c>
      <c r="AC9" s="768">
        <f t="shared" si="5"/>
        <v>1</v>
      </c>
    </row>
    <row r="10" spans="1:29" s="422" customFormat="1" ht="28">
      <c r="A10" s="636"/>
      <c r="B10" s="637" t="s">
        <v>2551</v>
      </c>
      <c r="C10" s="418"/>
      <c r="D10" s="131">
        <v>100</v>
      </c>
      <c r="E10" s="418"/>
      <c r="F10" s="131">
        <f>SUMIF(55:55,E10,56:56)-SUMIF(55:55,C10,56:56)+100</f>
        <v>100</v>
      </c>
      <c r="G10" s="419"/>
      <c r="H10" s="131">
        <f>SUMIF(55:55,G10,56:56)-SUMIF(55:55,C10,56:56)+100</f>
        <v>100</v>
      </c>
      <c r="I10" s="418"/>
      <c r="J10" s="131">
        <f>SUMIF(55:55,I10,56:56)-SUMIF(55:55,C10,56:56)+100</f>
        <v>100</v>
      </c>
      <c r="K10" s="607"/>
      <c r="L10" s="1130"/>
      <c r="M10" s="1131"/>
      <c r="N10" s="1131"/>
      <c r="O10" s="1131"/>
      <c r="P10" s="3237"/>
      <c r="Q10" s="1790" t="str">
        <f t="shared" si="6"/>
        <v>土地使用年限（年）</v>
      </c>
      <c r="R10" s="765" t="s">
        <v>17</v>
      </c>
      <c r="S10" s="766">
        <f t="shared" si="0"/>
        <v>100</v>
      </c>
      <c r="T10" s="765" t="s">
        <v>17</v>
      </c>
      <c r="U10" s="766">
        <f t="shared" si="1"/>
        <v>100</v>
      </c>
      <c r="V10" s="765" t="s">
        <v>17</v>
      </c>
      <c r="W10" s="766">
        <f t="shared" si="2"/>
        <v>100</v>
      </c>
      <c r="X10" s="767"/>
      <c r="Y10" s="3085"/>
      <c r="Z10" s="52" t="str">
        <f t="shared" si="7"/>
        <v>土地使用年限（年）</v>
      </c>
      <c r="AA10" s="768">
        <f t="shared" si="3"/>
        <v>1</v>
      </c>
      <c r="AB10" s="768">
        <f t="shared" si="4"/>
        <v>1</v>
      </c>
      <c r="AC10" s="768">
        <f t="shared" si="5"/>
        <v>1</v>
      </c>
    </row>
    <row r="11" spans="1:29" ht="15.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3"/>
      <c r="M11" s="1126"/>
      <c r="N11" s="1126"/>
      <c r="O11" s="1126"/>
      <c r="P11" s="3237"/>
      <c r="Q11" s="1790">
        <f t="shared" si="6"/>
        <v>111</v>
      </c>
      <c r="R11" s="765" t="s">
        <v>17</v>
      </c>
      <c r="S11" s="766">
        <f t="shared" si="0"/>
        <v>100</v>
      </c>
      <c r="T11" s="765" t="s">
        <v>17</v>
      </c>
      <c r="U11" s="766">
        <f t="shared" si="1"/>
        <v>100</v>
      </c>
      <c r="V11" s="765" t="s">
        <v>17</v>
      </c>
      <c r="W11" s="766">
        <f t="shared" si="2"/>
        <v>100</v>
      </c>
      <c r="X11" s="767"/>
      <c r="Y11" s="3085"/>
      <c r="Z11" s="52">
        <f t="shared" si="7"/>
        <v>111</v>
      </c>
      <c r="AA11" s="768">
        <f t="shared" si="3"/>
        <v>1</v>
      </c>
      <c r="AB11" s="768">
        <f t="shared" si="4"/>
        <v>1</v>
      </c>
      <c r="AC11" s="768">
        <f t="shared" si="5"/>
        <v>1</v>
      </c>
    </row>
    <row r="12" spans="1:29" s="114" customFormat="1" ht="15.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7"/>
      <c r="M12" s="1128"/>
      <c r="N12" s="1128"/>
      <c r="O12" s="1128"/>
      <c r="P12" s="3237"/>
      <c r="Q12" s="1790">
        <f t="shared" si="6"/>
        <v>111</v>
      </c>
      <c r="R12" s="765" t="s">
        <v>17</v>
      </c>
      <c r="S12" s="766">
        <f t="shared" si="0"/>
        <v>100</v>
      </c>
      <c r="T12" s="765" t="s">
        <v>17</v>
      </c>
      <c r="U12" s="766">
        <f t="shared" si="1"/>
        <v>100</v>
      </c>
      <c r="V12" s="765" t="s">
        <v>17</v>
      </c>
      <c r="W12" s="766">
        <f t="shared" si="2"/>
        <v>100</v>
      </c>
      <c r="X12" s="767"/>
      <c r="Y12" s="3085"/>
      <c r="Z12" s="52">
        <f t="shared" si="7"/>
        <v>111</v>
      </c>
      <c r="AA12" s="768">
        <f>D12/F12</f>
        <v>1</v>
      </c>
      <c r="AB12" s="768">
        <f>D12/H12</f>
        <v>1</v>
      </c>
      <c r="AC12" s="768">
        <f>D12/J12</f>
        <v>1</v>
      </c>
    </row>
    <row r="13" spans="1:29" ht="16"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5"/>
      <c r="M13" s="1126"/>
      <c r="N13" s="1126"/>
      <c r="O13" s="1126"/>
      <c r="P13" s="3237"/>
      <c r="Q13" s="1790">
        <f t="shared" si="6"/>
        <v>111</v>
      </c>
      <c r="R13" s="765" t="s">
        <v>17</v>
      </c>
      <c r="S13" s="766">
        <f t="shared" si="0"/>
        <v>100</v>
      </c>
      <c r="T13" s="765" t="s">
        <v>17</v>
      </c>
      <c r="U13" s="766">
        <f t="shared" si="1"/>
        <v>100</v>
      </c>
      <c r="V13" s="765" t="s">
        <v>17</v>
      </c>
      <c r="W13" s="766">
        <f t="shared" si="2"/>
        <v>100</v>
      </c>
      <c r="X13" s="767"/>
      <c r="Y13" s="3085"/>
      <c r="Z13" s="52">
        <f t="shared" si="7"/>
        <v>111</v>
      </c>
      <c r="AA13" s="768">
        <f t="shared" si="3"/>
        <v>1</v>
      </c>
      <c r="AB13" s="768">
        <f t="shared" si="4"/>
        <v>1</v>
      </c>
      <c r="AC13" s="768">
        <f t="shared" si="5"/>
        <v>1</v>
      </c>
    </row>
    <row r="14" spans="1:29" ht="98">
      <c r="A14" s="396" t="s">
        <v>2553</v>
      </c>
      <c r="B14" s="624" t="s">
        <v>2703</v>
      </c>
      <c r="C14" s="2679"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5"/>
      <c r="M14" s="1126"/>
      <c r="N14" s="1126"/>
      <c r="O14" s="1126"/>
      <c r="P14" s="3239" t="s">
        <v>2554</v>
      </c>
      <c r="Q14" s="1805" t="str">
        <f t="shared" si="6"/>
        <v>交通便捷度</v>
      </c>
      <c r="R14" s="769" t="s">
        <v>17</v>
      </c>
      <c r="S14" s="770">
        <f t="shared" si="0"/>
        <v>100</v>
      </c>
      <c r="T14" s="769" t="s">
        <v>17</v>
      </c>
      <c r="U14" s="770">
        <f t="shared" si="1"/>
        <v>100</v>
      </c>
      <c r="V14" s="769" t="s">
        <v>17</v>
      </c>
      <c r="W14" s="770">
        <f t="shared" si="2"/>
        <v>100</v>
      </c>
      <c r="X14" s="1808"/>
      <c r="Y14" s="3239" t="s">
        <v>2554</v>
      </c>
      <c r="Z14" s="1809" t="str">
        <f t="shared" si="7"/>
        <v>交通便捷度</v>
      </c>
      <c r="AA14" s="1806">
        <f t="shared" si="3"/>
        <v>1</v>
      </c>
      <c r="AB14" s="1806">
        <f t="shared" si="4"/>
        <v>1</v>
      </c>
      <c r="AC14" s="1806">
        <f t="shared" si="5"/>
        <v>1</v>
      </c>
    </row>
    <row r="15" spans="1:29" ht="15.5">
      <c r="A15" s="399"/>
      <c r="B15" s="642"/>
      <c r="C15" s="442"/>
      <c r="D15" s="443"/>
      <c r="E15" s="442"/>
      <c r="F15" s="444"/>
      <c r="G15" s="442"/>
      <c r="H15" s="445"/>
      <c r="I15" s="442"/>
      <c r="J15" s="443"/>
      <c r="K15" s="610"/>
      <c r="L15" s="1135"/>
      <c r="M15" s="1126"/>
      <c r="N15" s="1126"/>
      <c r="O15" s="1126"/>
      <c r="P15" s="3240"/>
      <c r="Q15" s="1805"/>
      <c r="R15" s="769"/>
      <c r="S15" s="770"/>
      <c r="T15" s="769"/>
      <c r="U15" s="770"/>
      <c r="V15" s="769"/>
      <c r="W15" s="770"/>
      <c r="X15" s="1808"/>
      <c r="Y15" s="3240"/>
      <c r="Z15" s="1809"/>
      <c r="AA15" s="1806">
        <v>1</v>
      </c>
      <c r="AB15" s="1806">
        <v>1</v>
      </c>
      <c r="AC15" s="1806">
        <v>1</v>
      </c>
    </row>
    <row r="16" spans="1:29" ht="42">
      <c r="A16" s="399"/>
      <c r="B16" s="626" t="s">
        <v>2682</v>
      </c>
      <c r="C16" s="2594"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5"/>
      <c r="M16" s="1126"/>
      <c r="N16" s="1126"/>
      <c r="O16" s="1126"/>
      <c r="P16" s="3240"/>
      <c r="Q16" s="1805" t="str">
        <f>B16</f>
        <v>公共配套设施</v>
      </c>
      <c r="R16" s="769" t="s">
        <v>17</v>
      </c>
      <c r="S16" s="770">
        <f>F16</f>
        <v>100</v>
      </c>
      <c r="T16" s="769" t="s">
        <v>17</v>
      </c>
      <c r="U16" s="770">
        <f>H16</f>
        <v>100</v>
      </c>
      <c r="V16" s="769" t="s">
        <v>17</v>
      </c>
      <c r="W16" s="770">
        <f>J16</f>
        <v>100</v>
      </c>
      <c r="X16" s="1808"/>
      <c r="Y16" s="3240"/>
      <c r="Z16" s="1809" t="str">
        <f>Q16</f>
        <v>公共配套设施</v>
      </c>
      <c r="AA16" s="1806">
        <f t="shared" si="3"/>
        <v>1</v>
      </c>
      <c r="AB16" s="1806">
        <f t="shared" si="4"/>
        <v>1</v>
      </c>
      <c r="AC16" s="1806">
        <f t="shared" si="5"/>
        <v>1</v>
      </c>
    </row>
    <row r="17" spans="1:29" ht="15.5">
      <c r="A17" s="399"/>
      <c r="B17" s="627"/>
      <c r="C17" s="2595"/>
      <c r="D17" s="443"/>
      <c r="E17" s="442"/>
      <c r="F17" s="444"/>
      <c r="G17" s="442"/>
      <c r="H17" s="443"/>
      <c r="I17" s="442"/>
      <c r="J17" s="443"/>
      <c r="K17" s="610"/>
      <c r="L17" s="1135"/>
      <c r="M17" s="1126"/>
      <c r="N17" s="1126"/>
      <c r="O17" s="1126"/>
      <c r="P17" s="3240"/>
      <c r="Q17" s="1805"/>
      <c r="R17" s="769"/>
      <c r="S17" s="770"/>
      <c r="T17" s="769"/>
      <c r="U17" s="770"/>
      <c r="V17" s="769"/>
      <c r="W17" s="770"/>
      <c r="X17" s="1808"/>
      <c r="Y17" s="3240"/>
      <c r="Z17" s="1809"/>
      <c r="AA17" s="1806">
        <v>1</v>
      </c>
      <c r="AB17" s="1806">
        <v>1</v>
      </c>
      <c r="AC17" s="1806">
        <v>1</v>
      </c>
    </row>
    <row r="18" spans="1:29" ht="42">
      <c r="A18" s="399"/>
      <c r="B18" s="628" t="s">
        <v>2683</v>
      </c>
      <c r="C18" s="2594"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5"/>
      <c r="M18" s="1126"/>
      <c r="N18" s="1126"/>
      <c r="O18" s="1126"/>
      <c r="P18" s="3240"/>
      <c r="Q18" s="1805" t="str">
        <f>B18</f>
        <v>基础设施水平</v>
      </c>
      <c r="R18" s="769" t="s">
        <v>17</v>
      </c>
      <c r="S18" s="770">
        <f>F18</f>
        <v>100</v>
      </c>
      <c r="T18" s="769" t="s">
        <v>17</v>
      </c>
      <c r="U18" s="770">
        <f>H18</f>
        <v>100</v>
      </c>
      <c r="V18" s="769" t="s">
        <v>17</v>
      </c>
      <c r="W18" s="770">
        <f>J18</f>
        <v>100</v>
      </c>
      <c r="X18" s="1808"/>
      <c r="Y18" s="3240"/>
      <c r="Z18" s="1809" t="str">
        <f>Q18</f>
        <v>基础设施水平</v>
      </c>
      <c r="AA18" s="1806">
        <f t="shared" ref="AA18" si="8">D18/F18</f>
        <v>1</v>
      </c>
      <c r="AB18" s="1806">
        <f t="shared" ref="AB18" si="9">D18/H18</f>
        <v>1</v>
      </c>
      <c r="AC18" s="1806">
        <f t="shared" ref="AC18" si="10">D18/J18</f>
        <v>1</v>
      </c>
    </row>
    <row r="19" spans="1:29" ht="15.5">
      <c r="A19" s="399"/>
      <c r="B19" s="628"/>
      <c r="C19" s="2595"/>
      <c r="D19" s="445"/>
      <c r="E19" s="2595"/>
      <c r="F19" s="448"/>
      <c r="G19" s="2595"/>
      <c r="H19" s="443"/>
      <c r="I19" s="442"/>
      <c r="J19" s="443"/>
      <c r="K19" s="1378"/>
      <c r="L19" s="1135"/>
      <c r="M19" s="1126"/>
      <c r="N19" s="1126"/>
      <c r="O19" s="1126"/>
      <c r="P19" s="3240"/>
      <c r="Q19" s="1805"/>
      <c r="R19" s="769"/>
      <c r="S19" s="770"/>
      <c r="T19" s="769"/>
      <c r="U19" s="770"/>
      <c r="V19" s="769"/>
      <c r="W19" s="770"/>
      <c r="X19" s="1808"/>
      <c r="Y19" s="3240"/>
      <c r="Z19" s="1809"/>
      <c r="AA19" s="1806">
        <v>1</v>
      </c>
      <c r="AB19" s="1806">
        <v>1</v>
      </c>
      <c r="AC19" s="1806">
        <v>1</v>
      </c>
    </row>
    <row r="20" spans="1:29" ht="56">
      <c r="A20" s="399"/>
      <c r="B20" s="626" t="s">
        <v>2704</v>
      </c>
      <c r="C20" s="2594"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5"/>
      <c r="M20" s="1126"/>
      <c r="N20" s="1126"/>
      <c r="O20" s="1126"/>
      <c r="P20" s="3240"/>
      <c r="Q20" s="1805" t="str">
        <f>B20</f>
        <v>自然及人文环境</v>
      </c>
      <c r="R20" s="769" t="s">
        <v>17</v>
      </c>
      <c r="S20" s="770">
        <f>F20</f>
        <v>100</v>
      </c>
      <c r="T20" s="769" t="s">
        <v>17</v>
      </c>
      <c r="U20" s="770">
        <f>H20</f>
        <v>100</v>
      </c>
      <c r="V20" s="769" t="s">
        <v>17</v>
      </c>
      <c r="W20" s="770">
        <f>J20</f>
        <v>100</v>
      </c>
      <c r="X20" s="1808"/>
      <c r="Y20" s="3240"/>
      <c r="Z20" s="1809" t="str">
        <f>Q20</f>
        <v>自然及人文环境</v>
      </c>
      <c r="AA20" s="1806">
        <f t="shared" si="3"/>
        <v>1</v>
      </c>
      <c r="AB20" s="1806">
        <f t="shared" si="4"/>
        <v>1</v>
      </c>
      <c r="AC20" s="1806">
        <f t="shared" si="5"/>
        <v>1</v>
      </c>
    </row>
    <row r="21" spans="1:29" ht="15.5">
      <c r="A21" s="399"/>
      <c r="B21" s="627"/>
      <c r="C21" s="442"/>
      <c r="D21" s="443"/>
      <c r="E21" s="442"/>
      <c r="F21" s="444"/>
      <c r="G21" s="442"/>
      <c r="H21" s="443"/>
      <c r="I21" s="442"/>
      <c r="J21" s="443"/>
      <c r="K21" s="610"/>
      <c r="L21" s="1135"/>
      <c r="M21" s="1126"/>
      <c r="N21" s="1126"/>
      <c r="O21" s="1126"/>
      <c r="P21" s="3240"/>
      <c r="Q21" s="1805"/>
      <c r="R21" s="769"/>
      <c r="S21" s="770"/>
      <c r="T21" s="769"/>
      <c r="U21" s="770"/>
      <c r="V21" s="769"/>
      <c r="W21" s="770"/>
      <c r="X21" s="1808"/>
      <c r="Y21" s="3240"/>
      <c r="Z21" s="1809"/>
      <c r="AA21" s="1806">
        <v>1</v>
      </c>
      <c r="AB21" s="1806">
        <v>1</v>
      </c>
      <c r="AC21" s="1806">
        <v>1</v>
      </c>
    </row>
    <row r="22" spans="1:29" ht="15.5">
      <c r="A22" s="399"/>
      <c r="B22" s="626" t="s">
        <v>2705</v>
      </c>
      <c r="C22" s="611"/>
      <c r="D22" s="445">
        <v>100</v>
      </c>
      <c r="E22" s="611"/>
      <c r="F22" s="456">
        <f>SUMIF(71:71,E22,72:72)-SUMIF(71:71,C22,72:72)+100</f>
        <v>100</v>
      </c>
      <c r="G22" s="611"/>
      <c r="H22" s="430">
        <f>SUMIF(71:71,G22,72:72)-SUMIF(71:71,C22,72:72)+100</f>
        <v>100</v>
      </c>
      <c r="I22" s="611"/>
      <c r="J22" s="430">
        <f>SUMIF(71:71,I22,72:72)-SUMIF(71:71,C22,72:72)+100</f>
        <v>100</v>
      </c>
      <c r="K22" s="607"/>
      <c r="L22" s="1135"/>
      <c r="M22" s="1126"/>
      <c r="N22" s="1126"/>
      <c r="O22" s="1126"/>
      <c r="P22" s="3240"/>
      <c r="Q22" s="1805" t="str">
        <f>B22</f>
        <v>楼层</v>
      </c>
      <c r="R22" s="769" t="s">
        <v>17</v>
      </c>
      <c r="S22" s="770">
        <f>F22</f>
        <v>100</v>
      </c>
      <c r="T22" s="769" t="s">
        <v>17</v>
      </c>
      <c r="U22" s="770">
        <f>H22</f>
        <v>100</v>
      </c>
      <c r="V22" s="769" t="s">
        <v>17</v>
      </c>
      <c r="W22" s="770">
        <f>J22</f>
        <v>100</v>
      </c>
      <c r="X22" s="1808"/>
      <c r="Y22" s="3240"/>
      <c r="Z22" s="1809" t="str">
        <f>Q22</f>
        <v>楼层</v>
      </c>
      <c r="AA22" s="1806">
        <f t="shared" si="3"/>
        <v>1</v>
      </c>
      <c r="AB22" s="1806">
        <f t="shared" si="4"/>
        <v>1</v>
      </c>
      <c r="AC22" s="1806">
        <f t="shared" si="5"/>
        <v>1</v>
      </c>
    </row>
    <row r="23" spans="1:29" ht="15.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5"/>
      <c r="M23" s="1126"/>
      <c r="N23" s="1126"/>
      <c r="O23" s="1126"/>
      <c r="P23" s="3240"/>
      <c r="Q23" s="1805">
        <f>B23</f>
        <v>111</v>
      </c>
      <c r="R23" s="769" t="s">
        <v>17</v>
      </c>
      <c r="S23" s="770">
        <f>F23</f>
        <v>100</v>
      </c>
      <c r="T23" s="769" t="s">
        <v>17</v>
      </c>
      <c r="U23" s="770">
        <f>H23</f>
        <v>100</v>
      </c>
      <c r="V23" s="769" t="s">
        <v>17</v>
      </c>
      <c r="W23" s="770">
        <f>J23</f>
        <v>100</v>
      </c>
      <c r="X23" s="1808"/>
      <c r="Y23" s="3240"/>
      <c r="Z23" s="1809">
        <f>Q23</f>
        <v>111</v>
      </c>
      <c r="AA23" s="1806">
        <f t="shared" si="3"/>
        <v>1</v>
      </c>
      <c r="AB23" s="1806">
        <f t="shared" si="4"/>
        <v>1</v>
      </c>
      <c r="AC23" s="1806">
        <f t="shared" si="5"/>
        <v>1</v>
      </c>
    </row>
    <row r="24" spans="1:29" ht="15.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5"/>
      <c r="M24" s="1126"/>
      <c r="N24" s="1126"/>
      <c r="O24" s="1126"/>
      <c r="P24" s="3240"/>
      <c r="Q24" s="1805">
        <f t="shared" ref="Q24:Q36" si="11">B24</f>
        <v>111</v>
      </c>
      <c r="R24" s="769" t="s">
        <v>17</v>
      </c>
      <c r="S24" s="770">
        <f>F24</f>
        <v>100</v>
      </c>
      <c r="T24" s="769" t="s">
        <v>17</v>
      </c>
      <c r="U24" s="770">
        <f>H24</f>
        <v>100</v>
      </c>
      <c r="V24" s="769" t="s">
        <v>17</v>
      </c>
      <c r="W24" s="770">
        <f>J24</f>
        <v>100</v>
      </c>
      <c r="X24" s="1808"/>
      <c r="Y24" s="3240"/>
      <c r="Z24" s="1809">
        <f>Q24</f>
        <v>111</v>
      </c>
      <c r="AA24" s="1806">
        <f t="shared" si="3"/>
        <v>1</v>
      </c>
      <c r="AB24" s="1806">
        <f t="shared" si="4"/>
        <v>1</v>
      </c>
      <c r="AC24" s="1806">
        <f t="shared" si="5"/>
        <v>1</v>
      </c>
    </row>
    <row r="25" spans="1:29" s="114" customFormat="1" ht="16"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7"/>
      <c r="M25" s="1128"/>
      <c r="N25" s="1128"/>
      <c r="O25" s="1128"/>
      <c r="P25" s="3240"/>
      <c r="Q25" s="1790">
        <f t="shared" si="11"/>
        <v>111</v>
      </c>
      <c r="R25" s="765" t="s">
        <v>17</v>
      </c>
      <c r="S25" s="766">
        <f>F25</f>
        <v>100</v>
      </c>
      <c r="T25" s="765" t="s">
        <v>17</v>
      </c>
      <c r="U25" s="766">
        <f>H25</f>
        <v>100</v>
      </c>
      <c r="V25" s="765" t="s">
        <v>17</v>
      </c>
      <c r="W25" s="766">
        <f>J25</f>
        <v>100</v>
      </c>
      <c r="X25" s="767"/>
      <c r="Y25" s="3240"/>
      <c r="Z25" s="52">
        <f>Q25</f>
        <v>111</v>
      </c>
      <c r="AA25" s="1806">
        <f>D25/F25</f>
        <v>1</v>
      </c>
      <c r="AB25" s="1806">
        <f>D25/H25</f>
        <v>1</v>
      </c>
      <c r="AC25" s="1806">
        <f>D25/J25</f>
        <v>1</v>
      </c>
    </row>
    <row r="26" spans="1:29" ht="29">
      <c r="A26" s="647" t="s">
        <v>2557</v>
      </c>
      <c r="B26" s="67" t="s">
        <v>2706</v>
      </c>
      <c r="C26" s="2680">
        <f>B1</f>
        <v>0</v>
      </c>
      <c r="D26" s="443">
        <v>100</v>
      </c>
      <c r="E26" s="442"/>
      <c r="F26" s="444">
        <f>SUMIF(79:79,E26,80:80)-SUMIF(79:79,C26,80:80)+100</f>
        <v>100</v>
      </c>
      <c r="G26" s="442"/>
      <c r="H26" s="443">
        <f>SUMIF(79:79,G26,80:80)-SUMIF(79:79,C26,80:80)+100</f>
        <v>100</v>
      </c>
      <c r="I26" s="442"/>
      <c r="J26" s="443">
        <f>SUMIF(79:79,I26,80:80)-SUMIF(79:79,C26,80:80)+100</f>
        <v>100</v>
      </c>
      <c r="K26" s="607"/>
      <c r="L26" s="1135"/>
      <c r="M26" s="1126"/>
      <c r="N26" s="1126"/>
      <c r="O26" s="1126"/>
      <c r="P26" s="3241" t="s">
        <v>2559</v>
      </c>
      <c r="Q26" s="1805" t="str">
        <f t="shared" si="11"/>
        <v>配套类型</v>
      </c>
      <c r="R26" s="769" t="s">
        <v>17</v>
      </c>
      <c r="S26" s="770">
        <f t="shared" ref="S26:S36" si="12">F26</f>
        <v>100</v>
      </c>
      <c r="T26" s="769" t="s">
        <v>17</v>
      </c>
      <c r="U26" s="770">
        <f t="shared" ref="U26:U36" si="13">H26</f>
        <v>100</v>
      </c>
      <c r="V26" s="769" t="s">
        <v>17</v>
      </c>
      <c r="W26" s="770">
        <f t="shared" ref="W26:W36" si="14">J26</f>
        <v>100</v>
      </c>
      <c r="X26" s="1808"/>
      <c r="Y26" s="3242" t="s">
        <v>2559</v>
      </c>
      <c r="Z26" s="1809" t="str">
        <f t="shared" ref="Z26:Z36" si="15">Q26</f>
        <v>配套类型</v>
      </c>
      <c r="AA26" s="1806">
        <f t="shared" si="3"/>
        <v>1</v>
      </c>
      <c r="AB26" s="1806">
        <f t="shared" si="4"/>
        <v>1</v>
      </c>
      <c r="AC26" s="1806">
        <f t="shared" si="5"/>
        <v>1</v>
      </c>
    </row>
    <row r="27" spans="1:29" s="466" customFormat="1" ht="15.5">
      <c r="A27" s="648"/>
      <c r="B27" s="649" t="s">
        <v>2707</v>
      </c>
      <c r="C27" s="650"/>
      <c r="D27" s="131">
        <v>100</v>
      </c>
      <c r="E27" s="650"/>
      <c r="F27" s="456">
        <f>SUMIF(81:81,E27,82:82)-SUMIF(81:81,C27,82:82)+100</f>
        <v>100</v>
      </c>
      <c r="G27" s="650"/>
      <c r="H27" s="430">
        <f>SUMIF(81:81,G27,82:82)-SUMIF(81:81,C27,82:82)+100</f>
        <v>100</v>
      </c>
      <c r="I27" s="650"/>
      <c r="J27" s="430">
        <f>SUMIF(81:81,I27,82:82)-SUMIF(81:81,C27,82:82)+100</f>
        <v>100</v>
      </c>
      <c r="K27" s="608"/>
      <c r="L27" s="1133"/>
      <c r="M27" s="1136"/>
      <c r="N27" s="1136"/>
      <c r="O27" s="1136"/>
      <c r="P27" s="3242"/>
      <c r="Q27" s="771" t="str">
        <f t="shared" si="11"/>
        <v>项目停车位配比</v>
      </c>
      <c r="R27" s="772" t="s">
        <v>17</v>
      </c>
      <c r="S27" s="773">
        <f t="shared" si="12"/>
        <v>100</v>
      </c>
      <c r="T27" s="772" t="s">
        <v>17</v>
      </c>
      <c r="U27" s="773">
        <f t="shared" si="13"/>
        <v>100</v>
      </c>
      <c r="V27" s="772" t="s">
        <v>17</v>
      </c>
      <c r="W27" s="773">
        <f t="shared" si="14"/>
        <v>100</v>
      </c>
      <c r="X27" s="774"/>
      <c r="Y27" s="3242"/>
      <c r="Z27" s="775" t="str">
        <f t="shared" si="15"/>
        <v>项目停车位配比</v>
      </c>
      <c r="AA27" s="1806">
        <f t="shared" si="3"/>
        <v>1</v>
      </c>
      <c r="AB27" s="1806">
        <f t="shared" si="4"/>
        <v>1</v>
      </c>
      <c r="AC27" s="1806">
        <f t="shared" si="5"/>
        <v>1</v>
      </c>
    </row>
    <row r="28" spans="1:29" ht="15.5">
      <c r="A28" s="651"/>
      <c r="B28" s="649" t="s">
        <v>2708</v>
      </c>
      <c r="C28" s="455"/>
      <c r="D28" s="430">
        <v>100</v>
      </c>
      <c r="E28" s="455"/>
      <c r="F28" s="456">
        <f>SUMIF(83:83,E28,84:84)-SUMIF(83:83,C28,84:84)+100</f>
        <v>100</v>
      </c>
      <c r="G28" s="455"/>
      <c r="H28" s="430">
        <f>SUMIF(83:83,G28,84:84)-SUMIF(83:83,C28,84:84)+100</f>
        <v>100</v>
      </c>
      <c r="I28" s="455"/>
      <c r="J28" s="430">
        <f>SUMIF(83:83,I28,84:84)-SUMIF(83:83,C28,84:84)+100</f>
        <v>100</v>
      </c>
      <c r="K28" s="607"/>
      <c r="L28" s="1135"/>
      <c r="M28" s="1126"/>
      <c r="N28" s="1126"/>
      <c r="O28" s="1126"/>
      <c r="P28" s="3242"/>
      <c r="Q28" s="1805" t="str">
        <f t="shared" si="11"/>
        <v>公共部分装修</v>
      </c>
      <c r="R28" s="769" t="s">
        <v>17</v>
      </c>
      <c r="S28" s="770">
        <f t="shared" si="12"/>
        <v>100</v>
      </c>
      <c r="T28" s="769" t="s">
        <v>17</v>
      </c>
      <c r="U28" s="770">
        <f t="shared" si="13"/>
        <v>100</v>
      </c>
      <c r="V28" s="769" t="s">
        <v>17</v>
      </c>
      <c r="W28" s="770">
        <f t="shared" si="14"/>
        <v>100</v>
      </c>
      <c r="X28" s="1808"/>
      <c r="Y28" s="3242"/>
      <c r="Z28" s="1809" t="str">
        <f t="shared" si="15"/>
        <v>公共部分装修</v>
      </c>
      <c r="AA28" s="1806">
        <f t="shared" si="3"/>
        <v>1</v>
      </c>
      <c r="AB28" s="1806">
        <f t="shared" si="4"/>
        <v>1</v>
      </c>
      <c r="AC28" s="1806">
        <f t="shared" si="5"/>
        <v>1</v>
      </c>
    </row>
    <row r="29" spans="1:29" ht="15.5">
      <c r="A29" s="651"/>
      <c r="B29" s="649" t="s">
        <v>2709</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5"/>
      <c r="M29" s="1126"/>
      <c r="N29" s="1126"/>
      <c r="O29" s="1126"/>
      <c r="P29" s="3242"/>
      <c r="Q29" s="1805" t="str">
        <f t="shared" si="11"/>
        <v>成新率</v>
      </c>
      <c r="R29" s="769" t="s">
        <v>17</v>
      </c>
      <c r="S29" s="770" t="e">
        <f t="shared" si="12"/>
        <v>#N/A</v>
      </c>
      <c r="T29" s="769" t="s">
        <v>17</v>
      </c>
      <c r="U29" s="770" t="e">
        <f t="shared" si="13"/>
        <v>#N/A</v>
      </c>
      <c r="V29" s="769" t="s">
        <v>17</v>
      </c>
      <c r="W29" s="770" t="e">
        <f t="shared" si="14"/>
        <v>#N/A</v>
      </c>
      <c r="X29" s="1808"/>
      <c r="Y29" s="3242"/>
      <c r="Z29" s="1809" t="str">
        <f t="shared" si="15"/>
        <v>成新率</v>
      </c>
      <c r="AA29" s="1806" t="e">
        <f t="shared" si="3"/>
        <v>#N/A</v>
      </c>
      <c r="AB29" s="1806" t="e">
        <f t="shared" si="4"/>
        <v>#N/A</v>
      </c>
      <c r="AC29" s="1806" t="e">
        <f t="shared" si="5"/>
        <v>#N/A</v>
      </c>
    </row>
    <row r="30" spans="1:29" ht="15.5">
      <c r="A30" s="651"/>
      <c r="B30" s="649" t="s">
        <v>2710</v>
      </c>
      <c r="C30" s="652"/>
      <c r="D30" s="430">
        <v>100</v>
      </c>
      <c r="E30" s="652"/>
      <c r="F30" s="456">
        <f>SUMIF(88:88,E30,89:89)-SUMIF(88:88,C30,89:89)+100</f>
        <v>100</v>
      </c>
      <c r="G30" s="652"/>
      <c r="H30" s="430">
        <f>SUMIF(88:88,E30,89:89)-SUMIF(88:88,C30,89:89)+100</f>
        <v>100</v>
      </c>
      <c r="I30" s="652"/>
      <c r="J30" s="430">
        <f>SUMIF(88:88,E30,89:89)-SUMIF(88:88,C30,89:89)+100</f>
        <v>100</v>
      </c>
      <c r="K30" s="607"/>
      <c r="L30" s="1135"/>
      <c r="M30" s="1126"/>
      <c r="N30" s="1126"/>
      <c r="O30" s="1126"/>
      <c r="P30" s="3242"/>
      <c r="Q30" s="1805" t="str">
        <f t="shared" si="11"/>
        <v>物业等级</v>
      </c>
      <c r="R30" s="769" t="s">
        <v>17</v>
      </c>
      <c r="S30" s="770">
        <f t="shared" si="12"/>
        <v>100</v>
      </c>
      <c r="T30" s="769" t="s">
        <v>17</v>
      </c>
      <c r="U30" s="770">
        <f t="shared" si="13"/>
        <v>100</v>
      </c>
      <c r="V30" s="769" t="s">
        <v>17</v>
      </c>
      <c r="W30" s="770">
        <f t="shared" si="14"/>
        <v>100</v>
      </c>
      <c r="X30" s="1808"/>
      <c r="Y30" s="3242"/>
      <c r="Z30" s="1809" t="str">
        <f t="shared" si="15"/>
        <v>物业等级</v>
      </c>
      <c r="AA30" s="1806">
        <f t="shared" si="3"/>
        <v>1</v>
      </c>
      <c r="AB30" s="1806">
        <f t="shared" si="4"/>
        <v>1</v>
      </c>
      <c r="AC30" s="1806">
        <f t="shared" si="5"/>
        <v>1</v>
      </c>
    </row>
    <row r="31" spans="1:29" s="114" customFormat="1" ht="15.5">
      <c r="A31" s="653"/>
      <c r="B31" s="649" t="s">
        <v>2711</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7"/>
      <c r="M31" s="1128"/>
      <c r="N31" s="1128"/>
      <c r="O31" s="1128"/>
      <c r="P31" s="3242"/>
      <c r="Q31" s="1790" t="str">
        <f t="shared" si="11"/>
        <v>停车位面积</v>
      </c>
      <c r="R31" s="765" t="s">
        <v>17</v>
      </c>
      <c r="S31" s="766" t="e">
        <f t="shared" si="12"/>
        <v>#N/A</v>
      </c>
      <c r="T31" s="765" t="s">
        <v>17</v>
      </c>
      <c r="U31" s="766" t="e">
        <f t="shared" si="13"/>
        <v>#N/A</v>
      </c>
      <c r="V31" s="765" t="s">
        <v>17</v>
      </c>
      <c r="W31" s="766" t="e">
        <f t="shared" si="14"/>
        <v>#N/A</v>
      </c>
      <c r="X31" s="767"/>
      <c r="Y31" s="3242"/>
      <c r="Z31" s="52" t="str">
        <f t="shared" si="15"/>
        <v>停车位面积</v>
      </c>
      <c r="AA31" s="768" t="e">
        <f t="shared" si="3"/>
        <v>#N/A</v>
      </c>
      <c r="AB31" s="768" t="e">
        <f t="shared" si="4"/>
        <v>#N/A</v>
      </c>
      <c r="AC31" s="768" t="e">
        <f t="shared" si="5"/>
        <v>#N/A</v>
      </c>
    </row>
    <row r="32" spans="1:29" ht="15.5">
      <c r="A32" s="651"/>
      <c r="B32" s="649" t="s">
        <v>2712</v>
      </c>
      <c r="C32" s="455"/>
      <c r="D32" s="430">
        <v>100</v>
      </c>
      <c r="E32" s="455"/>
      <c r="F32" s="456">
        <f>SUMIF(93:93,E32,94:94)-SUMIF(93:93,C32,94:94)+100</f>
        <v>100</v>
      </c>
      <c r="G32" s="455"/>
      <c r="H32" s="430">
        <f>SUMIF(93:93,G32,94:94)-SUMIF(93:93,C32,94:94)+100</f>
        <v>100</v>
      </c>
      <c r="I32" s="455"/>
      <c r="J32" s="430">
        <f>SUMIF(93:93,I32,94:94)-SUMIF(93:93,C32,94:94)+100</f>
        <v>100</v>
      </c>
      <c r="K32" s="607"/>
      <c r="L32" s="1135"/>
      <c r="M32" s="1126"/>
      <c r="N32" s="1126"/>
      <c r="O32" s="1126"/>
      <c r="P32" s="3242" t="s">
        <v>2559</v>
      </c>
      <c r="Q32" s="1805" t="str">
        <f t="shared" si="11"/>
        <v>车位类型</v>
      </c>
      <c r="R32" s="769" t="s">
        <v>17</v>
      </c>
      <c r="S32" s="770">
        <f t="shared" si="12"/>
        <v>100</v>
      </c>
      <c r="T32" s="769" t="s">
        <v>17</v>
      </c>
      <c r="U32" s="770">
        <f t="shared" si="13"/>
        <v>100</v>
      </c>
      <c r="V32" s="769" t="s">
        <v>17</v>
      </c>
      <c r="W32" s="770">
        <f t="shared" si="14"/>
        <v>100</v>
      </c>
      <c r="X32" s="1808"/>
      <c r="Y32" s="3242" t="s">
        <v>2559</v>
      </c>
      <c r="Z32" s="1809" t="str">
        <f t="shared" si="15"/>
        <v>车位类型</v>
      </c>
      <c r="AA32" s="1806">
        <f t="shared" si="3"/>
        <v>1</v>
      </c>
      <c r="AB32" s="1806">
        <f t="shared" si="4"/>
        <v>1</v>
      </c>
      <c r="AC32" s="1806">
        <f t="shared" si="5"/>
        <v>1</v>
      </c>
    </row>
    <row r="33" spans="1:29" ht="15.5">
      <c r="A33" s="651"/>
      <c r="B33" s="649" t="s">
        <v>2713</v>
      </c>
      <c r="C33" s="455"/>
      <c r="D33" s="430">
        <v>100</v>
      </c>
      <c r="E33" s="455"/>
      <c r="F33" s="456">
        <f>SUMIF(95:95,E33,96:96)-SUMIF(95:95,C33,96:96)+100</f>
        <v>100</v>
      </c>
      <c r="G33" s="455"/>
      <c r="H33" s="430">
        <f>SUMIF(95:95,G33,96:96)-SUMIF(95:95,C33,96:96)+100</f>
        <v>100</v>
      </c>
      <c r="I33" s="455"/>
      <c r="J33" s="430">
        <f>SUMIF(95:95,I33,96:96)-SUMIF(95:95,C33,96:96)+100</f>
        <v>100</v>
      </c>
      <c r="K33" s="607"/>
      <c r="L33" s="1135"/>
      <c r="M33" s="1126"/>
      <c r="N33" s="1126"/>
      <c r="O33" s="1126"/>
      <c r="P33" s="3242"/>
      <c r="Q33" s="1805" t="str">
        <f t="shared" si="11"/>
        <v>是否直接入户</v>
      </c>
      <c r="R33" s="769" t="s">
        <v>17</v>
      </c>
      <c r="S33" s="770">
        <f t="shared" si="12"/>
        <v>100</v>
      </c>
      <c r="T33" s="769" t="s">
        <v>17</v>
      </c>
      <c r="U33" s="770">
        <f t="shared" si="13"/>
        <v>100</v>
      </c>
      <c r="V33" s="769" t="s">
        <v>17</v>
      </c>
      <c r="W33" s="770">
        <f t="shared" si="14"/>
        <v>100</v>
      </c>
      <c r="X33" s="1808"/>
      <c r="Y33" s="3242"/>
      <c r="Z33" s="1809" t="str">
        <f t="shared" si="15"/>
        <v>是否直接入户</v>
      </c>
      <c r="AA33" s="1806">
        <f t="shared" si="3"/>
        <v>1</v>
      </c>
      <c r="AB33" s="1806">
        <f t="shared" si="4"/>
        <v>1</v>
      </c>
      <c r="AC33" s="1806">
        <f t="shared" si="5"/>
        <v>1</v>
      </c>
    </row>
    <row r="34" spans="1:29" ht="15.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5"/>
      <c r="M34" s="1126"/>
      <c r="N34" s="1126"/>
      <c r="O34" s="1126"/>
      <c r="P34" s="3242"/>
      <c r="Q34" s="1805">
        <f t="shared" si="11"/>
        <v>111</v>
      </c>
      <c r="R34" s="769" t="s">
        <v>17</v>
      </c>
      <c r="S34" s="770">
        <f t="shared" si="12"/>
        <v>100</v>
      </c>
      <c r="T34" s="769" t="s">
        <v>17</v>
      </c>
      <c r="U34" s="770">
        <f t="shared" si="13"/>
        <v>100</v>
      </c>
      <c r="V34" s="769" t="s">
        <v>17</v>
      </c>
      <c r="W34" s="770">
        <f t="shared" si="14"/>
        <v>100</v>
      </c>
      <c r="X34" s="1808"/>
      <c r="Y34" s="3242"/>
      <c r="Z34" s="1809">
        <f t="shared" si="15"/>
        <v>111</v>
      </c>
      <c r="AA34" s="1806">
        <f t="shared" si="3"/>
        <v>1</v>
      </c>
      <c r="AB34" s="1806">
        <f t="shared" si="4"/>
        <v>1</v>
      </c>
      <c r="AC34" s="1806">
        <f t="shared" si="5"/>
        <v>1</v>
      </c>
    </row>
    <row r="35" spans="1:29" s="466" customFormat="1" ht="15.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3"/>
      <c r="M35" s="1136"/>
      <c r="N35" s="1136"/>
      <c r="O35" s="1136"/>
      <c r="P35" s="3242"/>
      <c r="Q35" s="771">
        <f t="shared" si="11"/>
        <v>111</v>
      </c>
      <c r="R35" s="772" t="s">
        <v>17</v>
      </c>
      <c r="S35" s="773">
        <f t="shared" si="12"/>
        <v>100</v>
      </c>
      <c r="T35" s="772" t="s">
        <v>17</v>
      </c>
      <c r="U35" s="773">
        <f t="shared" si="13"/>
        <v>100</v>
      </c>
      <c r="V35" s="772" t="s">
        <v>17</v>
      </c>
      <c r="W35" s="773">
        <f t="shared" si="14"/>
        <v>100</v>
      </c>
      <c r="X35" s="774"/>
      <c r="Y35" s="3242"/>
      <c r="Z35" s="775">
        <f t="shared" si="15"/>
        <v>111</v>
      </c>
      <c r="AA35" s="1806">
        <f t="shared" si="3"/>
        <v>1</v>
      </c>
      <c r="AB35" s="1806">
        <f t="shared" si="4"/>
        <v>1</v>
      </c>
      <c r="AC35" s="1806">
        <f t="shared" si="5"/>
        <v>1</v>
      </c>
    </row>
    <row r="36" spans="1:29" ht="16"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5"/>
      <c r="M36" s="1126"/>
      <c r="N36" s="1126"/>
      <c r="O36" s="1126"/>
      <c r="P36" s="3242"/>
      <c r="Q36" s="1805">
        <f t="shared" si="11"/>
        <v>111</v>
      </c>
      <c r="R36" s="769" t="s">
        <v>17</v>
      </c>
      <c r="S36" s="770">
        <f t="shared" si="12"/>
        <v>100</v>
      </c>
      <c r="T36" s="769" t="s">
        <v>17</v>
      </c>
      <c r="U36" s="770">
        <f t="shared" si="13"/>
        <v>100</v>
      </c>
      <c r="V36" s="769" t="s">
        <v>17</v>
      </c>
      <c r="W36" s="770">
        <f t="shared" si="14"/>
        <v>100</v>
      </c>
      <c r="X36" s="1808"/>
      <c r="Y36" s="3242"/>
      <c r="Z36" s="1809">
        <f t="shared" si="15"/>
        <v>111</v>
      </c>
      <c r="AA36" s="1806">
        <f t="shared" si="3"/>
        <v>1</v>
      </c>
      <c r="AB36" s="1806">
        <f t="shared" si="4"/>
        <v>1</v>
      </c>
      <c r="AC36" s="1806">
        <f t="shared" si="5"/>
        <v>1</v>
      </c>
    </row>
    <row r="37" spans="1:29">
      <c r="A37" s="474" t="s">
        <v>2714</v>
      </c>
      <c r="B37" s="2681" t="s">
        <v>2715</v>
      </c>
      <c r="C37" s="1402" t="s">
        <v>1</v>
      </c>
      <c r="D37" s="1403"/>
      <c r="E37" s="1404"/>
      <c r="F37" s="1405"/>
      <c r="G37" s="1406"/>
      <c r="H37" s="1407"/>
      <c r="I37" s="1404"/>
      <c r="J37" s="1407"/>
      <c r="K37" s="614"/>
      <c r="L37" s="1138"/>
      <c r="M37" s="1139"/>
      <c r="N37" s="1126"/>
      <c r="O37" s="1139"/>
      <c r="P37" s="3237" t="str">
        <f>A37</f>
        <v>成交单价</v>
      </c>
      <c r="Q37" s="3237"/>
      <c r="R37" s="3274">
        <f>E37</f>
        <v>0</v>
      </c>
      <c r="S37" s="3274"/>
      <c r="T37" s="3274">
        <f>G37</f>
        <v>0</v>
      </c>
      <c r="U37" s="3274"/>
      <c r="V37" s="3274">
        <f>I37</f>
        <v>0</v>
      </c>
      <c r="W37" s="3274"/>
      <c r="X37" s="754"/>
      <c r="Y37" s="776"/>
      <c r="Z37" s="754"/>
      <c r="AA37" s="754"/>
      <c r="AB37" s="754"/>
      <c r="AC37" s="754"/>
    </row>
    <row r="38" spans="1:29" ht="14.5" thickBot="1">
      <c r="A38" s="481" t="s">
        <v>2716</v>
      </c>
      <c r="B38" s="482" t="str">
        <f>B37</f>
        <v>元/车位</v>
      </c>
      <c r="C38" s="1408" t="e">
        <f>R39</f>
        <v>#DIV/0!</v>
      </c>
      <c r="D38" s="1409"/>
      <c r="E38" s="1410" t="e">
        <f>R38</f>
        <v>#DIV/0!</v>
      </c>
      <c r="F38" s="1410"/>
      <c r="G38" s="1408" t="e">
        <f>T38</f>
        <v>#DIV/0!</v>
      </c>
      <c r="H38" s="1409"/>
      <c r="I38" s="1410" t="e">
        <f>V38</f>
        <v>#DIV/0!</v>
      </c>
      <c r="J38" s="1409"/>
      <c r="K38" s="615"/>
      <c r="L38" s="1138"/>
      <c r="M38" s="1139"/>
      <c r="N38" s="1139"/>
      <c r="O38" s="1139"/>
      <c r="P38" s="3237" t="str">
        <f>A38</f>
        <v>比较价值（元/平方米）</v>
      </c>
      <c r="Q38" s="3237"/>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754"/>
      <c r="Y38" s="754"/>
      <c r="Z38" s="754"/>
      <c r="AA38" s="754"/>
      <c r="AB38" s="754"/>
      <c r="AC38" s="754"/>
    </row>
    <row r="39" spans="1:29" ht="14.5" thickBot="1">
      <c r="A39" s="487" t="s">
        <v>2717</v>
      </c>
      <c r="B39" s="488"/>
      <c r="C39" s="1412" t="e">
        <f>R39</f>
        <v>#DIV/0!</v>
      </c>
      <c r="D39" s="1412"/>
      <c r="E39" s="1412"/>
      <c r="F39" s="1412"/>
      <c r="G39" s="1412"/>
      <c r="H39" s="1412"/>
      <c r="I39" s="1412"/>
      <c r="J39" s="1412"/>
      <c r="K39" s="616"/>
      <c r="L39" s="1138"/>
      <c r="M39" s="1139"/>
      <c r="N39" s="1139"/>
      <c r="O39" s="1139"/>
      <c r="P39" s="3231" t="str">
        <f>A39</f>
        <v>估价对象XX用房的比较价值（楼面单价，元/平方米）</v>
      </c>
      <c r="Q39" s="3232"/>
      <c r="R39" s="3273" t="e">
        <f>IF(F1="售价",ROUND(AVERAGE(R38:V38),0),ROUND(AVERAGE(R38:V38),1))</f>
        <v>#DIV/0!</v>
      </c>
      <c r="S39" s="3273"/>
      <c r="T39" s="3273"/>
      <c r="U39" s="3273"/>
      <c r="V39" s="3273"/>
      <c r="W39" s="3273"/>
      <c r="X39" s="754"/>
      <c r="Y39" s="754"/>
      <c r="Z39" s="754"/>
      <c r="AA39" s="754"/>
      <c r="AB39" s="754"/>
      <c r="AC39" s="754"/>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2" t="s">
        <v>2718</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2" t="s">
        <v>2719</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7" customFormat="1" ht="13.5" customHeight="1">
      <c r="A44" s="1140"/>
      <c r="B44" s="1140"/>
      <c r="C44" s="492" t="s">
        <v>2720</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497"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5" thickBot="1">
      <c r="A47" s="1419" t="s">
        <v>2721</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3" customFormat="1">
      <c r="A48" s="500" t="s">
        <v>2722</v>
      </c>
      <c r="B48" s="501"/>
      <c r="C48" s="1569" t="str">
        <f>YEAR(C7)&amp;"-"&amp;MONTH(C7)</f>
        <v>2020-3</v>
      </c>
      <c r="D48" s="1570">
        <f>EDATE(C48,-1)</f>
        <v>43862</v>
      </c>
      <c r="E48" s="1570">
        <f t="shared" ref="E48:O48" si="16">EDATE(D48,-1)</f>
        <v>43831</v>
      </c>
      <c r="F48" s="1570">
        <f t="shared" si="16"/>
        <v>43800</v>
      </c>
      <c r="G48" s="1570">
        <f t="shared" si="16"/>
        <v>43770</v>
      </c>
      <c r="H48" s="1570">
        <f t="shared" si="16"/>
        <v>43739</v>
      </c>
      <c r="I48" s="1570">
        <f t="shared" si="16"/>
        <v>43709</v>
      </c>
      <c r="J48" s="1570">
        <f t="shared" si="16"/>
        <v>43678</v>
      </c>
      <c r="K48" s="1570">
        <f t="shared" si="16"/>
        <v>43647</v>
      </c>
      <c r="L48" s="1570">
        <f t="shared" si="16"/>
        <v>43617</v>
      </c>
      <c r="M48" s="1570">
        <f t="shared" si="16"/>
        <v>43586</v>
      </c>
      <c r="N48" s="1570">
        <f t="shared" si="16"/>
        <v>43556</v>
      </c>
      <c r="O48" s="1570">
        <f t="shared" si="16"/>
        <v>43525</v>
      </c>
      <c r="P48" s="1433"/>
      <c r="Q48" s="1434"/>
      <c r="R48" s="1434"/>
      <c r="S48" s="1434"/>
      <c r="T48" s="1434"/>
      <c r="U48" s="1434"/>
      <c r="V48" s="1434"/>
      <c r="W48" s="1434"/>
      <c r="X48" s="1434"/>
      <c r="Y48" s="1434"/>
      <c r="Z48" s="1434"/>
      <c r="AA48" s="1434"/>
      <c r="AB48" s="1434"/>
      <c r="AC48" s="1434"/>
    </row>
    <row r="49" spans="1:29" s="114" customFormat="1">
      <c r="A49" s="504"/>
      <c r="B49" s="505"/>
      <c r="C49" s="1561">
        <v>100</v>
      </c>
      <c r="D49" s="507"/>
      <c r="E49" s="507"/>
      <c r="F49" s="507"/>
      <c r="G49" s="507"/>
      <c r="H49" s="507"/>
      <c r="I49" s="507"/>
      <c r="J49" s="507"/>
      <c r="K49" s="507"/>
      <c r="L49" s="507"/>
      <c r="M49" s="508"/>
      <c r="N49" s="507"/>
      <c r="O49" s="508"/>
      <c r="P49" s="1423"/>
      <c r="Q49" s="1422"/>
      <c r="R49" s="1422"/>
      <c r="S49" s="1422"/>
      <c r="T49" s="1422"/>
      <c r="U49" s="1422"/>
      <c r="V49" s="1422"/>
      <c r="W49" s="1422"/>
      <c r="X49" s="1422"/>
      <c r="Y49" s="1422"/>
      <c r="Z49" s="1422"/>
      <c r="AA49" s="1422"/>
      <c r="AB49" s="1422"/>
      <c r="AC49" s="1422"/>
    </row>
    <row r="50" spans="1:29" s="114" customFormat="1" ht="14.5" thickBot="1">
      <c r="A50" s="510" t="s">
        <v>2579</v>
      </c>
      <c r="B50" s="511"/>
      <c r="C50" s="512"/>
      <c r="D50" s="513"/>
      <c r="E50" s="513"/>
      <c r="F50" s="513"/>
      <c r="G50" s="513"/>
      <c r="H50" s="513"/>
      <c r="I50" s="513"/>
      <c r="J50" s="513"/>
      <c r="K50" s="513"/>
      <c r="L50" s="513"/>
      <c r="M50" s="514"/>
      <c r="N50" s="513"/>
      <c r="O50" s="514"/>
      <c r="P50" s="1423"/>
      <c r="Q50" s="1418"/>
      <c r="R50" s="1422"/>
      <c r="S50" s="1422"/>
      <c r="T50" s="1422"/>
      <c r="U50" s="1422"/>
      <c r="V50" s="1422"/>
      <c r="W50" s="1422"/>
      <c r="X50" s="1422"/>
      <c r="Y50" s="1422"/>
      <c r="Z50" s="1422"/>
      <c r="AA50" s="1422"/>
      <c r="AB50" s="1422"/>
      <c r="AC50" s="1422"/>
    </row>
    <row r="51" spans="1:29" s="114" customFormat="1">
      <c r="A51" s="516" t="s">
        <v>2544</v>
      </c>
      <c r="B51" s="505"/>
      <c r="C51" s="517" t="s">
        <v>2646</v>
      </c>
      <c r="D51" s="518"/>
      <c r="E51" s="518"/>
      <c r="F51" s="518"/>
      <c r="G51" s="518"/>
      <c r="H51" s="518"/>
      <c r="I51" s="518"/>
      <c r="J51" s="518"/>
      <c r="K51" s="518"/>
      <c r="L51" s="519"/>
      <c r="M51" s="520"/>
      <c r="N51" s="1146"/>
      <c r="O51" s="1146"/>
      <c r="P51" s="1421"/>
      <c r="Q51" s="1418"/>
      <c r="R51" s="1422"/>
      <c r="S51" s="1422"/>
      <c r="T51" s="1422"/>
      <c r="U51" s="1422"/>
      <c r="V51" s="1422"/>
      <c r="W51" s="1422"/>
      <c r="X51" s="1422"/>
      <c r="Y51" s="1422"/>
      <c r="Z51" s="1422"/>
      <c r="AA51" s="1422"/>
      <c r="AB51" s="1422"/>
      <c r="AC51" s="1422"/>
    </row>
    <row r="52" spans="1:29" s="114" customFormat="1" ht="14.5" thickBot="1">
      <c r="A52" s="516"/>
      <c r="B52" s="505"/>
      <c r="C52" s="634">
        <v>100</v>
      </c>
      <c r="D52" s="507"/>
      <c r="E52" s="507"/>
      <c r="F52" s="507"/>
      <c r="G52" s="507"/>
      <c r="H52" s="507"/>
      <c r="I52" s="507"/>
      <c r="J52" s="507"/>
      <c r="K52" s="507"/>
      <c r="L52" s="507"/>
      <c r="M52" s="509"/>
      <c r="N52" s="1146"/>
      <c r="O52" s="1146"/>
      <c r="P52" s="1423"/>
      <c r="Q52" s="1418"/>
      <c r="R52" s="1422"/>
      <c r="S52" s="1422"/>
      <c r="T52" s="1422"/>
      <c r="U52" s="1422"/>
      <c r="V52" s="1422"/>
      <c r="W52" s="1422"/>
      <c r="X52" s="1422"/>
      <c r="Y52" s="1422"/>
      <c r="Z52" s="1422"/>
      <c r="AA52" s="1422"/>
      <c r="AB52" s="1422"/>
      <c r="AC52" s="1422"/>
    </row>
    <row r="53" spans="1:29">
      <c r="A53" s="522" t="s">
        <v>2582</v>
      </c>
      <c r="B53" s="523" t="s">
        <v>2548</v>
      </c>
      <c r="C53" s="524">
        <f>C9</f>
        <v>0</v>
      </c>
      <c r="D53" s="525"/>
      <c r="E53" s="525"/>
      <c r="F53" s="525"/>
      <c r="G53" s="525"/>
      <c r="H53" s="525"/>
      <c r="I53" s="525"/>
      <c r="J53" s="525"/>
      <c r="K53" s="526"/>
      <c r="L53" s="527"/>
      <c r="M53" s="528"/>
      <c r="N53" s="1147"/>
      <c r="O53" s="1147"/>
      <c r="P53" s="1424"/>
      <c r="Q53" s="1418"/>
      <c r="R53" s="1139"/>
      <c r="S53" s="1139"/>
      <c r="T53" s="1139"/>
      <c r="U53" s="1139"/>
      <c r="V53" s="1139"/>
      <c r="W53" s="1139"/>
      <c r="X53" s="1139"/>
      <c r="Y53" s="1139"/>
      <c r="Z53" s="1139"/>
      <c r="AA53" s="1139"/>
      <c r="AB53" s="1139"/>
      <c r="AC53" s="1139"/>
    </row>
    <row r="54" spans="1:29" ht="14.5" thickBot="1">
      <c r="A54" s="529"/>
      <c r="B54" s="530"/>
      <c r="C54" s="531">
        <v>100</v>
      </c>
      <c r="D54" s="531"/>
      <c r="E54" s="531"/>
      <c r="F54" s="531"/>
      <c r="G54" s="531"/>
      <c r="H54" s="531"/>
      <c r="I54" s="531"/>
      <c r="J54" s="531"/>
      <c r="K54" s="531"/>
      <c r="L54" s="531"/>
      <c r="M54" s="532"/>
      <c r="N54" s="1148"/>
      <c r="O54" s="1148"/>
      <c r="P54" s="1424"/>
      <c r="Q54" s="1418"/>
      <c r="R54" s="1139"/>
      <c r="S54" s="1139"/>
      <c r="T54" s="1139"/>
      <c r="U54" s="1139"/>
      <c r="V54" s="1139"/>
      <c r="W54" s="1139"/>
      <c r="X54" s="1139"/>
      <c r="Y54" s="1139"/>
      <c r="Z54" s="1139"/>
      <c r="AA54" s="1139"/>
      <c r="AB54" s="1139"/>
      <c r="AC54" s="1139"/>
    </row>
    <row r="55" spans="1:29" ht="28.5" thickTop="1">
      <c r="A55" s="529"/>
      <c r="B55" s="533" t="s">
        <v>2551</v>
      </c>
      <c r="C55" s="534" t="s">
        <v>2583</v>
      </c>
      <c r="D55" s="534" t="s">
        <v>2584</v>
      </c>
      <c r="E55" s="534" t="s">
        <v>2585</v>
      </c>
      <c r="F55" s="534" t="s">
        <v>2586</v>
      </c>
      <c r="G55" s="534" t="s">
        <v>2587</v>
      </c>
      <c r="H55" s="534" t="s">
        <v>2588</v>
      </c>
      <c r="I55" s="534" t="s">
        <v>2589</v>
      </c>
      <c r="J55" s="534"/>
      <c r="K55" s="535"/>
      <c r="L55" s="536"/>
      <c r="M55" s="537"/>
      <c r="N55" s="1147"/>
      <c r="O55" s="1147"/>
      <c r="P55" s="1424"/>
      <c r="Q55" s="1418"/>
      <c r="R55" s="1139"/>
      <c r="S55" s="1139"/>
      <c r="T55" s="1139"/>
      <c r="U55" s="1139"/>
      <c r="V55" s="1139"/>
      <c r="W55" s="1139"/>
      <c r="X55" s="1139"/>
      <c r="Y55" s="1139"/>
      <c r="Z55" s="1139"/>
      <c r="AA55" s="1139"/>
      <c r="AB55" s="1139"/>
      <c r="AC55" s="1139"/>
    </row>
    <row r="56" spans="1:29" ht="14.5" thickBot="1">
      <c r="A56" s="529"/>
      <c r="B56" s="538"/>
      <c r="C56" s="539" t="s">
        <v>24</v>
      </c>
      <c r="D56" s="539" t="s">
        <v>25</v>
      </c>
      <c r="E56" s="539">
        <v>100</v>
      </c>
      <c r="F56" s="539">
        <f>E56-$K10</f>
        <v>100</v>
      </c>
      <c r="G56" s="539">
        <f>F56-$K10</f>
        <v>100</v>
      </c>
      <c r="H56" s="539">
        <f>G56-$K10</f>
        <v>100</v>
      </c>
      <c r="I56" s="539">
        <f>H56-$K10</f>
        <v>100</v>
      </c>
      <c r="J56" s="539"/>
      <c r="K56" s="539"/>
      <c r="L56" s="539"/>
      <c r="M56" s="540"/>
      <c r="N56" s="1148"/>
      <c r="O56" s="1148"/>
      <c r="P56" s="1424"/>
      <c r="Q56" s="1418"/>
      <c r="R56" s="1139"/>
      <c r="S56" s="1139"/>
      <c r="T56" s="1139"/>
      <c r="U56" s="1139"/>
      <c r="V56" s="1139"/>
      <c r="W56" s="1139"/>
      <c r="X56" s="1139"/>
      <c r="Y56" s="1139"/>
      <c r="Z56" s="1139"/>
      <c r="AA56" s="1139"/>
      <c r="AB56" s="1139"/>
      <c r="AC56" s="1139"/>
    </row>
    <row r="57" spans="1:29" ht="14.5" thickTop="1">
      <c r="A57" s="529"/>
      <c r="B57" s="655">
        <f>B11</f>
        <v>111</v>
      </c>
      <c r="C57" s="544"/>
      <c r="D57" s="544"/>
      <c r="E57" s="544"/>
      <c r="F57" s="544"/>
      <c r="G57" s="544"/>
      <c r="H57" s="544"/>
      <c r="I57" s="544"/>
      <c r="J57" s="544"/>
      <c r="K57" s="545"/>
      <c r="L57" s="546"/>
      <c r="M57" s="547"/>
      <c r="N57" s="1147"/>
      <c r="O57" s="1147"/>
      <c r="P57" s="1424"/>
      <c r="Q57" s="1418"/>
      <c r="R57" s="1139"/>
      <c r="S57" s="1139"/>
      <c r="T57" s="1139"/>
      <c r="U57" s="1139"/>
      <c r="V57" s="1139"/>
      <c r="W57" s="1139"/>
      <c r="X57" s="1139"/>
      <c r="Y57" s="1139"/>
      <c r="Z57" s="1139"/>
      <c r="AA57" s="1139"/>
      <c r="AB57" s="1139"/>
      <c r="AC57" s="1139"/>
    </row>
    <row r="58" spans="1:29" ht="14.5" thickBot="1">
      <c r="A58" s="529"/>
      <c r="B58" s="530"/>
      <c r="C58" s="555"/>
      <c r="D58" s="531"/>
      <c r="E58" s="531"/>
      <c r="F58" s="531"/>
      <c r="G58" s="531"/>
      <c r="H58" s="531"/>
      <c r="I58" s="531"/>
      <c r="J58" s="531"/>
      <c r="K58" s="531"/>
      <c r="L58" s="531"/>
      <c r="M58" s="532"/>
      <c r="N58" s="1148"/>
      <c r="O58" s="1148"/>
      <c r="P58" s="1424"/>
      <c r="Q58" s="1418"/>
      <c r="R58" s="1139"/>
      <c r="S58" s="1139"/>
      <c r="T58" s="1139"/>
      <c r="U58" s="1139"/>
      <c r="V58" s="1139"/>
      <c r="W58" s="1139"/>
      <c r="X58" s="1139"/>
      <c r="Y58" s="1139"/>
      <c r="Z58" s="1139"/>
      <c r="AA58" s="1139"/>
      <c r="AB58" s="1139"/>
      <c r="AC58" s="1139"/>
    </row>
    <row r="59" spans="1:29" s="466" customFormat="1" ht="14.5" thickTop="1">
      <c r="A59" s="548"/>
      <c r="B59" s="533">
        <f>B12</f>
        <v>111</v>
      </c>
      <c r="C59" s="544"/>
      <c r="D59" s="544"/>
      <c r="E59" s="544"/>
      <c r="F59" s="544"/>
      <c r="G59" s="549"/>
      <c r="H59" s="550"/>
      <c r="I59" s="550"/>
      <c r="J59" s="550"/>
      <c r="K59" s="550"/>
      <c r="L59" s="551"/>
      <c r="M59" s="552"/>
      <c r="N59" s="1149"/>
      <c r="O59" s="1149"/>
      <c r="P59" s="1425"/>
      <c r="Q59" s="1426"/>
      <c r="R59" s="1427"/>
      <c r="S59" s="1427"/>
      <c r="T59" s="1427"/>
      <c r="U59" s="1427"/>
      <c r="V59" s="1427"/>
      <c r="W59" s="1427"/>
      <c r="X59" s="1427"/>
      <c r="Y59" s="1427"/>
      <c r="Z59" s="1427"/>
      <c r="AA59" s="1427"/>
      <c r="AB59" s="1427"/>
      <c r="AC59" s="1427"/>
    </row>
    <row r="60" spans="1:29" s="466" customFormat="1" ht="14.5" thickBot="1">
      <c r="A60" s="548"/>
      <c r="B60" s="538"/>
      <c r="C60" s="555"/>
      <c r="D60" s="531"/>
      <c r="E60" s="531"/>
      <c r="F60" s="531"/>
      <c r="G60" s="531"/>
      <c r="H60" s="531"/>
      <c r="I60" s="531"/>
      <c r="J60" s="531"/>
      <c r="K60" s="531"/>
      <c r="L60" s="531"/>
      <c r="M60" s="532"/>
      <c r="N60" s="1148"/>
      <c r="O60" s="1148"/>
      <c r="P60" s="1425"/>
      <c r="Q60" s="1426"/>
      <c r="R60" s="1427"/>
      <c r="S60" s="1427"/>
      <c r="T60" s="1427"/>
      <c r="U60" s="1427"/>
      <c r="V60" s="1427"/>
      <c r="W60" s="1427"/>
      <c r="X60" s="1427"/>
      <c r="Y60" s="1427"/>
      <c r="Z60" s="1427"/>
      <c r="AA60" s="1427"/>
      <c r="AB60" s="1427"/>
      <c r="AC60" s="1427"/>
    </row>
    <row r="61" spans="1:29" s="466" customFormat="1" ht="14.5" thickTop="1">
      <c r="A61" s="548"/>
      <c r="B61" s="533">
        <f>B13</f>
        <v>111</v>
      </c>
      <c r="C61" s="549"/>
      <c r="D61" s="549"/>
      <c r="E61" s="549"/>
      <c r="F61" s="549"/>
      <c r="G61" s="549"/>
      <c r="H61" s="550"/>
      <c r="I61" s="550"/>
      <c r="J61" s="550"/>
      <c r="K61" s="550"/>
      <c r="L61" s="551"/>
      <c r="M61" s="552"/>
      <c r="N61" s="1149"/>
      <c r="O61" s="1149"/>
      <c r="P61" s="1428"/>
      <c r="Q61" s="1429"/>
      <c r="R61" s="1427"/>
      <c r="S61" s="1427"/>
      <c r="T61" s="1427"/>
      <c r="U61" s="1427"/>
      <c r="V61" s="1427"/>
      <c r="W61" s="1427"/>
      <c r="X61" s="1427"/>
      <c r="Y61" s="1427"/>
      <c r="Z61" s="1427"/>
      <c r="AA61" s="1427"/>
      <c r="AB61" s="1427"/>
      <c r="AC61" s="1427"/>
    </row>
    <row r="62" spans="1:29" s="466" customFormat="1" ht="14.5" thickBot="1">
      <c r="A62" s="548"/>
      <c r="B62" s="538"/>
      <c r="C62" s="555"/>
      <c r="D62" s="555"/>
      <c r="E62" s="555"/>
      <c r="F62" s="555"/>
      <c r="G62" s="555"/>
      <c r="H62" s="557"/>
      <c r="I62" s="557"/>
      <c r="J62" s="557"/>
      <c r="K62" s="557"/>
      <c r="L62" s="557"/>
      <c r="M62" s="558"/>
      <c r="N62" s="1149"/>
      <c r="O62" s="1149"/>
      <c r="P62" s="1425"/>
      <c r="Q62" s="1426"/>
      <c r="R62" s="1427"/>
      <c r="S62" s="1427"/>
      <c r="T62" s="1427"/>
      <c r="U62" s="1427"/>
      <c r="V62" s="1427"/>
      <c r="W62" s="1427"/>
      <c r="X62" s="1427"/>
      <c r="Y62" s="1427"/>
      <c r="Z62" s="1427"/>
      <c r="AA62" s="1427"/>
      <c r="AB62" s="1427"/>
      <c r="AC62" s="1427"/>
    </row>
    <row r="63" spans="1:29" ht="14.5" thickTop="1">
      <c r="A63" s="522" t="s">
        <v>2553</v>
      </c>
      <c r="B63" s="523" t="s">
        <v>2596</v>
      </c>
      <c r="C63" s="568" t="s">
        <v>2591</v>
      </c>
      <c r="D63" s="568" t="s">
        <v>2592</v>
      </c>
      <c r="E63" s="568" t="s">
        <v>2593</v>
      </c>
      <c r="F63" s="568" t="s">
        <v>2594</v>
      </c>
      <c r="G63" s="568" t="s">
        <v>2595</v>
      </c>
      <c r="H63" s="524"/>
      <c r="I63" s="524"/>
      <c r="J63" s="524"/>
      <c r="K63" s="569"/>
      <c r="L63" s="570"/>
      <c r="M63" s="571"/>
      <c r="N63" s="1147"/>
      <c r="O63" s="1147"/>
      <c r="P63" s="1430"/>
      <c r="Q63" s="1418"/>
      <c r="R63" s="1139"/>
      <c r="S63" s="1139"/>
      <c r="T63" s="1139"/>
      <c r="U63" s="1139"/>
      <c r="V63" s="1139"/>
      <c r="W63" s="1139"/>
      <c r="X63" s="1139"/>
      <c r="Y63" s="1139"/>
      <c r="Z63" s="1139"/>
      <c r="AA63" s="1139"/>
      <c r="AB63" s="1139"/>
      <c r="AC63" s="1139"/>
    </row>
    <row r="64" spans="1:29" ht="14.5" thickBot="1">
      <c r="A64" s="529"/>
      <c r="B64" s="538"/>
      <c r="C64" s="539">
        <v>100</v>
      </c>
      <c r="D64" s="539">
        <f>C64-$K14</f>
        <v>100</v>
      </c>
      <c r="E64" s="539">
        <f>D64-$K14</f>
        <v>100</v>
      </c>
      <c r="F64" s="539">
        <f>E64-$K14</f>
        <v>100</v>
      </c>
      <c r="G64" s="539">
        <f>F64-$K14</f>
        <v>100</v>
      </c>
      <c r="H64" s="539"/>
      <c r="I64" s="539"/>
      <c r="J64" s="539"/>
      <c r="K64" s="539"/>
      <c r="L64" s="539"/>
      <c r="M64" s="540"/>
      <c r="N64" s="1148"/>
      <c r="O64" s="1148"/>
      <c r="P64" s="1424"/>
      <c r="Q64" s="1418"/>
      <c r="R64" s="1139"/>
      <c r="S64" s="1139"/>
      <c r="T64" s="1139"/>
      <c r="U64" s="1139"/>
      <c r="V64" s="1139"/>
      <c r="W64" s="1139"/>
      <c r="X64" s="1139"/>
      <c r="Y64" s="1139"/>
      <c r="Z64" s="1139"/>
      <c r="AA64" s="1139"/>
      <c r="AB64" s="1139"/>
      <c r="AC64" s="1139"/>
    </row>
    <row r="65" spans="1:29" ht="14.5" thickTop="1">
      <c r="A65" s="529"/>
      <c r="B65" s="533" t="s">
        <v>2597</v>
      </c>
      <c r="C65" s="573" t="s">
        <v>2591</v>
      </c>
      <c r="D65" s="573" t="s">
        <v>2592</v>
      </c>
      <c r="E65" s="573" t="s">
        <v>2593</v>
      </c>
      <c r="F65" s="573" t="s">
        <v>2594</v>
      </c>
      <c r="G65" s="573" t="s">
        <v>2595</v>
      </c>
      <c r="H65" s="534"/>
      <c r="I65" s="534"/>
      <c r="J65" s="534"/>
      <c r="K65" s="535"/>
      <c r="L65" s="536"/>
      <c r="M65" s="537"/>
      <c r="N65" s="1147"/>
      <c r="O65" s="1147"/>
      <c r="P65" s="1424"/>
      <c r="Q65" s="1418"/>
      <c r="R65" s="1139"/>
      <c r="S65" s="1139"/>
      <c r="T65" s="1139"/>
      <c r="U65" s="1139"/>
      <c r="V65" s="1139"/>
      <c r="W65" s="1139"/>
      <c r="X65" s="1139"/>
      <c r="Y65" s="1139"/>
      <c r="Z65" s="1139"/>
      <c r="AA65" s="1139"/>
      <c r="AB65" s="1139"/>
      <c r="AC65" s="1139"/>
    </row>
    <row r="66" spans="1:29" ht="14.5" thickBot="1">
      <c r="A66" s="529"/>
      <c r="B66" s="538"/>
      <c r="C66" s="539">
        <v>100</v>
      </c>
      <c r="D66" s="539">
        <f>C66-$K16</f>
        <v>100</v>
      </c>
      <c r="E66" s="539">
        <f>D66-$K16</f>
        <v>100</v>
      </c>
      <c r="F66" s="539">
        <f>E66-$K16</f>
        <v>100</v>
      </c>
      <c r="G66" s="539">
        <f>F66-$K16</f>
        <v>100</v>
      </c>
      <c r="H66" s="539"/>
      <c r="I66" s="539"/>
      <c r="J66" s="539"/>
      <c r="K66" s="539"/>
      <c r="L66" s="539"/>
      <c r="M66" s="540"/>
      <c r="N66" s="1148"/>
      <c r="O66" s="1148"/>
      <c r="P66" s="1424"/>
      <c r="Q66" s="1418"/>
      <c r="R66" s="1139"/>
      <c r="S66" s="1139"/>
      <c r="T66" s="1139"/>
      <c r="U66" s="1139"/>
      <c r="V66" s="1139"/>
      <c r="W66" s="1139"/>
      <c r="X66" s="1139"/>
      <c r="Y66" s="1139"/>
      <c r="Z66" s="1139"/>
      <c r="AA66" s="1139"/>
      <c r="AB66" s="1139"/>
      <c r="AC66" s="1139"/>
    </row>
    <row r="67" spans="1:29" ht="14.5" thickTop="1">
      <c r="A67" s="529"/>
      <c r="B67" s="541" t="s">
        <v>2683</v>
      </c>
      <c r="C67" s="655" t="s">
        <v>2669</v>
      </c>
      <c r="D67" s="655" t="s">
        <v>2670</v>
      </c>
      <c r="E67" s="655" t="s">
        <v>2671</v>
      </c>
      <c r="F67" s="655" t="s">
        <v>2672</v>
      </c>
      <c r="G67" s="655" t="s">
        <v>2673</v>
      </c>
      <c r="H67" s="534"/>
      <c r="I67" s="534"/>
      <c r="J67" s="534"/>
      <c r="K67" s="534"/>
      <c r="L67" s="534"/>
      <c r="M67" s="1377"/>
      <c r="N67" s="1148"/>
      <c r="O67" s="1148"/>
      <c r="P67" s="1424"/>
      <c r="Q67" s="1418"/>
      <c r="R67" s="1139"/>
      <c r="S67" s="1139"/>
      <c r="T67" s="1139"/>
      <c r="U67" s="1139"/>
      <c r="V67" s="1139"/>
      <c r="W67" s="1139"/>
      <c r="X67" s="1139"/>
      <c r="Y67" s="1139"/>
      <c r="Z67" s="1139"/>
      <c r="AA67" s="1139"/>
      <c r="AB67" s="1139"/>
      <c r="AC67" s="1139"/>
    </row>
    <row r="68" spans="1:29" ht="14.5" thickBot="1">
      <c r="A68" s="529"/>
      <c r="B68" s="541"/>
      <c r="C68" s="539">
        <v>100</v>
      </c>
      <c r="D68" s="539">
        <f>C68-$K18</f>
        <v>100</v>
      </c>
      <c r="E68" s="539">
        <f>D68-$K18</f>
        <v>100</v>
      </c>
      <c r="F68" s="539">
        <f>E68-$K18</f>
        <v>100</v>
      </c>
      <c r="G68" s="539">
        <f>F68-$K18</f>
        <v>100</v>
      </c>
      <c r="H68" s="655"/>
      <c r="I68" s="655"/>
      <c r="J68" s="655"/>
      <c r="K68" s="655"/>
      <c r="L68" s="655"/>
      <c r="M68" s="445"/>
      <c r="N68" s="1148"/>
      <c r="O68" s="1148"/>
      <c r="P68" s="1424"/>
      <c r="Q68" s="1418"/>
      <c r="R68" s="1139"/>
      <c r="S68" s="1139"/>
      <c r="T68" s="1139"/>
      <c r="U68" s="1139"/>
      <c r="V68" s="1139"/>
      <c r="W68" s="1139"/>
      <c r="X68" s="1139"/>
      <c r="Y68" s="1139"/>
      <c r="Z68" s="1139"/>
      <c r="AA68" s="1139"/>
      <c r="AB68" s="1139"/>
      <c r="AC68" s="1139"/>
    </row>
    <row r="69" spans="1:29" ht="14.5" thickTop="1">
      <c r="A69" s="529"/>
      <c r="B69" s="533" t="s">
        <v>2603</v>
      </c>
      <c r="C69" s="573" t="s">
        <v>2591</v>
      </c>
      <c r="D69" s="573" t="s">
        <v>2592</v>
      </c>
      <c r="E69" s="573" t="s">
        <v>2593</v>
      </c>
      <c r="F69" s="573" t="s">
        <v>2594</v>
      </c>
      <c r="G69" s="573" t="s">
        <v>2595</v>
      </c>
      <c r="H69" s="534"/>
      <c r="I69" s="534"/>
      <c r="J69" s="534"/>
      <c r="K69" s="535"/>
      <c r="L69" s="536"/>
      <c r="M69" s="537"/>
      <c r="N69" s="1147"/>
      <c r="O69" s="1147"/>
      <c r="P69" s="1424"/>
      <c r="Q69" s="1418"/>
      <c r="R69" s="1139"/>
      <c r="S69" s="1139"/>
      <c r="T69" s="1139"/>
      <c r="U69" s="1139"/>
      <c r="V69" s="1139"/>
      <c r="W69" s="1139"/>
      <c r="X69" s="1139"/>
      <c r="Y69" s="1139"/>
      <c r="Z69" s="1139"/>
      <c r="AA69" s="1139"/>
      <c r="AB69" s="1139"/>
      <c r="AC69" s="1139"/>
    </row>
    <row r="70" spans="1:29" ht="14.5" thickBot="1">
      <c r="A70" s="529"/>
      <c r="B70" s="538"/>
      <c r="C70" s="539">
        <v>100</v>
      </c>
      <c r="D70" s="539">
        <f>C70-$K20</f>
        <v>100</v>
      </c>
      <c r="E70" s="539">
        <f>D70-$K20</f>
        <v>100</v>
      </c>
      <c r="F70" s="539">
        <f>E70-$K20</f>
        <v>100</v>
      </c>
      <c r="G70" s="539">
        <f>F70-$K20</f>
        <v>100</v>
      </c>
      <c r="H70" s="539"/>
      <c r="I70" s="539"/>
      <c r="J70" s="539"/>
      <c r="K70" s="539"/>
      <c r="L70" s="539"/>
      <c r="M70" s="540"/>
      <c r="N70" s="1148"/>
      <c r="O70" s="1148"/>
      <c r="P70" s="1424"/>
      <c r="Q70" s="1418"/>
      <c r="R70" s="1139"/>
      <c r="S70" s="1139"/>
      <c r="T70" s="1139"/>
      <c r="U70" s="1139"/>
      <c r="V70" s="1139"/>
      <c r="W70" s="1139"/>
      <c r="X70" s="1139"/>
      <c r="Y70" s="1139"/>
      <c r="Z70" s="1139"/>
      <c r="AA70" s="1139"/>
      <c r="AB70" s="1139"/>
      <c r="AC70" s="1139"/>
    </row>
    <row r="71" spans="1:29" ht="14.5" thickTop="1">
      <c r="A71" s="529"/>
      <c r="B71" s="533" t="s">
        <v>2723</v>
      </c>
      <c r="C71" s="549"/>
      <c r="D71" s="549"/>
      <c r="E71" s="549"/>
      <c r="F71" s="549"/>
      <c r="G71" s="549"/>
      <c r="H71" s="578"/>
      <c r="I71" s="578"/>
      <c r="J71" s="578"/>
      <c r="K71" s="579"/>
      <c r="L71" s="580"/>
      <c r="M71" s="581"/>
      <c r="N71" s="1147"/>
      <c r="O71" s="1147"/>
      <c r="P71" s="1424"/>
      <c r="Q71" s="1418"/>
      <c r="R71" s="1139"/>
      <c r="S71" s="1139"/>
      <c r="T71" s="1139"/>
      <c r="U71" s="1139"/>
      <c r="V71" s="1139"/>
      <c r="W71" s="1139"/>
      <c r="X71" s="1139"/>
      <c r="Y71" s="1139"/>
      <c r="Z71" s="1139"/>
      <c r="AA71" s="1139"/>
      <c r="AB71" s="1139"/>
      <c r="AC71" s="1139"/>
    </row>
    <row r="72" spans="1:29" ht="14.5" thickBot="1">
      <c r="A72" s="529"/>
      <c r="B72" s="538"/>
      <c r="C72" s="539">
        <v>100</v>
      </c>
      <c r="D72" s="539">
        <f>C72-$K22</f>
        <v>100</v>
      </c>
      <c r="E72" s="539">
        <f>D72-$K22</f>
        <v>100</v>
      </c>
      <c r="F72" s="539">
        <f>E72-$K22</f>
        <v>100</v>
      </c>
      <c r="G72" s="539">
        <f>F72-$K22</f>
        <v>100</v>
      </c>
      <c r="H72" s="539"/>
      <c r="I72" s="539"/>
      <c r="J72" s="539"/>
      <c r="K72" s="539"/>
      <c r="L72" s="539"/>
      <c r="M72" s="540"/>
      <c r="N72" s="1148"/>
      <c r="O72" s="1148"/>
      <c r="P72" s="1424"/>
      <c r="Q72" s="1418"/>
      <c r="R72" s="1139"/>
      <c r="S72" s="1139"/>
      <c r="T72" s="1139"/>
      <c r="U72" s="1139"/>
      <c r="V72" s="1139"/>
      <c r="W72" s="1139"/>
      <c r="X72" s="1139"/>
      <c r="Y72" s="1139"/>
      <c r="Z72" s="1139"/>
      <c r="AA72" s="1139"/>
      <c r="AB72" s="1139"/>
      <c r="AC72" s="1139"/>
    </row>
    <row r="73" spans="1:29" s="114" customFormat="1" ht="14.5" thickTop="1">
      <c r="A73" s="574"/>
      <c r="B73" s="533">
        <f>B23</f>
        <v>111</v>
      </c>
      <c r="C73" s="544"/>
      <c r="D73" s="544"/>
      <c r="E73" s="544"/>
      <c r="F73" s="544"/>
      <c r="G73" s="549"/>
      <c r="H73" s="549"/>
      <c r="I73" s="549"/>
      <c r="J73" s="549"/>
      <c r="K73" s="549"/>
      <c r="L73" s="575"/>
      <c r="M73" s="576"/>
      <c r="N73" s="1146"/>
      <c r="O73" s="1146"/>
      <c r="P73" s="1424"/>
      <c r="Q73" s="1418"/>
      <c r="R73" s="1422"/>
      <c r="S73" s="1422"/>
      <c r="T73" s="1422"/>
      <c r="U73" s="1422"/>
      <c r="V73" s="1422"/>
      <c r="W73" s="1422"/>
      <c r="X73" s="1422"/>
      <c r="Y73" s="1422"/>
      <c r="Z73" s="1422"/>
      <c r="AA73" s="1422"/>
      <c r="AB73" s="1422"/>
      <c r="AC73" s="1422"/>
    </row>
    <row r="74" spans="1:29" s="114" customFormat="1" ht="14.5" thickBot="1">
      <c r="A74" s="574"/>
      <c r="B74" s="538"/>
      <c r="C74" s="555"/>
      <c r="D74" s="531"/>
      <c r="E74" s="531"/>
      <c r="F74" s="531"/>
      <c r="G74" s="531"/>
      <c r="H74" s="531"/>
      <c r="I74" s="531"/>
      <c r="J74" s="531"/>
      <c r="K74" s="531"/>
      <c r="L74" s="531"/>
      <c r="M74" s="532"/>
      <c r="N74" s="1148"/>
      <c r="O74" s="1148"/>
      <c r="P74" s="1424"/>
      <c r="Q74" s="1418"/>
      <c r="R74" s="1422"/>
      <c r="S74" s="1422"/>
      <c r="T74" s="1422"/>
      <c r="U74" s="1422"/>
      <c r="V74" s="1422"/>
      <c r="W74" s="1422"/>
      <c r="X74" s="1422"/>
      <c r="Y74" s="1422"/>
      <c r="Z74" s="1422"/>
      <c r="AA74" s="1422"/>
      <c r="AB74" s="1422"/>
      <c r="AC74" s="1422"/>
    </row>
    <row r="75" spans="1:29" s="114" customFormat="1" ht="14.5" thickTop="1">
      <c r="A75" s="574"/>
      <c r="B75" s="533">
        <f>B24</f>
        <v>111</v>
      </c>
      <c r="C75" s="544"/>
      <c r="D75" s="544"/>
      <c r="E75" s="544"/>
      <c r="F75" s="544"/>
      <c r="G75" s="549"/>
      <c r="H75" s="549"/>
      <c r="I75" s="549"/>
      <c r="J75" s="549"/>
      <c r="K75" s="549"/>
      <c r="L75" s="549"/>
      <c r="M75" s="576"/>
      <c r="N75" s="1146"/>
      <c r="O75" s="1146"/>
      <c r="P75" s="1424"/>
      <c r="Q75" s="1418"/>
      <c r="R75" s="1422"/>
      <c r="S75" s="1422"/>
      <c r="T75" s="1422"/>
      <c r="U75" s="1422"/>
      <c r="V75" s="1422"/>
      <c r="W75" s="1422"/>
      <c r="X75" s="1422"/>
      <c r="Y75" s="1422"/>
      <c r="Z75" s="1422"/>
      <c r="AA75" s="1422"/>
      <c r="AB75" s="1422"/>
      <c r="AC75" s="1422"/>
    </row>
    <row r="76" spans="1:29" s="114" customFormat="1" ht="14.5" thickBot="1">
      <c r="A76" s="574"/>
      <c r="B76" s="538"/>
      <c r="C76" s="555"/>
      <c r="D76" s="531"/>
      <c r="E76" s="531"/>
      <c r="F76" s="531"/>
      <c r="G76" s="531"/>
      <c r="H76" s="531"/>
      <c r="I76" s="531"/>
      <c r="J76" s="531"/>
      <c r="K76" s="531"/>
      <c r="L76" s="531"/>
      <c r="M76" s="532"/>
      <c r="N76" s="1148"/>
      <c r="O76" s="1148"/>
      <c r="P76" s="1424"/>
      <c r="Q76" s="1418"/>
      <c r="R76" s="1422"/>
      <c r="S76" s="1422"/>
      <c r="T76" s="1422"/>
      <c r="U76" s="1422"/>
      <c r="V76" s="1422"/>
      <c r="W76" s="1422"/>
      <c r="X76" s="1422"/>
      <c r="Y76" s="1422"/>
      <c r="Z76" s="1422"/>
      <c r="AA76" s="1422"/>
      <c r="AB76" s="1422"/>
      <c r="AC76" s="1422"/>
    </row>
    <row r="77" spans="1:29" s="466" customFormat="1" ht="14.5" thickTop="1">
      <c r="A77" s="548"/>
      <c r="B77" s="533">
        <f>B25</f>
        <v>111</v>
      </c>
      <c r="C77" s="549"/>
      <c r="D77" s="549"/>
      <c r="E77" s="549"/>
      <c r="F77" s="549"/>
      <c r="G77" s="549"/>
      <c r="H77" s="550"/>
      <c r="I77" s="550"/>
      <c r="J77" s="550"/>
      <c r="K77" s="550"/>
      <c r="L77" s="551"/>
      <c r="M77" s="552"/>
      <c r="N77" s="1149"/>
      <c r="O77" s="1149"/>
      <c r="P77" s="1425"/>
      <c r="Q77" s="1426"/>
      <c r="R77" s="1427"/>
      <c r="S77" s="1427"/>
      <c r="T77" s="1427"/>
      <c r="U77" s="1427"/>
      <c r="V77" s="1427"/>
      <c r="W77" s="1427"/>
      <c r="X77" s="1427"/>
      <c r="Y77" s="1427"/>
      <c r="Z77" s="1427"/>
      <c r="AA77" s="1427"/>
      <c r="AB77" s="1427"/>
      <c r="AC77" s="1427"/>
    </row>
    <row r="78" spans="1:29" s="466" customFormat="1" ht="14.5" thickBot="1">
      <c r="A78" s="548"/>
      <c r="B78" s="538"/>
      <c r="C78" s="555"/>
      <c r="D78" s="555"/>
      <c r="E78" s="555"/>
      <c r="F78" s="555"/>
      <c r="G78" s="531"/>
      <c r="H78" s="531"/>
      <c r="I78" s="531"/>
      <c r="J78" s="531"/>
      <c r="K78" s="531"/>
      <c r="L78" s="531"/>
      <c r="M78" s="532"/>
      <c r="N78" s="1149"/>
      <c r="O78" s="1149"/>
      <c r="P78" s="1425"/>
      <c r="Q78" s="1426"/>
      <c r="R78" s="1427"/>
      <c r="S78" s="1427"/>
      <c r="T78" s="1427"/>
      <c r="U78" s="1427"/>
      <c r="V78" s="1427"/>
      <c r="W78" s="1427"/>
      <c r="X78" s="1427"/>
      <c r="Y78" s="1427"/>
      <c r="Z78" s="1427"/>
      <c r="AA78" s="1427"/>
      <c r="AB78" s="1427"/>
      <c r="AC78" s="1427"/>
    </row>
    <row r="79" spans="1:29" ht="28.5" thickTop="1">
      <c r="A79" s="522" t="s">
        <v>2557</v>
      </c>
      <c r="B79" s="523" t="s">
        <v>2724</v>
      </c>
      <c r="C79" s="524">
        <f>C26</f>
        <v>0</v>
      </c>
      <c r="D79" s="525"/>
      <c r="E79" s="525"/>
      <c r="F79" s="525"/>
      <c r="G79" s="525"/>
      <c r="H79" s="525"/>
      <c r="I79" s="525"/>
      <c r="J79" s="525"/>
      <c r="K79" s="526"/>
      <c r="L79" s="527"/>
      <c r="M79" s="528"/>
      <c r="N79" s="1147"/>
      <c r="O79" s="1147"/>
      <c r="P79" s="1424"/>
      <c r="Q79" s="1418"/>
      <c r="R79" s="1139"/>
      <c r="S79" s="1139"/>
      <c r="T79" s="1139"/>
      <c r="U79" s="1139"/>
      <c r="V79" s="1139"/>
      <c r="W79" s="1139"/>
      <c r="X79" s="1139"/>
      <c r="Y79" s="1139"/>
      <c r="Z79" s="1139"/>
      <c r="AA79" s="1139"/>
      <c r="AB79" s="1139"/>
      <c r="AC79" s="1139"/>
    </row>
    <row r="80" spans="1:29" ht="14.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8"/>
      <c r="O80" s="1148"/>
      <c r="P80" s="1424"/>
      <c r="Q80" s="1418"/>
      <c r="R80" s="1139"/>
      <c r="S80" s="1139"/>
      <c r="T80" s="1139"/>
      <c r="U80" s="1139"/>
      <c r="V80" s="1139"/>
      <c r="W80" s="1139"/>
      <c r="X80" s="1139"/>
      <c r="Y80" s="1139"/>
      <c r="Z80" s="1139"/>
      <c r="AA80" s="1139"/>
      <c r="AB80" s="1139"/>
      <c r="AC80" s="1139"/>
    </row>
    <row r="81" spans="1:29" ht="14.5" thickTop="1">
      <c r="A81" s="529"/>
      <c r="B81" s="533" t="s">
        <v>2725</v>
      </c>
      <c r="C81" s="656"/>
      <c r="D81" s="656"/>
      <c r="E81" s="656"/>
      <c r="F81" s="656"/>
      <c r="G81" s="656"/>
      <c r="H81" s="656"/>
      <c r="I81" s="656"/>
      <c r="J81" s="656"/>
      <c r="K81" s="657"/>
      <c r="L81" s="658"/>
      <c r="M81" s="659"/>
      <c r="N81" s="1146"/>
      <c r="O81" s="1146"/>
      <c r="P81" s="1424"/>
      <c r="Q81" s="1418"/>
      <c r="R81" s="1139"/>
      <c r="S81" s="1139"/>
      <c r="T81" s="1139"/>
      <c r="U81" s="1139"/>
      <c r="V81" s="1139"/>
      <c r="W81" s="1139"/>
      <c r="X81" s="1139"/>
      <c r="Y81" s="1139"/>
      <c r="Z81" s="1139"/>
      <c r="AA81" s="1139"/>
      <c r="AB81" s="1139"/>
      <c r="AC81" s="1139"/>
    </row>
    <row r="82" spans="1:29" s="466" customFormat="1" ht="14.5" thickBot="1">
      <c r="A82" s="548"/>
      <c r="B82" s="538"/>
      <c r="C82" s="555"/>
      <c r="D82" s="531"/>
      <c r="E82" s="531"/>
      <c r="F82" s="531"/>
      <c r="G82" s="531"/>
      <c r="H82" s="531"/>
      <c r="I82" s="531"/>
      <c r="J82" s="531"/>
      <c r="K82" s="531"/>
      <c r="L82" s="531"/>
      <c r="M82" s="532"/>
      <c r="N82" s="1148"/>
      <c r="O82" s="1148"/>
      <c r="P82" s="1425"/>
      <c r="Q82" s="1426"/>
      <c r="R82" s="1427"/>
      <c r="S82" s="1427"/>
      <c r="T82" s="1427"/>
      <c r="U82" s="1427"/>
      <c r="V82" s="1427"/>
      <c r="W82" s="1427"/>
      <c r="X82" s="1427"/>
      <c r="Y82" s="1427"/>
      <c r="Z82" s="1427"/>
      <c r="AA82" s="1427"/>
      <c r="AB82" s="1427"/>
      <c r="AC82" s="1427"/>
    </row>
    <row r="83" spans="1:29" ht="14.5" thickTop="1">
      <c r="A83" s="594"/>
      <c r="B83" s="533" t="s">
        <v>2610</v>
      </c>
      <c r="C83" s="549"/>
      <c r="D83" s="549"/>
      <c r="E83" s="578"/>
      <c r="F83" s="578"/>
      <c r="G83" s="578"/>
      <c r="H83" s="578"/>
      <c r="I83" s="578"/>
      <c r="J83" s="578"/>
      <c r="K83" s="579"/>
      <c r="L83" s="580"/>
      <c r="M83" s="581"/>
      <c r="N83" s="1147"/>
      <c r="O83" s="1147"/>
      <c r="P83" s="1424"/>
      <c r="Q83" s="1418"/>
      <c r="R83" s="1139"/>
      <c r="S83" s="1139"/>
      <c r="T83" s="1139"/>
      <c r="U83" s="1139"/>
      <c r="V83" s="1139"/>
      <c r="W83" s="1139"/>
      <c r="X83" s="1139"/>
      <c r="Y83" s="1139"/>
      <c r="Z83" s="1139"/>
      <c r="AA83" s="1139"/>
      <c r="AB83" s="1139"/>
      <c r="AC83" s="1139"/>
    </row>
    <row r="84" spans="1:29" ht="14.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8"/>
      <c r="O84" s="1148"/>
      <c r="P84" s="1424"/>
      <c r="Q84" s="1418"/>
      <c r="R84" s="1139"/>
      <c r="S84" s="1139"/>
      <c r="T84" s="1139"/>
      <c r="U84" s="1139"/>
      <c r="V84" s="1139"/>
      <c r="W84" s="1139"/>
      <c r="X84" s="1139"/>
      <c r="Y84" s="1139"/>
      <c r="Z84" s="1139"/>
      <c r="AA84" s="1139"/>
      <c r="AB84" s="1139"/>
      <c r="AC84" s="1139"/>
    </row>
    <row r="85" spans="1:29" ht="14.5" thickTop="1">
      <c r="A85" s="594"/>
      <c r="B85" s="533" t="s">
        <v>2726</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7"/>
      <c r="O85" s="1147"/>
      <c r="P85" s="1424"/>
      <c r="Q85" s="1418"/>
      <c r="R85" s="1139"/>
      <c r="S85" s="1139"/>
      <c r="T85" s="1139"/>
      <c r="U85" s="1139"/>
      <c r="V85" s="1139"/>
      <c r="W85" s="1139"/>
      <c r="X85" s="1139"/>
      <c r="Y85" s="1139"/>
      <c r="Z85" s="1139"/>
      <c r="AA85" s="1139"/>
      <c r="AB85" s="1139"/>
      <c r="AC85" s="1139"/>
    </row>
    <row r="86" spans="1:29">
      <c r="A86" s="594"/>
      <c r="B86" s="541"/>
      <c r="C86" s="598">
        <v>0.5</v>
      </c>
      <c r="D86" s="598">
        <v>0.6</v>
      </c>
      <c r="E86" s="598">
        <v>0.7</v>
      </c>
      <c r="F86" s="598">
        <v>0.8</v>
      </c>
      <c r="G86" s="598">
        <v>0.9</v>
      </c>
      <c r="H86" s="598">
        <v>1.0001</v>
      </c>
      <c r="I86" s="618"/>
      <c r="J86" s="618"/>
      <c r="K86" s="619"/>
      <c r="L86" s="620"/>
      <c r="M86" s="621"/>
      <c r="N86" s="1147"/>
      <c r="O86" s="1147"/>
      <c r="P86" s="1424"/>
      <c r="Q86" s="1418"/>
      <c r="R86" s="1139"/>
      <c r="S86" s="1139"/>
      <c r="T86" s="1139"/>
      <c r="U86" s="1139"/>
      <c r="V86" s="1139"/>
      <c r="W86" s="1139"/>
      <c r="X86" s="1139"/>
      <c r="Y86" s="1139"/>
      <c r="Z86" s="1139"/>
      <c r="AA86" s="1139"/>
      <c r="AB86" s="1139"/>
      <c r="AC86" s="1139"/>
    </row>
    <row r="87" spans="1:29" ht="14.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8"/>
      <c r="O87" s="1148"/>
      <c r="P87" s="1424"/>
      <c r="Q87" s="1418"/>
      <c r="R87" s="1139"/>
      <c r="S87" s="1139"/>
      <c r="T87" s="1139"/>
      <c r="U87" s="1139"/>
      <c r="V87" s="1139"/>
      <c r="W87" s="1139"/>
      <c r="X87" s="1139"/>
      <c r="Y87" s="1139"/>
      <c r="Z87" s="1139"/>
      <c r="AA87" s="1139"/>
      <c r="AB87" s="1139"/>
      <c r="AC87" s="1139"/>
    </row>
    <row r="88" spans="1:29" ht="14.5" thickTop="1">
      <c r="A88" s="594"/>
      <c r="B88" s="541" t="s">
        <v>2727</v>
      </c>
      <c r="C88" s="525"/>
      <c r="D88" s="525"/>
      <c r="E88" s="525"/>
      <c r="F88" s="525"/>
      <c r="G88" s="525"/>
      <c r="H88" s="525"/>
      <c r="I88" s="525"/>
      <c r="J88" s="525"/>
      <c r="K88" s="526"/>
      <c r="L88" s="527"/>
      <c r="M88" s="528"/>
      <c r="N88" s="1147"/>
      <c r="O88" s="1147"/>
      <c r="P88" s="1424"/>
      <c r="Q88" s="1418"/>
      <c r="R88" s="1139"/>
      <c r="S88" s="1139"/>
      <c r="T88" s="1139"/>
      <c r="U88" s="1139"/>
      <c r="V88" s="1139"/>
      <c r="W88" s="1139"/>
      <c r="X88" s="1139"/>
      <c r="Y88" s="1139"/>
      <c r="Z88" s="1139"/>
      <c r="AA88" s="1139"/>
      <c r="AB88" s="1139"/>
      <c r="AC88" s="1139"/>
    </row>
    <row r="89" spans="1:29" ht="14.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8"/>
      <c r="O89" s="1148"/>
      <c r="P89" s="1424"/>
      <c r="Q89" s="1418"/>
      <c r="R89" s="1139"/>
      <c r="S89" s="1139"/>
      <c r="T89" s="1139"/>
      <c r="U89" s="1139"/>
      <c r="V89" s="1139"/>
      <c r="W89" s="1139"/>
      <c r="X89" s="1139"/>
      <c r="Y89" s="1139"/>
      <c r="Z89" s="1139"/>
      <c r="AA89" s="1139"/>
      <c r="AB89" s="1139"/>
      <c r="AC89" s="1139"/>
    </row>
    <row r="90" spans="1:29" s="466" customFormat="1" ht="14.5" thickTop="1">
      <c r="A90" s="588"/>
      <c r="B90" s="533" t="s">
        <v>2728</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9"/>
      <c r="O90" s="1149"/>
      <c r="P90" s="1425"/>
      <c r="Q90" s="1426"/>
      <c r="R90" s="1427"/>
      <c r="S90" s="1427"/>
      <c r="T90" s="1427"/>
      <c r="U90" s="1427"/>
      <c r="V90" s="1427"/>
      <c r="W90" s="1427"/>
      <c r="X90" s="1427"/>
      <c r="Y90" s="1427"/>
      <c r="Z90" s="1427"/>
      <c r="AA90" s="1427"/>
      <c r="AB90" s="1427"/>
      <c r="AC90" s="1427"/>
    </row>
    <row r="91" spans="1:29" s="466" customFormat="1">
      <c r="A91" s="588"/>
      <c r="B91" s="541"/>
      <c r="C91" s="590"/>
      <c r="D91" s="590"/>
      <c r="E91" s="590"/>
      <c r="F91" s="590"/>
      <c r="G91" s="590"/>
      <c r="H91" s="590"/>
      <c r="I91" s="590"/>
      <c r="J91" s="591"/>
      <c r="K91" s="591"/>
      <c r="L91" s="592"/>
      <c r="M91" s="593"/>
      <c r="N91" s="1149"/>
      <c r="O91" s="1149"/>
      <c r="P91" s="1425"/>
      <c r="Q91" s="1426"/>
      <c r="R91" s="1427"/>
      <c r="S91" s="1427"/>
      <c r="T91" s="1427"/>
      <c r="U91" s="1427"/>
      <c r="V91" s="1427"/>
      <c r="W91" s="1427"/>
      <c r="X91" s="1427"/>
      <c r="Y91" s="1427"/>
      <c r="Z91" s="1427"/>
      <c r="AA91" s="1427"/>
      <c r="AB91" s="1427"/>
      <c r="AC91" s="1427"/>
    </row>
    <row r="92" spans="1:29" s="466" customFormat="1" ht="14.5" thickBot="1">
      <c r="A92" s="548"/>
      <c r="B92" s="538"/>
      <c r="C92" s="555"/>
      <c r="D92" s="531"/>
      <c r="E92" s="531"/>
      <c r="F92" s="531"/>
      <c r="G92" s="531"/>
      <c r="H92" s="531"/>
      <c r="I92" s="531"/>
      <c r="J92" s="531"/>
      <c r="K92" s="531"/>
      <c r="L92" s="531"/>
      <c r="M92" s="532"/>
      <c r="N92" s="1149"/>
      <c r="O92" s="1149"/>
      <c r="P92" s="1425"/>
      <c r="Q92" s="1426"/>
      <c r="R92" s="1427"/>
      <c r="S92" s="1427"/>
      <c r="T92" s="1427"/>
      <c r="U92" s="1427"/>
      <c r="V92" s="1427"/>
      <c r="W92" s="1427"/>
      <c r="X92" s="1427"/>
      <c r="Y92" s="1427"/>
      <c r="Z92" s="1427"/>
      <c r="AA92" s="1427"/>
      <c r="AB92" s="1427"/>
      <c r="AC92" s="1427"/>
    </row>
    <row r="93" spans="1:29" ht="14.5" thickTop="1">
      <c r="A93" s="594"/>
      <c r="B93" s="533" t="s">
        <v>2729</v>
      </c>
      <c r="C93" s="549"/>
      <c r="D93" s="549"/>
      <c r="E93" s="578"/>
      <c r="F93" s="578"/>
      <c r="G93" s="578"/>
      <c r="H93" s="578"/>
      <c r="I93" s="578"/>
      <c r="J93" s="578"/>
      <c r="K93" s="579"/>
      <c r="L93" s="580"/>
      <c r="M93" s="581"/>
      <c r="N93" s="1147"/>
      <c r="O93" s="1147"/>
      <c r="P93" s="1424"/>
      <c r="Q93" s="1418"/>
      <c r="R93" s="1139"/>
      <c r="S93" s="1139"/>
      <c r="T93" s="1139"/>
      <c r="U93" s="1139"/>
      <c r="V93" s="1139"/>
      <c r="W93" s="1139"/>
      <c r="X93" s="1139"/>
      <c r="Y93" s="1139"/>
      <c r="Z93" s="1139"/>
      <c r="AA93" s="1139"/>
      <c r="AB93" s="1139"/>
      <c r="AC93" s="1139"/>
    </row>
    <row r="94" spans="1:29" ht="14.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8"/>
      <c r="O94" s="1148"/>
      <c r="P94" s="1424"/>
      <c r="Q94" s="1418"/>
      <c r="R94" s="1139"/>
      <c r="S94" s="1139"/>
      <c r="T94" s="1139"/>
      <c r="U94" s="1139"/>
      <c r="V94" s="1139"/>
      <c r="W94" s="1139"/>
      <c r="X94" s="1139"/>
      <c r="Y94" s="1139"/>
      <c r="Z94" s="1139"/>
      <c r="AA94" s="1139"/>
      <c r="AB94" s="1139"/>
      <c r="AC94" s="1139"/>
    </row>
    <row r="95" spans="1:29" ht="14.5" thickTop="1">
      <c r="A95" s="594"/>
      <c r="B95" s="533" t="s">
        <v>2730</v>
      </c>
      <c r="C95" s="525"/>
      <c r="D95" s="525"/>
      <c r="E95" s="525"/>
      <c r="F95" s="525"/>
      <c r="G95" s="525"/>
      <c r="H95" s="525"/>
      <c r="I95" s="525"/>
      <c r="J95" s="525"/>
      <c r="K95" s="526"/>
      <c r="L95" s="527"/>
      <c r="M95" s="528"/>
      <c r="N95" s="1147"/>
      <c r="O95" s="1147"/>
      <c r="P95" s="1424"/>
      <c r="Q95" s="1418"/>
      <c r="R95" s="1139"/>
      <c r="S95" s="1139"/>
      <c r="T95" s="1139"/>
      <c r="U95" s="1139"/>
      <c r="V95" s="1139"/>
      <c r="W95" s="1139"/>
      <c r="X95" s="1139"/>
      <c r="Y95" s="1139"/>
      <c r="Z95" s="1139"/>
      <c r="AA95" s="1139"/>
      <c r="AB95" s="1139"/>
      <c r="AC95" s="1139"/>
    </row>
    <row r="96" spans="1:29" ht="14.5" thickBot="1">
      <c r="A96" s="529"/>
      <c r="B96" s="538"/>
      <c r="C96" s="539">
        <v>100</v>
      </c>
      <c r="D96" s="539">
        <f>C96-$K33</f>
        <v>100</v>
      </c>
      <c r="E96" s="539">
        <f>D96-$K33</f>
        <v>100</v>
      </c>
      <c r="F96" s="539">
        <f>E96-$K33</f>
        <v>100</v>
      </c>
      <c r="G96" s="539">
        <f>F96-$K33</f>
        <v>100</v>
      </c>
      <c r="H96" s="539"/>
      <c r="I96" s="539"/>
      <c r="J96" s="539"/>
      <c r="K96" s="539"/>
      <c r="L96" s="539"/>
      <c r="M96" s="540"/>
      <c r="N96" s="1148"/>
      <c r="O96" s="1148"/>
      <c r="P96" s="1424"/>
      <c r="Q96" s="1418"/>
      <c r="R96" s="1139"/>
      <c r="S96" s="1139"/>
      <c r="T96" s="1139"/>
      <c r="U96" s="1139"/>
      <c r="V96" s="1139"/>
      <c r="W96" s="1139"/>
      <c r="X96" s="1139"/>
      <c r="Y96" s="1139"/>
      <c r="Z96" s="1139"/>
      <c r="AA96" s="1139"/>
      <c r="AB96" s="1139"/>
      <c r="AC96" s="1139"/>
    </row>
    <row r="97" spans="1:29" ht="14.5" thickTop="1">
      <c r="A97" s="594"/>
      <c r="B97" s="631">
        <f>B34</f>
        <v>111</v>
      </c>
      <c r="C97" s="544"/>
      <c r="D97" s="544"/>
      <c r="E97" s="544"/>
      <c r="F97" s="544"/>
      <c r="G97" s="549"/>
      <c r="H97" s="550"/>
      <c r="I97" s="550"/>
      <c r="J97" s="550"/>
      <c r="K97" s="550"/>
      <c r="L97" s="551"/>
      <c r="M97" s="552"/>
      <c r="N97" s="1148"/>
      <c r="O97" s="1148"/>
      <c r="P97" s="1431"/>
      <c r="Q97" s="1432"/>
      <c r="R97" s="1139"/>
      <c r="S97" s="1139"/>
      <c r="T97" s="1139"/>
      <c r="U97" s="1139"/>
      <c r="V97" s="1139"/>
      <c r="W97" s="1139"/>
      <c r="X97" s="1139"/>
      <c r="Y97" s="1139"/>
      <c r="Z97" s="1139"/>
      <c r="AA97" s="1139"/>
      <c r="AB97" s="1139"/>
      <c r="AC97" s="1139"/>
    </row>
    <row r="98" spans="1:29" ht="14.5" thickBot="1">
      <c r="A98" s="529"/>
      <c r="B98" s="538"/>
      <c r="C98" s="555"/>
      <c r="D98" s="531"/>
      <c r="E98" s="531"/>
      <c r="F98" s="531"/>
      <c r="G98" s="555"/>
      <c r="H98" s="557"/>
      <c r="I98" s="557"/>
      <c r="J98" s="557"/>
      <c r="K98" s="557"/>
      <c r="L98" s="557"/>
      <c r="M98" s="558"/>
      <c r="N98" s="1148"/>
      <c r="O98" s="1148"/>
      <c r="P98" s="1424"/>
      <c r="Q98" s="1418"/>
      <c r="R98" s="1139"/>
      <c r="S98" s="1139"/>
      <c r="T98" s="1139"/>
      <c r="U98" s="1139"/>
      <c r="V98" s="1139"/>
      <c r="W98" s="1139"/>
      <c r="X98" s="1139"/>
      <c r="Y98" s="1139"/>
      <c r="Z98" s="1139"/>
      <c r="AA98" s="1139"/>
      <c r="AB98" s="1139"/>
      <c r="AC98" s="1139"/>
    </row>
    <row r="99" spans="1:29" s="466" customFormat="1" ht="14.5" thickTop="1">
      <c r="A99" s="588"/>
      <c r="B99" s="533">
        <f>B35</f>
        <v>111</v>
      </c>
      <c r="C99" s="544"/>
      <c r="D99" s="544"/>
      <c r="E99" s="544"/>
      <c r="F99" s="544"/>
      <c r="G99" s="549"/>
      <c r="H99" s="550"/>
      <c r="I99" s="550"/>
      <c r="J99" s="550"/>
      <c r="K99" s="550"/>
      <c r="L99" s="551"/>
      <c r="M99" s="552"/>
      <c r="N99" s="1149"/>
      <c r="O99" s="1149"/>
      <c r="P99" s="1425"/>
      <c r="Q99" s="1426"/>
      <c r="R99" s="1427"/>
      <c r="S99" s="1427"/>
      <c r="T99" s="1427"/>
      <c r="U99" s="1427"/>
      <c r="V99" s="1427"/>
      <c r="W99" s="1427"/>
      <c r="X99" s="1427"/>
      <c r="Y99" s="1427"/>
      <c r="Z99" s="1427"/>
      <c r="AA99" s="1427"/>
      <c r="AB99" s="1427"/>
      <c r="AC99" s="1427"/>
    </row>
    <row r="100" spans="1:29" s="466" customFormat="1" ht="14.5" thickBot="1">
      <c r="A100" s="548"/>
      <c r="B100" s="530"/>
      <c r="C100" s="555"/>
      <c r="D100" s="531"/>
      <c r="E100" s="531"/>
      <c r="F100" s="531"/>
      <c r="G100" s="555"/>
      <c r="H100" s="557"/>
      <c r="I100" s="557"/>
      <c r="J100" s="557"/>
      <c r="K100" s="557"/>
      <c r="L100" s="557"/>
      <c r="M100" s="558"/>
      <c r="N100" s="1149"/>
      <c r="O100" s="1149"/>
      <c r="P100" s="1425"/>
      <c r="Q100" s="1426"/>
      <c r="R100" s="1427"/>
      <c r="S100" s="1427"/>
      <c r="T100" s="1427"/>
      <c r="U100" s="1427"/>
      <c r="V100" s="1427"/>
      <c r="W100" s="1427"/>
      <c r="X100" s="1427"/>
      <c r="Y100" s="1427"/>
      <c r="Z100" s="1427"/>
      <c r="AA100" s="1427"/>
      <c r="AB100" s="1427"/>
      <c r="AC100" s="1427"/>
    </row>
    <row r="101" spans="1:29" ht="14.5" thickTop="1">
      <c r="A101" s="594"/>
      <c r="B101" s="533">
        <f>B36</f>
        <v>111</v>
      </c>
      <c r="C101" s="549"/>
      <c r="D101" s="549"/>
      <c r="E101" s="549"/>
      <c r="F101" s="549"/>
      <c r="G101" s="549"/>
      <c r="H101" s="550"/>
      <c r="I101" s="550"/>
      <c r="J101" s="550"/>
      <c r="K101" s="550"/>
      <c r="L101" s="551"/>
      <c r="M101" s="552"/>
      <c r="N101" s="1147"/>
      <c r="O101" s="1147"/>
      <c r="P101" s="1424"/>
      <c r="Q101" s="1418"/>
      <c r="R101" s="1139"/>
      <c r="S101" s="1139"/>
      <c r="T101" s="1139"/>
      <c r="U101" s="1139"/>
      <c r="V101" s="1139"/>
      <c r="W101" s="1139"/>
      <c r="X101" s="1139"/>
      <c r="Y101" s="1139"/>
      <c r="Z101" s="1139"/>
      <c r="AA101" s="1139"/>
      <c r="AB101" s="1139"/>
      <c r="AC101" s="1139"/>
    </row>
    <row r="102" spans="1:29" ht="14.5" thickBot="1">
      <c r="A102" s="529"/>
      <c r="B102" s="538"/>
      <c r="C102" s="555"/>
      <c r="D102" s="555"/>
      <c r="E102" s="555"/>
      <c r="F102" s="555"/>
      <c r="G102" s="555"/>
      <c r="H102" s="557"/>
      <c r="I102" s="557"/>
      <c r="J102" s="557"/>
      <c r="K102" s="557"/>
      <c r="L102" s="557"/>
      <c r="M102" s="558"/>
      <c r="N102" s="1148"/>
      <c r="O102" s="1148"/>
      <c r="P102" s="1424"/>
      <c r="Q102" s="1418"/>
      <c r="R102" s="1139"/>
      <c r="S102" s="1139"/>
      <c r="T102" s="1139"/>
      <c r="U102" s="1139"/>
      <c r="V102" s="1139"/>
      <c r="W102" s="1139"/>
      <c r="X102" s="1139"/>
      <c r="Y102" s="1139"/>
      <c r="Z102" s="1139"/>
      <c r="AA102" s="1139"/>
      <c r="AB102" s="1139"/>
      <c r="AC102" s="1139"/>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G17 C17 E17 I17" xr:uid="{00000000-0002-0000-2300-000002000000}">
      <formula1>公共配套设施</formula1>
    </dataValidation>
    <dataValidation type="list" allowBlank="1" showInputMessage="1" showErrorMessage="1" sqref="G15 E15 C15 I15" xr:uid="{00000000-0002-0000-2300-000003000000}">
      <formula1>交通便捷度</formula1>
    </dataValidation>
    <dataValidation type="list" allowBlank="1" showInputMessage="1" showErrorMessage="1" sqref="C8 E8 G8 I8" xr:uid="{00000000-0002-0000-2300-000004000000}">
      <formula1>车位交易情况</formula1>
    </dataValidation>
    <dataValidation type="list" allowBlank="1" showInputMessage="1" showErrorMessage="1" sqref="E9 G9 I9" xr:uid="{00000000-0002-0000-2300-000005000000}">
      <formula1>车位用途</formula1>
    </dataValidation>
    <dataValidation type="list" allowBlank="1" showInputMessage="1" showErrorMessage="1" sqref="C22 E22 G22 I22" xr:uid="{00000000-0002-0000-2300-000006000000}">
      <formula1>车位楼层</formula1>
    </dataValidation>
    <dataValidation type="list" allowBlank="1" showInputMessage="1" showErrorMessage="1" sqref="C30 E30 G30 I30" xr:uid="{00000000-0002-0000-2300-000007000000}">
      <formula1>车位物业等级</formula1>
    </dataValidation>
    <dataValidation type="list" allowBlank="1" showInputMessage="1" showErrorMessage="1" sqref="C32 E32 G32 I32" xr:uid="{00000000-0002-0000-2300-000008000000}">
      <formula1>车位类型</formula1>
    </dataValidation>
    <dataValidation type="list" allowBlank="1" showInputMessage="1" showErrorMessage="1" sqref="C33 E33 G33 I33" xr:uid="{00000000-0002-0000-2300-000009000000}">
      <formula1>是否直接入户</formula1>
    </dataValidation>
    <dataValidation type="list" allowBlank="1" showInputMessage="1" showErrorMessage="1" sqref="B1" xr:uid="{00000000-0002-0000-2300-00000A000000}">
      <formula1>地类判定</formula1>
    </dataValidation>
    <dataValidation type="list" allowBlank="1" showInputMessage="1" showErrorMessage="1" sqref="I26 E26 G26" xr:uid="{00000000-0002-0000-2300-00000B000000}">
      <formula1>车位配套类型</formula1>
    </dataValidation>
    <dataValidation type="list" allowBlank="1" showInputMessage="1" showErrorMessage="1" sqref="C28 E28 G28 I28" xr:uid="{00000000-0002-0000-2300-00000C000000}">
      <formula1>车位公共部分装修</formula1>
    </dataValidation>
    <dataValidation type="list" allowBlank="1" showInputMessage="1" showErrorMessage="1" sqref="B37" xr:uid="{00000000-0002-0000-2300-00000D000000}">
      <formula1>"元/平方米,元/车位"</formula1>
    </dataValidation>
    <dataValidation type="list" allowBlank="1" showInputMessage="1" showErrorMessage="1" sqref="C21 E21 G21 I21" xr:uid="{00000000-0002-0000-2300-00000E000000}">
      <formula1>环境</formula1>
    </dataValidation>
    <dataValidation type="list" allowBlank="1" showInputMessage="1" showErrorMessage="1" sqref="C19 E19 G19 I19"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398" customWidth="1"/>
    <col min="2" max="2" width="15.90625" style="398" customWidth="1"/>
    <col min="3" max="3" width="14.3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39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2701</v>
      </c>
      <c r="B1" s="1614"/>
      <c r="C1" s="1615" t="s">
        <v>2524</v>
      </c>
      <c r="D1" s="1616"/>
      <c r="E1" s="1625"/>
      <c r="F1" s="2571"/>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2324</v>
      </c>
      <c r="B2" s="1413" t="e">
        <f ca="1">IF(C2="——",ROUND(C37*D3/10000,0),ROUND(C37*D3/10000,0)-D2)</f>
        <v>#DIV/0!</v>
      </c>
      <c r="C2" s="2573"/>
      <c r="D2" s="1119" t="e">
        <f ca="1">SUMIF(INDIRECT("'"&amp;F2&amp;"'"&amp;"!A:A"),"承租人权益价值",INDIRECT("'"&amp;F2&amp;"'"&amp;"!c:c"))</f>
        <v>#REF!</v>
      </c>
      <c r="E2" s="2574" t="s">
        <v>2325</v>
      </c>
      <c r="F2" s="2575"/>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3" customFormat="1" ht="28.5" customHeight="1" thickBot="1">
      <c r="A3" s="242" t="s">
        <v>2326</v>
      </c>
      <c r="B3" s="604" t="e">
        <f ca="1">IF(C2="——",C37,ROUND(B2*10000/D3,0))</f>
        <v>#DIV/0!</v>
      </c>
      <c r="C3" s="395" t="s">
        <v>2638</v>
      </c>
      <c r="D3" s="394">
        <f>SUMIF('数据-汇总表'!$C19:$C33,D1,'数据-汇总表'!$E19:$E33)</f>
        <v>0</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c r="A4" s="396" t="s">
        <v>2639</v>
      </c>
      <c r="B4" s="397"/>
      <c r="C4" s="3234" t="s">
        <v>2640</v>
      </c>
      <c r="D4" s="3247"/>
      <c r="E4" s="3248" t="s">
        <v>2641</v>
      </c>
      <c r="F4" s="3249"/>
      <c r="G4" s="3234" t="s">
        <v>2642</v>
      </c>
      <c r="H4" s="3247"/>
      <c r="I4" s="3234" t="s">
        <v>2643</v>
      </c>
      <c r="J4" s="3247"/>
      <c r="K4" s="605" t="s">
        <v>2644</v>
      </c>
      <c r="L4" s="1125"/>
      <c r="M4" s="1126"/>
      <c r="N4" s="1126"/>
      <c r="O4" s="1126"/>
      <c r="P4" s="3250" t="s">
        <v>2645</v>
      </c>
      <c r="Q4" s="3251"/>
      <c r="R4" s="3256" t="s">
        <v>2641</v>
      </c>
      <c r="S4" s="3257"/>
      <c r="T4" s="3256" t="s">
        <v>2642</v>
      </c>
      <c r="U4" s="3257"/>
      <c r="V4" s="3243" t="s">
        <v>2643</v>
      </c>
      <c r="W4" s="3243"/>
      <c r="X4" s="1808"/>
      <c r="Y4" s="3256" t="s">
        <v>2645</v>
      </c>
      <c r="Z4" s="3257"/>
      <c r="AA4" s="3244" t="s">
        <v>2641</v>
      </c>
      <c r="AB4" s="3245" t="s">
        <v>2642</v>
      </c>
      <c r="AC4" s="3244" t="s">
        <v>2643</v>
      </c>
    </row>
    <row r="5" spans="1:29">
      <c r="A5" s="399"/>
      <c r="B5" s="400"/>
      <c r="C5" s="3264" t="s">
        <v>2536</v>
      </c>
      <c r="D5" s="3265"/>
      <c r="E5" s="3271" t="s">
        <v>2537</v>
      </c>
      <c r="F5" s="3272"/>
      <c r="G5" s="3264" t="s">
        <v>2538</v>
      </c>
      <c r="H5" s="3265"/>
      <c r="I5" s="3264" t="s">
        <v>2539</v>
      </c>
      <c r="J5" s="3265"/>
      <c r="K5" s="605"/>
      <c r="L5" s="1125"/>
      <c r="M5" s="1126"/>
      <c r="N5" s="1126"/>
      <c r="O5" s="1126"/>
      <c r="P5" s="3252"/>
      <c r="Q5" s="3253"/>
      <c r="R5" s="3258"/>
      <c r="S5" s="3259"/>
      <c r="T5" s="3258"/>
      <c r="U5" s="3259"/>
      <c r="V5" s="3243"/>
      <c r="W5" s="3243"/>
      <c r="X5" s="1808"/>
      <c r="Y5" s="3258"/>
      <c r="Z5" s="3259"/>
      <c r="AA5" s="3245"/>
      <c r="AB5" s="3245"/>
      <c r="AC5" s="3245"/>
    </row>
    <row r="6" spans="1:29" ht="15" thickBot="1">
      <c r="A6" s="401"/>
      <c r="B6" s="402"/>
      <c r="C6" s="3262" t="s">
        <v>2540</v>
      </c>
      <c r="D6" s="3263"/>
      <c r="E6" s="3269" t="s">
        <v>2540</v>
      </c>
      <c r="F6" s="3270"/>
      <c r="G6" s="3262" t="s">
        <v>2540</v>
      </c>
      <c r="H6" s="3263"/>
      <c r="I6" s="3262" t="s">
        <v>2540</v>
      </c>
      <c r="J6" s="3263"/>
      <c r="K6" s="605" t="s">
        <v>2541</v>
      </c>
      <c r="L6" s="1125"/>
      <c r="M6" s="1126"/>
      <c r="N6" s="1126"/>
      <c r="O6" s="1126"/>
      <c r="P6" s="3254"/>
      <c r="Q6" s="3255"/>
      <c r="R6" s="3258"/>
      <c r="S6" s="3259"/>
      <c r="T6" s="3260"/>
      <c r="U6" s="3261"/>
      <c r="V6" s="3243"/>
      <c r="W6" s="3243"/>
      <c r="X6" s="1808"/>
      <c r="Y6" s="3260"/>
      <c r="Z6" s="3261"/>
      <c r="AA6" s="3246"/>
      <c r="AB6" s="3246"/>
      <c r="AC6" s="3246"/>
    </row>
    <row r="7" spans="1:29" s="114" customFormat="1" ht="14.5" thickBot="1">
      <c r="A7" s="403" t="s">
        <v>2542</v>
      </c>
      <c r="B7" s="404"/>
      <c r="C7" s="405">
        <f>'数据-取费表'!B2</f>
        <v>43903</v>
      </c>
      <c r="D7" s="406">
        <v>100</v>
      </c>
      <c r="E7" s="407"/>
      <c r="F7" s="408">
        <f>SUMIF(46:46,YEAR(E7)&amp;"-"&amp;MONTH(E7),47:47)</f>
        <v>0</v>
      </c>
      <c r="G7" s="2682"/>
      <c r="H7" s="406">
        <f>SUMIF(46:46,YEAR(G7)&amp;"-"&amp;MONTH(G7),47:47)</f>
        <v>0</v>
      </c>
      <c r="I7" s="407"/>
      <c r="J7" s="406">
        <f>SUMIF(46:46,YEAR(I7)&amp;"-"&amp;MONTH(I7),47:47)</f>
        <v>0</v>
      </c>
      <c r="K7" s="606"/>
      <c r="L7" s="1127"/>
      <c r="M7" s="1128"/>
      <c r="N7" s="1128"/>
      <c r="O7" s="1128"/>
      <c r="P7" s="3266" t="s">
        <v>2543</v>
      </c>
      <c r="Q7" s="3268"/>
      <c r="R7" s="765" t="s">
        <v>17</v>
      </c>
      <c r="S7" s="766">
        <f t="shared" ref="S7:S14" si="0">F7</f>
        <v>0</v>
      </c>
      <c r="T7" s="765" t="s">
        <v>17</v>
      </c>
      <c r="U7" s="766">
        <f t="shared" ref="U7:U14" si="1">H7</f>
        <v>0</v>
      </c>
      <c r="V7" s="765" t="s">
        <v>17</v>
      </c>
      <c r="W7" s="766">
        <f t="shared" ref="W7:W14" si="2">J7</f>
        <v>0</v>
      </c>
      <c r="X7" s="767"/>
      <c r="Y7" s="3266" t="s">
        <v>2543</v>
      </c>
      <c r="Z7" s="3267"/>
      <c r="AA7" s="768" t="e">
        <f>D7/F7</f>
        <v>#DIV/0!</v>
      </c>
      <c r="AB7" s="768" t="e">
        <f>D7/H7</f>
        <v>#DIV/0!</v>
      </c>
      <c r="AC7" s="768" t="e">
        <f>D7/J7</f>
        <v>#DIV/0!</v>
      </c>
    </row>
    <row r="8" spans="1:29" s="114" customFormat="1" ht="14.5" thickBot="1">
      <c r="A8" s="403" t="s">
        <v>2544</v>
      </c>
      <c r="B8" s="404"/>
      <c r="C8" s="409" t="s">
        <v>2646</v>
      </c>
      <c r="D8" s="406">
        <v>100</v>
      </c>
      <c r="E8" s="409"/>
      <c r="F8" s="408">
        <f>SUMIF(49:49,E8,50:50)-SUMIF(49:49,C8,50:50)+100</f>
        <v>0</v>
      </c>
      <c r="G8" s="409"/>
      <c r="H8" s="406">
        <f>SUMIF(49:49,G8,50:50)-SUMIF(49:49,C8,50:50)+100</f>
        <v>0</v>
      </c>
      <c r="I8" s="409"/>
      <c r="J8" s="406">
        <f>SUMIF(49:49,I8,50:50)-SUMIF(49:49,C8,50:50)+100</f>
        <v>0</v>
      </c>
      <c r="K8" s="606"/>
      <c r="L8" s="1127"/>
      <c r="M8" s="1128"/>
      <c r="N8" s="1128"/>
      <c r="O8" s="1128"/>
      <c r="P8" s="3266" t="s">
        <v>2546</v>
      </c>
      <c r="Q8" s="3267"/>
      <c r="R8" s="765" t="s">
        <v>17</v>
      </c>
      <c r="S8" s="766">
        <f t="shared" si="0"/>
        <v>0</v>
      </c>
      <c r="T8" s="765" t="s">
        <v>17</v>
      </c>
      <c r="U8" s="766">
        <f t="shared" si="1"/>
        <v>0</v>
      </c>
      <c r="V8" s="765" t="s">
        <v>17</v>
      </c>
      <c r="W8" s="766">
        <f t="shared" si="2"/>
        <v>0</v>
      </c>
      <c r="X8" s="767"/>
      <c r="Y8" s="3266" t="s">
        <v>2546</v>
      </c>
      <c r="Z8" s="3267"/>
      <c r="AA8" s="768" t="e">
        <f t="shared" ref="AA8:AA34" si="3">D8/F8</f>
        <v>#DIV/0!</v>
      </c>
      <c r="AB8" s="768" t="e">
        <f t="shared" ref="AB8:AB34" si="4">D8/H8</f>
        <v>#DIV/0!</v>
      </c>
      <c r="AC8" s="768" t="e">
        <f t="shared" ref="AC8:AC34" si="5">D8/J8</f>
        <v>#DIV/0!</v>
      </c>
    </row>
    <row r="9" spans="1:29" s="114" customFormat="1">
      <c r="A9" s="410" t="s">
        <v>2547</v>
      </c>
      <c r="B9" s="68" t="s">
        <v>2548</v>
      </c>
      <c r="C9" s="411"/>
      <c r="D9" s="130">
        <v>100</v>
      </c>
      <c r="E9" s="414"/>
      <c r="F9" s="413">
        <f>SUMIF(51:51,E9,52:52)-SUMIF(51:51,C9,52:52)+100</f>
        <v>100</v>
      </c>
      <c r="G9" s="414"/>
      <c r="H9" s="130">
        <f>SUMIF(51:51,G9,52:52)-SUMIF(51:51,C9,52:52)+100</f>
        <v>100</v>
      </c>
      <c r="I9" s="414"/>
      <c r="J9" s="130">
        <f>SUMIF(51:51,I9,52:52)-SUMIF(51:51,C9,52:52)+100</f>
        <v>100</v>
      </c>
      <c r="K9" s="606"/>
      <c r="L9" s="1127"/>
      <c r="M9" s="1128"/>
      <c r="N9" s="1128"/>
      <c r="O9" s="1129"/>
      <c r="P9" s="3237" t="s">
        <v>2549</v>
      </c>
      <c r="Q9" s="1790" t="str">
        <f t="shared" ref="Q9:Q14" si="6">B9</f>
        <v>用途</v>
      </c>
      <c r="R9" s="765" t="s">
        <v>17</v>
      </c>
      <c r="S9" s="766">
        <f t="shared" si="0"/>
        <v>100</v>
      </c>
      <c r="T9" s="765" t="s">
        <v>17</v>
      </c>
      <c r="U9" s="766">
        <f t="shared" si="1"/>
        <v>100</v>
      </c>
      <c r="V9" s="765" t="s">
        <v>17</v>
      </c>
      <c r="W9" s="766">
        <f t="shared" si="2"/>
        <v>100</v>
      </c>
      <c r="X9" s="767"/>
      <c r="Y9" s="3085" t="s">
        <v>2550</v>
      </c>
      <c r="Z9" s="52" t="str">
        <f t="shared" ref="Z9:Z14" si="7">Q9</f>
        <v>用途</v>
      </c>
      <c r="AA9" s="768">
        <f t="shared" si="3"/>
        <v>1</v>
      </c>
      <c r="AB9" s="768">
        <f t="shared" si="4"/>
        <v>1</v>
      </c>
      <c r="AC9" s="768">
        <f t="shared" si="5"/>
        <v>1</v>
      </c>
    </row>
    <row r="10" spans="1:29" s="422" customFormat="1" ht="28">
      <c r="A10" s="416"/>
      <c r="B10" s="417" t="s">
        <v>2551</v>
      </c>
      <c r="C10" s="418"/>
      <c r="D10" s="131">
        <v>100</v>
      </c>
      <c r="E10" s="418"/>
      <c r="F10" s="420">
        <f>SUMIF(53:53,E10,54:54)-SUMIF(53:53,C10,54:54)+100</f>
        <v>100</v>
      </c>
      <c r="G10" s="418"/>
      <c r="H10" s="131">
        <f>SUMIF(53:53,G10,54:54)-SUMIF(53:53,C10,54:54)+100</f>
        <v>100</v>
      </c>
      <c r="I10" s="418"/>
      <c r="J10" s="131">
        <f>SUMIF(53:53,I10,54:54)-SUMIF(53:53,C10,54:54)+100</f>
        <v>100</v>
      </c>
      <c r="K10" s="607"/>
      <c r="L10" s="1130"/>
      <c r="M10" s="1131"/>
      <c r="N10" s="1131"/>
      <c r="O10" s="1132"/>
      <c r="P10" s="3237"/>
      <c r="Q10" s="1790" t="str">
        <f t="shared" si="6"/>
        <v>土地使用年限（年）</v>
      </c>
      <c r="R10" s="765" t="s">
        <v>17</v>
      </c>
      <c r="S10" s="766">
        <f t="shared" si="0"/>
        <v>100</v>
      </c>
      <c r="T10" s="765" t="s">
        <v>17</v>
      </c>
      <c r="U10" s="766">
        <f t="shared" si="1"/>
        <v>100</v>
      </c>
      <c r="V10" s="765" t="s">
        <v>17</v>
      </c>
      <c r="W10" s="766">
        <f t="shared" si="2"/>
        <v>100</v>
      </c>
      <c r="X10" s="767"/>
      <c r="Y10" s="3085"/>
      <c r="Z10" s="52" t="str">
        <f t="shared" si="7"/>
        <v>土地使用年限（年）</v>
      </c>
      <c r="AA10" s="768">
        <f t="shared" si="3"/>
        <v>1</v>
      </c>
      <c r="AB10" s="768">
        <f t="shared" si="4"/>
        <v>1</v>
      </c>
      <c r="AC10" s="768">
        <f t="shared" si="5"/>
        <v>1</v>
      </c>
    </row>
    <row r="11" spans="1:29" ht="15.5">
      <c r="A11" s="423"/>
      <c r="B11" s="2587">
        <v>111</v>
      </c>
      <c r="C11" s="427"/>
      <c r="D11" s="131">
        <v>100</v>
      </c>
      <c r="E11" s="464"/>
      <c r="F11" s="420">
        <f>SUMIF(55:55,E11,56:56)-SUMIF(55:55,C11,56:56)+100</f>
        <v>100</v>
      </c>
      <c r="G11" s="464"/>
      <c r="H11" s="131">
        <f>SUMIF(55:55,G11,56:56)-SUMIF(55:55,C11,56:56)+100</f>
        <v>100</v>
      </c>
      <c r="I11" s="464"/>
      <c r="J11" s="131">
        <f>SUMIF(55:55,I11,56:56)-SUMIF(55:55,C11,56:56)+100</f>
        <v>100</v>
      </c>
      <c r="K11" s="608"/>
      <c r="L11" s="1133"/>
      <c r="M11" s="1126"/>
      <c r="N11" s="1126"/>
      <c r="O11" s="1134"/>
      <c r="P11" s="3237"/>
      <c r="Q11" s="1790">
        <f t="shared" si="6"/>
        <v>111</v>
      </c>
      <c r="R11" s="765" t="s">
        <v>17</v>
      </c>
      <c r="S11" s="766">
        <f t="shared" si="0"/>
        <v>100</v>
      </c>
      <c r="T11" s="765" t="s">
        <v>17</v>
      </c>
      <c r="U11" s="766">
        <f t="shared" si="1"/>
        <v>100</v>
      </c>
      <c r="V11" s="765" t="s">
        <v>17</v>
      </c>
      <c r="W11" s="766">
        <f t="shared" si="2"/>
        <v>100</v>
      </c>
      <c r="X11" s="767"/>
      <c r="Y11" s="3085"/>
      <c r="Z11" s="52">
        <f t="shared" si="7"/>
        <v>111</v>
      </c>
      <c r="AA11" s="768">
        <f t="shared" si="3"/>
        <v>1</v>
      </c>
      <c r="AB11" s="768">
        <f t="shared" si="4"/>
        <v>1</v>
      </c>
      <c r="AC11" s="768">
        <f t="shared" si="5"/>
        <v>1</v>
      </c>
    </row>
    <row r="12" spans="1:29" s="114" customFormat="1" ht="15.5">
      <c r="A12" s="426"/>
      <c r="B12" s="2587">
        <v>111</v>
      </c>
      <c r="C12" s="427"/>
      <c r="D12" s="428">
        <v>100</v>
      </c>
      <c r="E12" s="464"/>
      <c r="F12" s="420">
        <f>SUMIF(57:57,E12,58:58)-SUMIF(57:57,C12,58:58)+100</f>
        <v>100</v>
      </c>
      <c r="G12" s="464"/>
      <c r="H12" s="131">
        <f>SUMIF(57:57,G12,58:58)-SUMIF(57:57,C12,58:58)+100</f>
        <v>100</v>
      </c>
      <c r="I12" s="464"/>
      <c r="J12" s="131">
        <f>SUMIF(57:57,I12,58:58)-SUMIF(57:57,C12,58:58)+100</f>
        <v>100</v>
      </c>
      <c r="K12" s="608"/>
      <c r="L12" s="1127"/>
      <c r="M12" s="1128"/>
      <c r="N12" s="1128"/>
      <c r="O12" s="1129"/>
      <c r="P12" s="3237"/>
      <c r="Q12" s="1790">
        <f t="shared" si="6"/>
        <v>111</v>
      </c>
      <c r="R12" s="765" t="s">
        <v>17</v>
      </c>
      <c r="S12" s="766">
        <f t="shared" si="0"/>
        <v>100</v>
      </c>
      <c r="T12" s="765" t="s">
        <v>17</v>
      </c>
      <c r="U12" s="766">
        <f t="shared" si="1"/>
        <v>100</v>
      </c>
      <c r="V12" s="765" t="s">
        <v>17</v>
      </c>
      <c r="W12" s="766">
        <f t="shared" si="2"/>
        <v>100</v>
      </c>
      <c r="X12" s="767"/>
      <c r="Y12" s="3085"/>
      <c r="Z12" s="52">
        <f t="shared" si="7"/>
        <v>111</v>
      </c>
      <c r="AA12" s="768">
        <f>D12/F12</f>
        <v>1</v>
      </c>
      <c r="AB12" s="768">
        <f>D12/H12</f>
        <v>1</v>
      </c>
      <c r="AC12" s="768">
        <f>D12/J12</f>
        <v>1</v>
      </c>
    </row>
    <row r="13" spans="1:29" ht="16" thickBot="1">
      <c r="A13" s="423"/>
      <c r="B13" s="2587">
        <v>111</v>
      </c>
      <c r="C13" s="429"/>
      <c r="D13" s="430">
        <v>100</v>
      </c>
      <c r="E13" s="464"/>
      <c r="F13" s="420">
        <f>SUMIF(59:59,E13,60:60)-SUMIF(59:59,C13,60:60)+100</f>
        <v>100</v>
      </c>
      <c r="G13" s="2683"/>
      <c r="H13" s="433">
        <f>SUMIF(59:59,G13,60:60)-SUMIF(59:59,C13,60:60)+100</f>
        <v>100</v>
      </c>
      <c r="I13" s="464"/>
      <c r="J13" s="430">
        <f>SUMIF(59:59,I13,60:60)-SUMIF(59:59,C13,60:60)+100</f>
        <v>100</v>
      </c>
      <c r="K13" s="608"/>
      <c r="L13" s="1135"/>
      <c r="M13" s="1126"/>
      <c r="N13" s="1126"/>
      <c r="O13" s="1134"/>
      <c r="P13" s="3237"/>
      <c r="Q13" s="1790">
        <f t="shared" si="6"/>
        <v>111</v>
      </c>
      <c r="R13" s="765" t="s">
        <v>17</v>
      </c>
      <c r="S13" s="766">
        <f t="shared" si="0"/>
        <v>100</v>
      </c>
      <c r="T13" s="765" t="s">
        <v>17</v>
      </c>
      <c r="U13" s="766">
        <f t="shared" si="1"/>
        <v>100</v>
      </c>
      <c r="V13" s="765" t="s">
        <v>17</v>
      </c>
      <c r="W13" s="766">
        <f t="shared" si="2"/>
        <v>100</v>
      </c>
      <c r="X13" s="767"/>
      <c r="Y13" s="3085"/>
      <c r="Z13" s="52">
        <f t="shared" si="7"/>
        <v>111</v>
      </c>
      <c r="AA13" s="768">
        <f t="shared" si="3"/>
        <v>1</v>
      </c>
      <c r="AB13" s="768">
        <f t="shared" si="4"/>
        <v>1</v>
      </c>
      <c r="AC13" s="768">
        <f t="shared" si="5"/>
        <v>1</v>
      </c>
    </row>
    <row r="14" spans="1:29" ht="98">
      <c r="A14" s="435" t="s">
        <v>2553</v>
      </c>
      <c r="B14" s="66" t="s">
        <v>2703</v>
      </c>
      <c r="C14" s="2679"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5"/>
      <c r="M14" s="1126"/>
      <c r="N14" s="1126"/>
      <c r="O14" s="1134"/>
      <c r="P14" s="3239" t="s">
        <v>2554</v>
      </c>
      <c r="Q14" s="1805" t="str">
        <f t="shared" si="6"/>
        <v>交通便捷度</v>
      </c>
      <c r="R14" s="769" t="s">
        <v>17</v>
      </c>
      <c r="S14" s="770">
        <f t="shared" si="0"/>
        <v>100</v>
      </c>
      <c r="T14" s="769" t="s">
        <v>17</v>
      </c>
      <c r="U14" s="770">
        <f t="shared" si="1"/>
        <v>100</v>
      </c>
      <c r="V14" s="769" t="s">
        <v>17</v>
      </c>
      <c r="W14" s="770">
        <f t="shared" si="2"/>
        <v>100</v>
      </c>
      <c r="X14" s="1808"/>
      <c r="Y14" s="3239" t="s">
        <v>2554</v>
      </c>
      <c r="Z14" s="1809" t="str">
        <f t="shared" si="7"/>
        <v>交通便捷度</v>
      </c>
      <c r="AA14" s="1806">
        <f t="shared" si="3"/>
        <v>1</v>
      </c>
      <c r="AB14" s="1806">
        <f t="shared" si="4"/>
        <v>1</v>
      </c>
      <c r="AC14" s="1806">
        <f t="shared" si="5"/>
        <v>1</v>
      </c>
    </row>
    <row r="15" spans="1:29" ht="15.5">
      <c r="A15" s="423"/>
      <c r="B15" s="441"/>
      <c r="C15" s="442"/>
      <c r="D15" s="443"/>
      <c r="E15" s="442"/>
      <c r="F15" s="444"/>
      <c r="G15" s="442"/>
      <c r="H15" s="445"/>
      <c r="I15" s="442"/>
      <c r="J15" s="443"/>
      <c r="K15" s="610"/>
      <c r="L15" s="1135"/>
      <c r="M15" s="1126"/>
      <c r="N15" s="1126"/>
      <c r="O15" s="1134"/>
      <c r="P15" s="3240"/>
      <c r="Q15" s="1805"/>
      <c r="R15" s="769"/>
      <c r="S15" s="770"/>
      <c r="T15" s="769"/>
      <c r="U15" s="770"/>
      <c r="V15" s="769"/>
      <c r="W15" s="770"/>
      <c r="X15" s="1808"/>
      <c r="Y15" s="3240"/>
      <c r="Z15" s="1809"/>
      <c r="AA15" s="1806">
        <v>1</v>
      </c>
      <c r="AB15" s="1806">
        <v>1</v>
      </c>
      <c r="AC15" s="1806">
        <v>1</v>
      </c>
    </row>
    <row r="16" spans="1:29" ht="42">
      <c r="A16" s="423"/>
      <c r="B16" s="446" t="s">
        <v>2682</v>
      </c>
      <c r="C16" s="2594"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5"/>
      <c r="M16" s="1126"/>
      <c r="N16" s="1126"/>
      <c r="O16" s="1134"/>
      <c r="P16" s="3240"/>
      <c r="Q16" s="1805" t="str">
        <f>B16</f>
        <v>公共配套设施</v>
      </c>
      <c r="R16" s="769" t="s">
        <v>17</v>
      </c>
      <c r="S16" s="770">
        <f>F16</f>
        <v>100</v>
      </c>
      <c r="T16" s="769" t="s">
        <v>17</v>
      </c>
      <c r="U16" s="770">
        <f>H16</f>
        <v>100</v>
      </c>
      <c r="V16" s="769" t="s">
        <v>17</v>
      </c>
      <c r="W16" s="770">
        <f>J16</f>
        <v>100</v>
      </c>
      <c r="X16" s="1808"/>
      <c r="Y16" s="3240"/>
      <c r="Z16" s="1809" t="str">
        <f>Q16</f>
        <v>公共配套设施</v>
      </c>
      <c r="AA16" s="1806">
        <f t="shared" si="3"/>
        <v>1</v>
      </c>
      <c r="AB16" s="1806">
        <f t="shared" si="4"/>
        <v>1</v>
      </c>
      <c r="AC16" s="1806">
        <f t="shared" si="5"/>
        <v>1</v>
      </c>
    </row>
    <row r="17" spans="1:29" ht="15.5">
      <c r="A17" s="423"/>
      <c r="B17" s="451"/>
      <c r="C17" s="2595"/>
      <c r="D17" s="443"/>
      <c r="E17" s="442"/>
      <c r="F17" s="444"/>
      <c r="G17" s="442"/>
      <c r="H17" s="443"/>
      <c r="I17" s="442"/>
      <c r="J17" s="443"/>
      <c r="K17" s="610"/>
      <c r="L17" s="1135"/>
      <c r="M17" s="1126"/>
      <c r="N17" s="1126"/>
      <c r="O17" s="1134"/>
      <c r="P17" s="3240"/>
      <c r="Q17" s="1805"/>
      <c r="R17" s="769"/>
      <c r="S17" s="770"/>
      <c r="T17" s="769"/>
      <c r="U17" s="770"/>
      <c r="V17" s="769"/>
      <c r="W17" s="770"/>
      <c r="X17" s="1808"/>
      <c r="Y17" s="3240"/>
      <c r="Z17" s="1809"/>
      <c r="AA17" s="1806">
        <v>1</v>
      </c>
      <c r="AB17" s="1806">
        <v>1</v>
      </c>
      <c r="AC17" s="1806">
        <v>1</v>
      </c>
    </row>
    <row r="18" spans="1:29" ht="42">
      <c r="A18" s="423"/>
      <c r="B18" s="1379" t="s">
        <v>2683</v>
      </c>
      <c r="C18" s="2594"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5"/>
      <c r="M18" s="1126"/>
      <c r="N18" s="1126"/>
      <c r="O18" s="1134"/>
      <c r="P18" s="3240"/>
      <c r="Q18" s="1805" t="str">
        <f>B18</f>
        <v>基础设施水平</v>
      </c>
      <c r="R18" s="769" t="s">
        <v>17</v>
      </c>
      <c r="S18" s="770">
        <f>F18</f>
        <v>100</v>
      </c>
      <c r="T18" s="769" t="s">
        <v>17</v>
      </c>
      <c r="U18" s="770">
        <f>H18</f>
        <v>100</v>
      </c>
      <c r="V18" s="769" t="s">
        <v>17</v>
      </c>
      <c r="W18" s="770">
        <f>J18</f>
        <v>100</v>
      </c>
      <c r="X18" s="1808"/>
      <c r="Y18" s="3240"/>
      <c r="Z18" s="1809" t="str">
        <f>Q18</f>
        <v>基础设施水平</v>
      </c>
      <c r="AA18" s="1806">
        <f t="shared" ref="AA18" si="8">D18/F18</f>
        <v>1</v>
      </c>
      <c r="AB18" s="1806">
        <f t="shared" ref="AB18" si="9">D18/H18</f>
        <v>1</v>
      </c>
      <c r="AC18" s="1806">
        <f t="shared" ref="AC18" si="10">D18/J18</f>
        <v>1</v>
      </c>
    </row>
    <row r="19" spans="1:29" ht="15.5">
      <c r="A19" s="423"/>
      <c r="B19" s="1379"/>
      <c r="C19" s="2595"/>
      <c r="D19" s="445"/>
      <c r="E19" s="2595"/>
      <c r="F19" s="448"/>
      <c r="G19" s="2595"/>
      <c r="H19" s="443"/>
      <c r="I19" s="442"/>
      <c r="J19" s="443"/>
      <c r="K19" s="1378"/>
      <c r="L19" s="1135"/>
      <c r="M19" s="1126"/>
      <c r="N19" s="1126"/>
      <c r="O19" s="1134"/>
      <c r="P19" s="3240"/>
      <c r="Q19" s="1805"/>
      <c r="R19" s="769"/>
      <c r="S19" s="770"/>
      <c r="T19" s="769"/>
      <c r="U19" s="770"/>
      <c r="V19" s="769"/>
      <c r="W19" s="770"/>
      <c r="X19" s="1808"/>
      <c r="Y19" s="3240"/>
      <c r="Z19" s="1809"/>
      <c r="AA19" s="1806">
        <v>1</v>
      </c>
      <c r="AB19" s="1806">
        <v>1</v>
      </c>
      <c r="AC19" s="1806">
        <v>1</v>
      </c>
    </row>
    <row r="20" spans="1:29" ht="56">
      <c r="A20" s="423"/>
      <c r="B20" s="446" t="s">
        <v>2704</v>
      </c>
      <c r="C20" s="2594"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5"/>
      <c r="M20" s="1126"/>
      <c r="N20" s="1126"/>
      <c r="O20" s="1134"/>
      <c r="P20" s="3240"/>
      <c r="Q20" s="1805" t="str">
        <f>B20</f>
        <v>自然及人文环境</v>
      </c>
      <c r="R20" s="769" t="s">
        <v>17</v>
      </c>
      <c r="S20" s="770">
        <f>F20</f>
        <v>100</v>
      </c>
      <c r="T20" s="769" t="s">
        <v>17</v>
      </c>
      <c r="U20" s="770">
        <f>H20</f>
        <v>100</v>
      </c>
      <c r="V20" s="769" t="s">
        <v>17</v>
      </c>
      <c r="W20" s="770">
        <f>J20</f>
        <v>100</v>
      </c>
      <c r="X20" s="1808"/>
      <c r="Y20" s="3240"/>
      <c r="Z20" s="1809" t="str">
        <f>Q20</f>
        <v>自然及人文环境</v>
      </c>
      <c r="AA20" s="1806">
        <f t="shared" si="3"/>
        <v>1</v>
      </c>
      <c r="AB20" s="1806">
        <f t="shared" si="4"/>
        <v>1</v>
      </c>
      <c r="AC20" s="1806">
        <f t="shared" si="5"/>
        <v>1</v>
      </c>
    </row>
    <row r="21" spans="1:29" ht="15.5">
      <c r="A21" s="423"/>
      <c r="B21" s="451"/>
      <c r="C21" s="442"/>
      <c r="D21" s="443"/>
      <c r="E21" s="442"/>
      <c r="F21" s="444"/>
      <c r="G21" s="442"/>
      <c r="H21" s="443"/>
      <c r="I21" s="442"/>
      <c r="J21" s="443"/>
      <c r="K21" s="610"/>
      <c r="L21" s="1135"/>
      <c r="M21" s="1126"/>
      <c r="N21" s="1126"/>
      <c r="O21" s="1134"/>
      <c r="P21" s="3240"/>
      <c r="Q21" s="1805"/>
      <c r="R21" s="769"/>
      <c r="S21" s="770"/>
      <c r="T21" s="769"/>
      <c r="U21" s="770"/>
      <c r="V21" s="769"/>
      <c r="W21" s="770"/>
      <c r="X21" s="1808"/>
      <c r="Y21" s="3240"/>
      <c r="Z21" s="1809"/>
      <c r="AA21" s="1806">
        <v>1</v>
      </c>
      <c r="AB21" s="1806">
        <v>1</v>
      </c>
      <c r="AC21" s="1806">
        <v>1</v>
      </c>
    </row>
    <row r="22" spans="1:29" ht="15.5">
      <c r="A22" s="423"/>
      <c r="B22" s="446" t="s">
        <v>2705</v>
      </c>
      <c r="C22" s="611"/>
      <c r="D22" s="445">
        <v>100</v>
      </c>
      <c r="E22" s="611"/>
      <c r="F22" s="456">
        <f>SUMIF(69:69,E22,70:70)-SUMIF(69:69,C22,70:70)+100</f>
        <v>100</v>
      </c>
      <c r="G22" s="611"/>
      <c r="H22" s="430">
        <f>SUMIF(69:69,G22,70:70)-SUMIF(69:69,C22,70:70)+100</f>
        <v>100</v>
      </c>
      <c r="I22" s="611"/>
      <c r="J22" s="430">
        <f>SUMIF(69:69,I22,70:70)-SUMIF(69:69,C22,70:70)+100</f>
        <v>100</v>
      </c>
      <c r="K22" s="607"/>
      <c r="L22" s="1135"/>
      <c r="M22" s="1126"/>
      <c r="N22" s="1126"/>
      <c r="O22" s="1134"/>
      <c r="P22" s="3240"/>
      <c r="Q22" s="1805" t="str">
        <f>B22</f>
        <v>楼层</v>
      </c>
      <c r="R22" s="769" t="s">
        <v>17</v>
      </c>
      <c r="S22" s="770">
        <f>F22</f>
        <v>100</v>
      </c>
      <c r="T22" s="769" t="s">
        <v>17</v>
      </c>
      <c r="U22" s="770">
        <f>H22</f>
        <v>100</v>
      </c>
      <c r="V22" s="769" t="s">
        <v>17</v>
      </c>
      <c r="W22" s="770">
        <f>J22</f>
        <v>100</v>
      </c>
      <c r="X22" s="1808"/>
      <c r="Y22" s="3240"/>
      <c r="Z22" s="1809" t="str">
        <f>Q22</f>
        <v>楼层</v>
      </c>
      <c r="AA22" s="1806">
        <f t="shared" si="3"/>
        <v>1</v>
      </c>
      <c r="AB22" s="1806">
        <f t="shared" si="4"/>
        <v>1</v>
      </c>
      <c r="AC22" s="1806">
        <f t="shared" si="5"/>
        <v>1</v>
      </c>
    </row>
    <row r="23" spans="1:29" ht="15.5">
      <c r="A23" s="399"/>
      <c r="B23" s="2587">
        <v>111</v>
      </c>
      <c r="C23" s="427"/>
      <c r="D23" s="430">
        <v>100</v>
      </c>
      <c r="E23" s="429"/>
      <c r="F23" s="456">
        <f>SUMIF(71:71,E23,72:72)-SUMIF(71:71,C23,72:72)+100</f>
        <v>100</v>
      </c>
      <c r="G23" s="429"/>
      <c r="H23" s="430">
        <f>SUMIF(71:71,G23,72:72)-SUMIF(71:71,C23,72:72)+100</f>
        <v>100</v>
      </c>
      <c r="I23" s="429"/>
      <c r="J23" s="430">
        <f>SUMIF(71:71,I23,72:72)-SUMIF(71:71,C23,72:72)+100</f>
        <v>100</v>
      </c>
      <c r="K23" s="608"/>
      <c r="L23" s="1135"/>
      <c r="M23" s="1126"/>
      <c r="N23" s="1126"/>
      <c r="O23" s="1134"/>
      <c r="P23" s="3240"/>
      <c r="Q23" s="1805">
        <f>B23</f>
        <v>111</v>
      </c>
      <c r="R23" s="769" t="s">
        <v>17</v>
      </c>
      <c r="S23" s="770">
        <f>F23</f>
        <v>100</v>
      </c>
      <c r="T23" s="769" t="s">
        <v>17</v>
      </c>
      <c r="U23" s="770">
        <f>H23</f>
        <v>100</v>
      </c>
      <c r="V23" s="769" t="s">
        <v>17</v>
      </c>
      <c r="W23" s="770">
        <f>J23</f>
        <v>100</v>
      </c>
      <c r="X23" s="1808"/>
      <c r="Y23" s="3240"/>
      <c r="Z23" s="1809">
        <f>Q23</f>
        <v>111</v>
      </c>
      <c r="AA23" s="1806">
        <f t="shared" si="3"/>
        <v>1</v>
      </c>
      <c r="AB23" s="1806">
        <f t="shared" si="4"/>
        <v>1</v>
      </c>
      <c r="AC23" s="1806">
        <f t="shared" si="5"/>
        <v>1</v>
      </c>
    </row>
    <row r="24" spans="1:29" ht="15.5">
      <c r="A24" s="423"/>
      <c r="B24" s="2587">
        <v>111</v>
      </c>
      <c r="C24" s="427"/>
      <c r="D24" s="430">
        <v>100</v>
      </c>
      <c r="E24" s="429"/>
      <c r="F24" s="456">
        <f>SUMIF(73:73,E24,74:74)-SUMIF(73:73,C24,74:74)+100</f>
        <v>100</v>
      </c>
      <c r="G24" s="429"/>
      <c r="H24" s="430">
        <f>SUMIF(73:73,G24,74:74)-SUMIF(73:73,C24,74:74)+100</f>
        <v>100</v>
      </c>
      <c r="I24" s="429"/>
      <c r="J24" s="430">
        <f>SUMIF(73:73,I24,74:74)-SUMIF(73:73,C24,74:74)+100</f>
        <v>100</v>
      </c>
      <c r="K24" s="608"/>
      <c r="L24" s="1135"/>
      <c r="M24" s="1126"/>
      <c r="N24" s="1126"/>
      <c r="O24" s="1134"/>
      <c r="P24" s="3240"/>
      <c r="Q24" s="1805">
        <f t="shared" ref="Q24:Q34" si="11">B24</f>
        <v>111</v>
      </c>
      <c r="R24" s="769" t="s">
        <v>17</v>
      </c>
      <c r="S24" s="770">
        <f>F24</f>
        <v>100</v>
      </c>
      <c r="T24" s="769" t="s">
        <v>17</v>
      </c>
      <c r="U24" s="770">
        <f>H24</f>
        <v>100</v>
      </c>
      <c r="V24" s="769" t="s">
        <v>17</v>
      </c>
      <c r="W24" s="770">
        <f>J24</f>
        <v>100</v>
      </c>
      <c r="X24" s="1808"/>
      <c r="Y24" s="3240"/>
      <c r="Z24" s="1809">
        <f>Q24</f>
        <v>111</v>
      </c>
      <c r="AA24" s="1806">
        <f t="shared" si="3"/>
        <v>1</v>
      </c>
      <c r="AB24" s="1806">
        <f t="shared" si="4"/>
        <v>1</v>
      </c>
      <c r="AC24" s="1806">
        <f t="shared" si="5"/>
        <v>1</v>
      </c>
    </row>
    <row r="25" spans="1:29" s="114" customFormat="1" ht="16" thickBot="1">
      <c r="A25" s="426"/>
      <c r="B25" s="2587">
        <v>111</v>
      </c>
      <c r="C25" s="2684"/>
      <c r="D25" s="660">
        <v>100</v>
      </c>
      <c r="E25" s="2684"/>
      <c r="F25" s="661">
        <f>SUMIF(75:75,E25,76:76)-SUMIF(75:75,C25,76:76)+100</f>
        <v>100</v>
      </c>
      <c r="G25" s="2684"/>
      <c r="H25" s="660">
        <f>SUMIF(75:75,G25,76:76)-SUMIF(75:75,C25,76:76)+100</f>
        <v>100</v>
      </c>
      <c r="I25" s="2684"/>
      <c r="J25" s="660">
        <f>SUMIF(75:75,I25,76:76)-SUMIF(75:75,C25,76:76)+100</f>
        <v>100</v>
      </c>
      <c r="K25" s="608"/>
      <c r="L25" s="1127"/>
      <c r="M25" s="1128"/>
      <c r="N25" s="1128"/>
      <c r="O25" s="1129"/>
      <c r="P25" s="3240"/>
      <c r="Q25" s="1790">
        <f t="shared" si="11"/>
        <v>111</v>
      </c>
      <c r="R25" s="765" t="s">
        <v>17</v>
      </c>
      <c r="S25" s="766">
        <f>F25</f>
        <v>100</v>
      </c>
      <c r="T25" s="765" t="s">
        <v>17</v>
      </c>
      <c r="U25" s="766">
        <f>H25</f>
        <v>100</v>
      </c>
      <c r="V25" s="765" t="s">
        <v>17</v>
      </c>
      <c r="W25" s="766">
        <f>J25</f>
        <v>100</v>
      </c>
      <c r="X25" s="767"/>
      <c r="Y25" s="3240"/>
      <c r="Z25" s="52">
        <f>Q25</f>
        <v>111</v>
      </c>
      <c r="AA25" s="1806">
        <f>D25/F25</f>
        <v>1</v>
      </c>
      <c r="AB25" s="1806">
        <f>D25/H25</f>
        <v>1</v>
      </c>
      <c r="AC25" s="1806">
        <f>D25/J25</f>
        <v>1</v>
      </c>
    </row>
    <row r="26" spans="1:29" ht="29">
      <c r="A26" s="461" t="s">
        <v>2557</v>
      </c>
      <c r="B26" s="68" t="s">
        <v>2708</v>
      </c>
      <c r="C26" s="2665"/>
      <c r="D26" s="462">
        <v>100</v>
      </c>
      <c r="E26" s="2665"/>
      <c r="F26" s="662">
        <f>SUMIF(77:77,E26,78:78)-SUMIF(77:77,C26,78:78)+100</f>
        <v>100</v>
      </c>
      <c r="G26" s="2665"/>
      <c r="H26" s="462">
        <f>SUMIF(77:77,G26,78:78)-SUMIF(77:77,C26,78:78)+100</f>
        <v>100</v>
      </c>
      <c r="I26" s="2665"/>
      <c r="J26" s="462">
        <f>SUMIF(77:77,I26,78:78)-SUMIF(77:77,C26,78:78)+100</f>
        <v>100</v>
      </c>
      <c r="K26" s="607"/>
      <c r="L26" s="1135"/>
      <c r="M26" s="1126"/>
      <c r="N26" s="1126"/>
      <c r="O26" s="1134"/>
      <c r="P26" s="3241" t="s">
        <v>2559</v>
      </c>
      <c r="Q26" s="1805" t="str">
        <f t="shared" si="11"/>
        <v>公共部分装修</v>
      </c>
      <c r="R26" s="769" t="s">
        <v>17</v>
      </c>
      <c r="S26" s="770">
        <f t="shared" ref="S26:S34" si="12">F26</f>
        <v>100</v>
      </c>
      <c r="T26" s="769" t="s">
        <v>17</v>
      </c>
      <c r="U26" s="770">
        <f t="shared" ref="U26:U34" si="13">H26</f>
        <v>100</v>
      </c>
      <c r="V26" s="769" t="s">
        <v>17</v>
      </c>
      <c r="W26" s="770">
        <f t="shared" ref="W26:W34" si="14">J26</f>
        <v>100</v>
      </c>
      <c r="X26" s="1808"/>
      <c r="Y26" s="3242" t="s">
        <v>2559</v>
      </c>
      <c r="Z26" s="1809" t="str">
        <f t="shared" ref="Z26:Z34" si="15">Q26</f>
        <v>公共部分装修</v>
      </c>
      <c r="AA26" s="1806">
        <f t="shared" si="3"/>
        <v>1</v>
      </c>
      <c r="AB26" s="1806">
        <f t="shared" si="4"/>
        <v>1</v>
      </c>
      <c r="AC26" s="1806">
        <f t="shared" si="5"/>
        <v>1</v>
      </c>
    </row>
    <row r="27" spans="1:29" s="466" customFormat="1" ht="15.5">
      <c r="A27" s="463"/>
      <c r="B27" s="417" t="s">
        <v>2709</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3"/>
      <c r="M27" s="1136"/>
      <c r="N27" s="1136"/>
      <c r="O27" s="1137"/>
      <c r="P27" s="3242"/>
      <c r="Q27" s="771" t="str">
        <f t="shared" si="11"/>
        <v>成新率</v>
      </c>
      <c r="R27" s="772" t="s">
        <v>17</v>
      </c>
      <c r="S27" s="773" t="e">
        <f t="shared" si="12"/>
        <v>#N/A</v>
      </c>
      <c r="T27" s="772" t="s">
        <v>17</v>
      </c>
      <c r="U27" s="773" t="e">
        <f t="shared" si="13"/>
        <v>#N/A</v>
      </c>
      <c r="V27" s="772" t="s">
        <v>17</v>
      </c>
      <c r="W27" s="773" t="e">
        <f t="shared" si="14"/>
        <v>#N/A</v>
      </c>
      <c r="X27" s="774"/>
      <c r="Y27" s="3242"/>
      <c r="Z27" s="775" t="str">
        <f t="shared" si="15"/>
        <v>成新率</v>
      </c>
      <c r="AA27" s="1806" t="e">
        <f t="shared" si="3"/>
        <v>#N/A</v>
      </c>
      <c r="AB27" s="1806" t="e">
        <f t="shared" si="4"/>
        <v>#N/A</v>
      </c>
      <c r="AC27" s="1806" t="e">
        <f t="shared" si="5"/>
        <v>#N/A</v>
      </c>
    </row>
    <row r="28" spans="1:29" ht="15.5">
      <c r="A28" s="467"/>
      <c r="B28" s="417" t="s">
        <v>2710</v>
      </c>
      <c r="C28" s="455"/>
      <c r="D28" s="430">
        <v>100</v>
      </c>
      <c r="E28" s="455"/>
      <c r="F28" s="456">
        <f>SUMIF(82:82,E28,83:83)-SUMIF(82:82,C28,83:83)+100</f>
        <v>100</v>
      </c>
      <c r="G28" s="455"/>
      <c r="H28" s="430">
        <f>SUMIF(82:82,G28,83:83)-SUMIF(82:82,C28,83:83)+100</f>
        <v>100</v>
      </c>
      <c r="I28" s="455"/>
      <c r="J28" s="430">
        <f>SUMIF(82:82,I28,83:83)-SUMIF(82:82,C28,83:83)+100</f>
        <v>100</v>
      </c>
      <c r="K28" s="607"/>
      <c r="L28" s="1135"/>
      <c r="M28" s="1126"/>
      <c r="N28" s="1126"/>
      <c r="O28" s="1134"/>
      <c r="P28" s="3242"/>
      <c r="Q28" s="1805" t="str">
        <f t="shared" si="11"/>
        <v>物业等级</v>
      </c>
      <c r="R28" s="769" t="s">
        <v>17</v>
      </c>
      <c r="S28" s="770">
        <f t="shared" si="12"/>
        <v>100</v>
      </c>
      <c r="T28" s="769" t="s">
        <v>17</v>
      </c>
      <c r="U28" s="770">
        <f t="shared" si="13"/>
        <v>100</v>
      </c>
      <c r="V28" s="769" t="s">
        <v>17</v>
      </c>
      <c r="W28" s="770">
        <f t="shared" si="14"/>
        <v>100</v>
      </c>
      <c r="X28" s="1808"/>
      <c r="Y28" s="3242"/>
      <c r="Z28" s="1809" t="str">
        <f t="shared" si="15"/>
        <v>物业等级</v>
      </c>
      <c r="AA28" s="1806">
        <f t="shared" si="3"/>
        <v>1</v>
      </c>
      <c r="AB28" s="1806">
        <f t="shared" si="4"/>
        <v>1</v>
      </c>
      <c r="AC28" s="1806">
        <f t="shared" si="5"/>
        <v>1</v>
      </c>
    </row>
    <row r="29" spans="1:29" ht="15.5">
      <c r="A29" s="467"/>
      <c r="B29" s="417" t="s">
        <v>2731</v>
      </c>
      <c r="C29" s="652"/>
      <c r="D29" s="430">
        <v>100</v>
      </c>
      <c r="E29" s="652"/>
      <c r="F29" s="456">
        <f>SUMIF(84:84,E29,85:85)-SUMIF(84:84,C29,85:85)+100</f>
        <v>100</v>
      </c>
      <c r="G29" s="652"/>
      <c r="H29" s="430">
        <f>SUMIF(84:84,G29,85:85)-SUMIF(84:84,C29,85:85)+100</f>
        <v>100</v>
      </c>
      <c r="I29" s="652"/>
      <c r="J29" s="430">
        <f>SUMIF(84:84,I29,85:85)-SUMIF(84:84,C29,85:85)+100</f>
        <v>100</v>
      </c>
      <c r="K29" s="607"/>
      <c r="L29" s="1135"/>
      <c r="M29" s="1126"/>
      <c r="N29" s="1126"/>
      <c r="O29" s="1134"/>
      <c r="P29" s="3242"/>
      <c r="Q29" s="1805" t="str">
        <f t="shared" si="11"/>
        <v>有无电梯</v>
      </c>
      <c r="R29" s="769" t="s">
        <v>17</v>
      </c>
      <c r="S29" s="770">
        <f t="shared" si="12"/>
        <v>100</v>
      </c>
      <c r="T29" s="769" t="s">
        <v>17</v>
      </c>
      <c r="U29" s="770">
        <f t="shared" si="13"/>
        <v>100</v>
      </c>
      <c r="V29" s="769" t="s">
        <v>17</v>
      </c>
      <c r="W29" s="770">
        <f t="shared" si="14"/>
        <v>100</v>
      </c>
      <c r="X29" s="1808"/>
      <c r="Y29" s="3242"/>
      <c r="Z29" s="1809" t="str">
        <f t="shared" si="15"/>
        <v>有无电梯</v>
      </c>
      <c r="AA29" s="1806">
        <f t="shared" si="3"/>
        <v>1</v>
      </c>
      <c r="AB29" s="1806">
        <f t="shared" si="4"/>
        <v>1</v>
      </c>
      <c r="AC29" s="1806">
        <f t="shared" si="5"/>
        <v>1</v>
      </c>
    </row>
    <row r="30" spans="1:29" ht="15.5">
      <c r="A30" s="467"/>
      <c r="B30" s="417" t="s">
        <v>2732</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5"/>
      <c r="M30" s="1126"/>
      <c r="N30" s="1126"/>
      <c r="O30" s="1134"/>
      <c r="P30" s="3242"/>
      <c r="Q30" s="1805" t="str">
        <f t="shared" si="11"/>
        <v>建筑面积</v>
      </c>
      <c r="R30" s="769" t="s">
        <v>17</v>
      </c>
      <c r="S30" s="770" t="e">
        <f t="shared" si="12"/>
        <v>#N/A</v>
      </c>
      <c r="T30" s="769" t="s">
        <v>17</v>
      </c>
      <c r="U30" s="770" t="e">
        <f t="shared" si="13"/>
        <v>#N/A</v>
      </c>
      <c r="V30" s="769" t="s">
        <v>17</v>
      </c>
      <c r="W30" s="770" t="e">
        <f t="shared" si="14"/>
        <v>#N/A</v>
      </c>
      <c r="X30" s="1808"/>
      <c r="Y30" s="3242"/>
      <c r="Z30" s="1809" t="str">
        <f t="shared" si="15"/>
        <v>建筑面积</v>
      </c>
      <c r="AA30" s="1806" t="e">
        <f t="shared" si="3"/>
        <v>#N/A</v>
      </c>
      <c r="AB30" s="1806" t="e">
        <f t="shared" si="4"/>
        <v>#N/A</v>
      </c>
      <c r="AC30" s="1806" t="e">
        <f t="shared" si="5"/>
        <v>#N/A</v>
      </c>
    </row>
    <row r="31" spans="1:29" s="114" customFormat="1" ht="15.5">
      <c r="A31" s="468"/>
      <c r="B31" s="417" t="s">
        <v>2733</v>
      </c>
      <c r="C31" s="652"/>
      <c r="D31" s="131">
        <v>100</v>
      </c>
      <c r="E31" s="652"/>
      <c r="F31" s="456">
        <f>SUMIF(89:89,E31,90:90)-SUMIF(89:89,C31,90:90)+100</f>
        <v>100</v>
      </c>
      <c r="G31" s="652"/>
      <c r="H31" s="430">
        <f>SUMIF(89:89,G31,90:90)-SUMIF(89:89,C31,90:90)+100</f>
        <v>100</v>
      </c>
      <c r="I31" s="652"/>
      <c r="J31" s="430">
        <f>SUMIF(89:89,I31,90:90)-SUMIF(89:89,C31,90:90)+100</f>
        <v>100</v>
      </c>
      <c r="K31" s="607"/>
      <c r="L31" s="1127"/>
      <c r="M31" s="1128"/>
      <c r="N31" s="1128"/>
      <c r="O31" s="1129"/>
      <c r="P31" s="3242"/>
      <c r="Q31" s="1790" t="str">
        <f t="shared" si="11"/>
        <v>是否封闭</v>
      </c>
      <c r="R31" s="765" t="s">
        <v>17</v>
      </c>
      <c r="S31" s="766">
        <f t="shared" si="12"/>
        <v>100</v>
      </c>
      <c r="T31" s="765" t="s">
        <v>17</v>
      </c>
      <c r="U31" s="766">
        <f t="shared" si="13"/>
        <v>100</v>
      </c>
      <c r="V31" s="765" t="s">
        <v>17</v>
      </c>
      <c r="W31" s="766">
        <f t="shared" si="14"/>
        <v>100</v>
      </c>
      <c r="X31" s="767"/>
      <c r="Y31" s="3242"/>
      <c r="Z31" s="52" t="str">
        <f t="shared" si="15"/>
        <v>是否封闭</v>
      </c>
      <c r="AA31" s="768">
        <f t="shared" si="3"/>
        <v>1</v>
      </c>
      <c r="AB31" s="768">
        <f t="shared" si="4"/>
        <v>1</v>
      </c>
      <c r="AC31" s="768">
        <f t="shared" si="5"/>
        <v>1</v>
      </c>
    </row>
    <row r="32" spans="1:29" ht="15.5">
      <c r="A32" s="467"/>
      <c r="B32" s="2587">
        <v>111</v>
      </c>
      <c r="C32" s="427"/>
      <c r="D32" s="430">
        <v>100</v>
      </c>
      <c r="E32" s="464"/>
      <c r="F32" s="456">
        <f>SUMIF(91:91,E32,92:92)-SUMIF(91:91,C32,92:92)+100</f>
        <v>100</v>
      </c>
      <c r="G32" s="464"/>
      <c r="H32" s="430">
        <f>SUMIF(91:91,G32,92:92)-SUMIF(91:91,C32,92:92)+100</f>
        <v>100</v>
      </c>
      <c r="I32" s="464"/>
      <c r="J32" s="430">
        <f>SUMIF(91:91,I32,92:92)-SUMIF(91:91,C32,92:92)+100</f>
        <v>100</v>
      </c>
      <c r="K32" s="608"/>
      <c r="L32" s="1135"/>
      <c r="M32" s="1126"/>
      <c r="N32" s="1126"/>
      <c r="O32" s="1134"/>
      <c r="P32" s="3242" t="s">
        <v>2559</v>
      </c>
      <c r="Q32" s="1805">
        <f t="shared" si="11"/>
        <v>111</v>
      </c>
      <c r="R32" s="769" t="s">
        <v>17</v>
      </c>
      <c r="S32" s="770">
        <f t="shared" si="12"/>
        <v>100</v>
      </c>
      <c r="T32" s="769" t="s">
        <v>17</v>
      </c>
      <c r="U32" s="770">
        <f t="shared" si="13"/>
        <v>100</v>
      </c>
      <c r="V32" s="769" t="s">
        <v>17</v>
      </c>
      <c r="W32" s="770">
        <f t="shared" si="14"/>
        <v>100</v>
      </c>
      <c r="X32" s="1808"/>
      <c r="Y32" s="3242" t="s">
        <v>2559</v>
      </c>
      <c r="Z32" s="1809">
        <f t="shared" si="15"/>
        <v>111</v>
      </c>
      <c r="AA32" s="1806">
        <f t="shared" si="3"/>
        <v>1</v>
      </c>
      <c r="AB32" s="1806">
        <f t="shared" si="4"/>
        <v>1</v>
      </c>
      <c r="AC32" s="1806">
        <f t="shared" si="5"/>
        <v>1</v>
      </c>
    </row>
    <row r="33" spans="1:29" ht="15.5">
      <c r="A33" s="467"/>
      <c r="B33" s="2587">
        <v>111</v>
      </c>
      <c r="C33" s="427"/>
      <c r="D33" s="430">
        <v>100</v>
      </c>
      <c r="E33" s="464"/>
      <c r="F33" s="456">
        <f>SUMIF(93:93,E33,94:94)-SUMIF(93:93,C33,94:94)+100</f>
        <v>100</v>
      </c>
      <c r="G33" s="464"/>
      <c r="H33" s="430">
        <f>SUMIF(93:93,G33,94:94)-SUMIF(93:93,C33,94:94)+100</f>
        <v>100</v>
      </c>
      <c r="I33" s="464"/>
      <c r="J33" s="430">
        <f>SUMIF(93:93,I33,94:94)-SUMIF(93:93,C33,94:94)+100</f>
        <v>100</v>
      </c>
      <c r="K33" s="608"/>
      <c r="L33" s="1135"/>
      <c r="M33" s="1126"/>
      <c r="N33" s="1126"/>
      <c r="O33" s="1134"/>
      <c r="P33" s="3242"/>
      <c r="Q33" s="1805">
        <f t="shared" si="11"/>
        <v>111</v>
      </c>
      <c r="R33" s="769" t="s">
        <v>17</v>
      </c>
      <c r="S33" s="770">
        <f t="shared" si="12"/>
        <v>100</v>
      </c>
      <c r="T33" s="769" t="s">
        <v>17</v>
      </c>
      <c r="U33" s="770">
        <f t="shared" si="13"/>
        <v>100</v>
      </c>
      <c r="V33" s="769" t="s">
        <v>17</v>
      </c>
      <c r="W33" s="770">
        <f t="shared" si="14"/>
        <v>100</v>
      </c>
      <c r="X33" s="1808"/>
      <c r="Y33" s="3242"/>
      <c r="Z33" s="1809">
        <f t="shared" si="15"/>
        <v>111</v>
      </c>
      <c r="AA33" s="1806">
        <f t="shared" si="3"/>
        <v>1</v>
      </c>
      <c r="AB33" s="1806">
        <f t="shared" si="4"/>
        <v>1</v>
      </c>
      <c r="AC33" s="1806">
        <f t="shared" si="5"/>
        <v>1</v>
      </c>
    </row>
    <row r="34" spans="1:29" ht="16" thickBot="1">
      <c r="A34" s="473"/>
      <c r="B34" s="2589">
        <v>111</v>
      </c>
      <c r="C34" s="432"/>
      <c r="D34" s="433">
        <v>100</v>
      </c>
      <c r="E34" s="2683"/>
      <c r="F34" s="434">
        <f>SUMIF(95:95,E34,96:96)-SUMIF(95:95,C34,96:96)+100</f>
        <v>100</v>
      </c>
      <c r="G34" s="2683"/>
      <c r="H34" s="433">
        <f>SUMIF(95:95,G34,96:96)-SUMIF(95:95,C34,96:96)+100</f>
        <v>100</v>
      </c>
      <c r="I34" s="2683"/>
      <c r="J34" s="433">
        <f>SUMIF(95:95,I34,96:96)-SUMIF(95:95,C34,96:96)+100</f>
        <v>100</v>
      </c>
      <c r="K34" s="608"/>
      <c r="L34" s="1135"/>
      <c r="M34" s="1126"/>
      <c r="N34" s="1126"/>
      <c r="O34" s="1134"/>
      <c r="P34" s="3242"/>
      <c r="Q34" s="1805">
        <f t="shared" si="11"/>
        <v>111</v>
      </c>
      <c r="R34" s="769" t="s">
        <v>17</v>
      </c>
      <c r="S34" s="770">
        <f t="shared" si="12"/>
        <v>100</v>
      </c>
      <c r="T34" s="769" t="s">
        <v>17</v>
      </c>
      <c r="U34" s="770">
        <f t="shared" si="13"/>
        <v>100</v>
      </c>
      <c r="V34" s="769" t="s">
        <v>17</v>
      </c>
      <c r="W34" s="770">
        <f t="shared" si="14"/>
        <v>100</v>
      </c>
      <c r="X34" s="1808"/>
      <c r="Y34" s="3242"/>
      <c r="Z34" s="1809">
        <f t="shared" si="15"/>
        <v>111</v>
      </c>
      <c r="AA34" s="1806">
        <f t="shared" si="3"/>
        <v>1</v>
      </c>
      <c r="AB34" s="1806">
        <f t="shared" si="4"/>
        <v>1</v>
      </c>
      <c r="AC34" s="1806">
        <f t="shared" si="5"/>
        <v>1</v>
      </c>
    </row>
    <row r="35" spans="1:29">
      <c r="A35" s="474" t="s">
        <v>2571</v>
      </c>
      <c r="B35" s="475"/>
      <c r="C35" s="1402" t="s">
        <v>1</v>
      </c>
      <c r="D35" s="1403"/>
      <c r="E35" s="1404"/>
      <c r="F35" s="1405"/>
      <c r="G35" s="1406"/>
      <c r="H35" s="1407"/>
      <c r="I35" s="1404"/>
      <c r="J35" s="1407"/>
      <c r="K35" s="778"/>
      <c r="L35" s="1138"/>
      <c r="M35" s="1139"/>
      <c r="N35" s="1126"/>
      <c r="O35" s="1139"/>
      <c r="P35" s="3237" t="str">
        <f>A35</f>
        <v>成交单价（元/平方米）</v>
      </c>
      <c r="Q35" s="3237"/>
      <c r="R35" s="3274">
        <f>E35</f>
        <v>0</v>
      </c>
      <c r="S35" s="3274"/>
      <c r="T35" s="3274">
        <f>G35</f>
        <v>0</v>
      </c>
      <c r="U35" s="3274"/>
      <c r="V35" s="3274">
        <f>I35</f>
        <v>0</v>
      </c>
      <c r="W35" s="3274"/>
      <c r="X35" s="754"/>
      <c r="Y35" s="776"/>
      <c r="Z35" s="754"/>
      <c r="AA35" s="754"/>
      <c r="AB35" s="754"/>
      <c r="AC35" s="754"/>
    </row>
    <row r="36" spans="1:29" ht="14.5" thickBot="1">
      <c r="A36" s="481" t="s">
        <v>2663</v>
      </c>
      <c r="B36" s="482"/>
      <c r="C36" s="1408" t="e">
        <f>R37</f>
        <v>#DIV/0!</v>
      </c>
      <c r="D36" s="1409"/>
      <c r="E36" s="1410" t="e">
        <f>R36</f>
        <v>#DIV/0!</v>
      </c>
      <c r="F36" s="1410"/>
      <c r="G36" s="1408" t="e">
        <f>T36</f>
        <v>#DIV/0!</v>
      </c>
      <c r="H36" s="1409"/>
      <c r="I36" s="1410" t="e">
        <f>V36</f>
        <v>#DIV/0!</v>
      </c>
      <c r="J36" s="1409"/>
      <c r="K36" s="779"/>
      <c r="L36" s="1138"/>
      <c r="M36" s="1139"/>
      <c r="N36" s="1126"/>
      <c r="O36" s="1139"/>
      <c r="P36" s="3237" t="str">
        <f>A36</f>
        <v>比较价值（元/平方米）</v>
      </c>
      <c r="Q36" s="3237"/>
      <c r="R36" s="3274" t="e">
        <f>IF(F1="售价",ROUND(PRODUCT(R35,AA7:AA34),0),ROUND(PRODUCT(R35,AA7:AA34),1))</f>
        <v>#DIV/0!</v>
      </c>
      <c r="S36" s="3274"/>
      <c r="T36" s="3274" t="e">
        <f>IF(F1="售价",ROUND(PRODUCT(T35,AB7:AB34),0),ROUND(PRODUCT(T35,AB7:AB34),1))</f>
        <v>#DIV/0!</v>
      </c>
      <c r="U36" s="3274"/>
      <c r="V36" s="3274" t="e">
        <f>IF(F1="售价",ROUND(PRODUCT(V35,AC7:AC34),0),ROUND(PRODUCT(V35,AC7:AC34),1))</f>
        <v>#DIV/0!</v>
      </c>
      <c r="W36" s="3274"/>
      <c r="X36" s="754"/>
      <c r="Y36" s="754"/>
      <c r="Z36" s="754"/>
      <c r="AA36" s="754"/>
      <c r="AB36" s="754"/>
      <c r="AC36" s="754"/>
    </row>
    <row r="37" spans="1:29" ht="14.5" thickBot="1">
      <c r="A37" s="487" t="s">
        <v>2664</v>
      </c>
      <c r="B37" s="488"/>
      <c r="C37" s="1412" t="e">
        <f>R37</f>
        <v>#DIV/0!</v>
      </c>
      <c r="D37" s="1412"/>
      <c r="E37" s="1412"/>
      <c r="F37" s="1412"/>
      <c r="G37" s="1412"/>
      <c r="H37" s="1412"/>
      <c r="I37" s="1412"/>
      <c r="J37" s="1412"/>
      <c r="K37" s="780"/>
      <c r="L37" s="1138"/>
      <c r="M37" s="1139"/>
      <c r="N37" s="1139"/>
      <c r="O37" s="1139"/>
      <c r="P37" s="3231" t="str">
        <f>A37</f>
        <v>估价对象XX用房的比较价值（楼面单价，元/平方米）</v>
      </c>
      <c r="Q37" s="3232"/>
      <c r="R37" s="3273" t="e">
        <f>IF(F1="售价",ROUND(AVERAGE(R36:V36),0),ROUND(AVERAGE(R36:V36),1))</f>
        <v>#DIV/0!</v>
      </c>
      <c r="S37" s="3273"/>
      <c r="T37" s="3273"/>
      <c r="U37" s="3273"/>
      <c r="V37" s="3273"/>
      <c r="W37" s="3273"/>
      <c r="X37" s="754"/>
      <c r="Y37" s="754"/>
      <c r="Z37" s="754"/>
      <c r="AA37" s="754"/>
      <c r="AB37" s="754"/>
      <c r="AC37" s="754"/>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2" t="s">
        <v>2665</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0"/>
      <c r="L40" s="1101"/>
      <c r="M40" s="1139"/>
      <c r="N40" s="1139"/>
      <c r="O40" s="1139"/>
    </row>
    <row r="41" spans="1:29" ht="13.5" customHeight="1">
      <c r="A41" s="1139"/>
      <c r="B41" s="1139"/>
      <c r="C41" s="492" t="s">
        <v>2666</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0"/>
      <c r="L41" s="1101"/>
      <c r="M41" s="1139"/>
      <c r="N41" s="1139"/>
      <c r="O41" s="1139"/>
    </row>
    <row r="42" spans="1:29" s="497" customFormat="1" ht="13.5" customHeight="1">
      <c r="A42" s="1140"/>
      <c r="B42" s="1140"/>
      <c r="C42" s="492" t="s">
        <v>2667</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3"/>
      <c r="L42" s="1144"/>
      <c r="M42" s="1140"/>
      <c r="N42" s="1140"/>
      <c r="O42" s="1140"/>
    </row>
    <row r="43" spans="1:29" s="497"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5" thickBot="1">
      <c r="A45" s="758" t="s">
        <v>2668</v>
      </c>
      <c r="B45" s="754"/>
      <c r="C45" s="759"/>
      <c r="D45" s="759"/>
      <c r="E45" s="759"/>
      <c r="F45" s="760"/>
      <c r="G45" s="760"/>
      <c r="H45" s="759"/>
      <c r="I45" s="759"/>
      <c r="J45" s="759"/>
      <c r="K45" s="761"/>
      <c r="L45" s="762"/>
      <c r="M45" s="759"/>
      <c r="N45" s="759"/>
      <c r="O45" s="759"/>
      <c r="P45" s="498"/>
      <c r="Q45" s="499"/>
    </row>
    <row r="46" spans="1:29" s="503" customFormat="1">
      <c r="A46" s="500" t="s">
        <v>2542</v>
      </c>
      <c r="B46" s="501"/>
      <c r="C46" s="1569" t="str">
        <f>YEAR(C7)&amp;"-"&amp;MONTH(C7)</f>
        <v>2020-3</v>
      </c>
      <c r="D46" s="1570">
        <f>EDATE(C46,-1)</f>
        <v>43862</v>
      </c>
      <c r="E46" s="1570">
        <f t="shared" ref="E46:O46" si="16">EDATE(D46,-1)</f>
        <v>43831</v>
      </c>
      <c r="F46" s="1570">
        <f t="shared" si="16"/>
        <v>43800</v>
      </c>
      <c r="G46" s="1570">
        <f t="shared" si="16"/>
        <v>43770</v>
      </c>
      <c r="H46" s="1570">
        <f t="shared" si="16"/>
        <v>43739</v>
      </c>
      <c r="I46" s="1570">
        <f t="shared" si="16"/>
        <v>43709</v>
      </c>
      <c r="J46" s="1570">
        <f t="shared" si="16"/>
        <v>43678</v>
      </c>
      <c r="K46" s="1570">
        <f t="shared" si="16"/>
        <v>43647</v>
      </c>
      <c r="L46" s="1570">
        <f t="shared" si="16"/>
        <v>43617</v>
      </c>
      <c r="M46" s="1570">
        <f t="shared" si="16"/>
        <v>43586</v>
      </c>
      <c r="N46" s="1570">
        <f t="shared" si="16"/>
        <v>43556</v>
      </c>
      <c r="O46" s="1570">
        <f t="shared" si="16"/>
        <v>43525</v>
      </c>
      <c r="P46" s="502"/>
    </row>
    <row r="47" spans="1:29" s="114" customFormat="1">
      <c r="A47" s="504"/>
      <c r="B47" s="505"/>
      <c r="C47" s="1568">
        <v>100</v>
      </c>
      <c r="D47" s="507"/>
      <c r="E47" s="507"/>
      <c r="F47" s="507"/>
      <c r="G47" s="507"/>
      <c r="H47" s="507"/>
      <c r="I47" s="507"/>
      <c r="J47" s="507"/>
      <c r="K47" s="507"/>
      <c r="L47" s="507"/>
      <c r="M47" s="508"/>
      <c r="N47" s="507"/>
      <c r="O47" s="509"/>
      <c r="P47" s="499"/>
    </row>
    <row r="48" spans="1:29" s="114" customFormat="1" ht="14.5" thickBot="1">
      <c r="A48" s="510" t="s">
        <v>2579</v>
      </c>
      <c r="B48" s="511"/>
      <c r="C48" s="512"/>
      <c r="D48" s="513"/>
      <c r="E48" s="513"/>
      <c r="F48" s="513"/>
      <c r="G48" s="513"/>
      <c r="H48" s="513"/>
      <c r="I48" s="513"/>
      <c r="J48" s="513"/>
      <c r="K48" s="513"/>
      <c r="L48" s="513"/>
      <c r="M48" s="514"/>
      <c r="N48" s="513"/>
      <c r="O48" s="515"/>
      <c r="P48" s="499"/>
      <c r="Q48" s="499"/>
    </row>
    <row r="49" spans="1:17" s="114" customFormat="1">
      <c r="A49" s="516" t="s">
        <v>2544</v>
      </c>
      <c r="B49" s="505"/>
      <c r="C49" s="517" t="s">
        <v>2646</v>
      </c>
      <c r="D49" s="518"/>
      <c r="E49" s="518"/>
      <c r="F49" s="518"/>
      <c r="G49" s="518"/>
      <c r="H49" s="518"/>
      <c r="I49" s="518"/>
      <c r="J49" s="518"/>
      <c r="K49" s="518"/>
      <c r="L49" s="519"/>
      <c r="M49" s="520"/>
      <c r="N49" s="1146"/>
      <c r="O49" s="1146"/>
      <c r="P49" s="521"/>
      <c r="Q49" s="499"/>
    </row>
    <row r="50" spans="1:17" s="114" customFormat="1" ht="14.5" thickBot="1">
      <c r="A50" s="516"/>
      <c r="B50" s="505"/>
      <c r="C50" s="634">
        <v>100</v>
      </c>
      <c r="D50" s="507"/>
      <c r="E50" s="507"/>
      <c r="F50" s="507"/>
      <c r="G50" s="507"/>
      <c r="H50" s="507"/>
      <c r="I50" s="507"/>
      <c r="J50" s="507"/>
      <c r="K50" s="507"/>
      <c r="L50" s="507"/>
      <c r="M50" s="509"/>
      <c r="N50" s="1146"/>
      <c r="O50" s="1146"/>
      <c r="P50" s="499"/>
      <c r="Q50" s="499"/>
    </row>
    <row r="51" spans="1:17">
      <c r="A51" s="522" t="s">
        <v>2582</v>
      </c>
      <c r="B51" s="523" t="s">
        <v>2548</v>
      </c>
      <c r="C51" s="524">
        <f>C9</f>
        <v>0</v>
      </c>
      <c r="D51" s="525"/>
      <c r="E51" s="525"/>
      <c r="F51" s="525"/>
      <c r="G51" s="525"/>
      <c r="H51" s="525"/>
      <c r="I51" s="525"/>
      <c r="J51" s="525"/>
      <c r="K51" s="526"/>
      <c r="L51" s="527"/>
      <c r="M51" s="528"/>
      <c r="N51" s="1147"/>
      <c r="O51" s="1147"/>
      <c r="P51" s="43"/>
      <c r="Q51" s="499"/>
    </row>
    <row r="52" spans="1:17" ht="14.5" thickBot="1">
      <c r="A52" s="529"/>
      <c r="B52" s="530"/>
      <c r="C52" s="531">
        <v>100</v>
      </c>
      <c r="D52" s="531"/>
      <c r="E52" s="531"/>
      <c r="F52" s="531"/>
      <c r="G52" s="531"/>
      <c r="H52" s="531"/>
      <c r="I52" s="531"/>
      <c r="J52" s="531"/>
      <c r="K52" s="531"/>
      <c r="L52" s="531"/>
      <c r="M52" s="532"/>
      <c r="N52" s="1148"/>
      <c r="O52" s="1148"/>
      <c r="P52" s="43"/>
      <c r="Q52" s="499"/>
    </row>
    <row r="53" spans="1:17" ht="28.5" thickTop="1">
      <c r="A53" s="529"/>
      <c r="B53" s="533" t="s">
        <v>2551</v>
      </c>
      <c r="C53" s="534" t="s">
        <v>2583</v>
      </c>
      <c r="D53" s="534" t="s">
        <v>2584</v>
      </c>
      <c r="E53" s="534" t="s">
        <v>2585</v>
      </c>
      <c r="F53" s="534" t="s">
        <v>2586</v>
      </c>
      <c r="G53" s="534" t="s">
        <v>2587</v>
      </c>
      <c r="H53" s="534" t="s">
        <v>2588</v>
      </c>
      <c r="I53" s="534" t="s">
        <v>2589</v>
      </c>
      <c r="J53" s="534"/>
      <c r="K53" s="535"/>
      <c r="L53" s="536"/>
      <c r="M53" s="537"/>
      <c r="N53" s="1147"/>
      <c r="O53" s="1147"/>
      <c r="P53" s="43"/>
      <c r="Q53" s="499"/>
    </row>
    <row r="54" spans="1:17" ht="14.5" thickBot="1">
      <c r="A54" s="529"/>
      <c r="B54" s="538"/>
      <c r="C54" s="539" t="s">
        <v>24</v>
      </c>
      <c r="D54" s="539" t="s">
        <v>25</v>
      </c>
      <c r="E54" s="539">
        <v>100</v>
      </c>
      <c r="F54" s="539">
        <f>E54-$K10</f>
        <v>100</v>
      </c>
      <c r="G54" s="539">
        <f>F54-$K10</f>
        <v>100</v>
      </c>
      <c r="H54" s="539">
        <f>G54-$K10</f>
        <v>100</v>
      </c>
      <c r="I54" s="539">
        <f>H54-$K10</f>
        <v>100</v>
      </c>
      <c r="J54" s="539"/>
      <c r="K54" s="539"/>
      <c r="L54" s="539"/>
      <c r="M54" s="540"/>
      <c r="N54" s="1148"/>
      <c r="O54" s="1148"/>
      <c r="P54" s="43"/>
      <c r="Q54" s="499"/>
    </row>
    <row r="55" spans="1:17" ht="14.5" thickTop="1">
      <c r="A55" s="529"/>
      <c r="B55" s="655">
        <f>B11</f>
        <v>111</v>
      </c>
      <c r="C55" s="544"/>
      <c r="D55" s="544"/>
      <c r="E55" s="544"/>
      <c r="F55" s="544"/>
      <c r="G55" s="544"/>
      <c r="H55" s="544"/>
      <c r="I55" s="544"/>
      <c r="J55" s="544"/>
      <c r="K55" s="545"/>
      <c r="L55" s="546"/>
      <c r="M55" s="547"/>
      <c r="N55" s="1147"/>
      <c r="O55" s="1147"/>
      <c r="P55" s="43"/>
      <c r="Q55" s="499"/>
    </row>
    <row r="56" spans="1:17" ht="14.5" thickBot="1">
      <c r="A56" s="529"/>
      <c r="B56" s="530"/>
      <c r="C56" s="555"/>
      <c r="D56" s="531"/>
      <c r="E56" s="531"/>
      <c r="F56" s="531"/>
      <c r="G56" s="531"/>
      <c r="H56" s="531"/>
      <c r="I56" s="531"/>
      <c r="J56" s="531"/>
      <c r="K56" s="531"/>
      <c r="L56" s="531"/>
      <c r="M56" s="532"/>
      <c r="N56" s="1148"/>
      <c r="O56" s="1148"/>
      <c r="P56" s="43"/>
      <c r="Q56" s="499"/>
    </row>
    <row r="57" spans="1:17" s="466" customFormat="1" ht="14.5" thickTop="1">
      <c r="A57" s="548"/>
      <c r="B57" s="533">
        <f>B12</f>
        <v>111</v>
      </c>
      <c r="C57" s="544"/>
      <c r="D57" s="544"/>
      <c r="E57" s="544"/>
      <c r="F57" s="544"/>
      <c r="G57" s="549"/>
      <c r="H57" s="550"/>
      <c r="I57" s="550"/>
      <c r="J57" s="550"/>
      <c r="K57" s="550"/>
      <c r="L57" s="551"/>
      <c r="M57" s="552"/>
      <c r="N57" s="1149"/>
      <c r="O57" s="1149"/>
      <c r="P57" s="553"/>
      <c r="Q57" s="554"/>
    </row>
    <row r="58" spans="1:17" s="466" customFormat="1" ht="14.5" thickBot="1">
      <c r="A58" s="548"/>
      <c r="B58" s="538"/>
      <c r="C58" s="555"/>
      <c r="D58" s="531"/>
      <c r="E58" s="531"/>
      <c r="F58" s="531"/>
      <c r="G58" s="531"/>
      <c r="H58" s="531"/>
      <c r="I58" s="531"/>
      <c r="J58" s="531"/>
      <c r="K58" s="531"/>
      <c r="L58" s="531"/>
      <c r="M58" s="532"/>
      <c r="N58" s="1148"/>
      <c r="O58" s="1148"/>
      <c r="P58" s="553"/>
      <c r="Q58" s="554"/>
    </row>
    <row r="59" spans="1:17" s="466" customFormat="1" ht="14.5" thickTop="1">
      <c r="A59" s="548"/>
      <c r="B59" s="533">
        <f>B13</f>
        <v>111</v>
      </c>
      <c r="C59" s="544"/>
      <c r="D59" s="544"/>
      <c r="E59" s="544"/>
      <c r="F59" s="544"/>
      <c r="G59" s="549"/>
      <c r="H59" s="550"/>
      <c r="I59" s="550"/>
      <c r="J59" s="550"/>
      <c r="K59" s="550"/>
      <c r="L59" s="551"/>
      <c r="M59" s="552"/>
      <c r="N59" s="1149"/>
      <c r="O59" s="1149"/>
      <c r="P59" s="465"/>
      <c r="Q59" s="556"/>
    </row>
    <row r="60" spans="1:17" s="466" customFormat="1" ht="14.5" thickBot="1">
      <c r="A60" s="548"/>
      <c r="B60" s="538"/>
      <c r="C60" s="555"/>
      <c r="D60" s="555"/>
      <c r="E60" s="555"/>
      <c r="F60" s="555"/>
      <c r="G60" s="555"/>
      <c r="H60" s="557"/>
      <c r="I60" s="557"/>
      <c r="J60" s="557"/>
      <c r="K60" s="557"/>
      <c r="L60" s="557"/>
      <c r="M60" s="558"/>
      <c r="N60" s="1149"/>
      <c r="O60" s="1149"/>
      <c r="P60" s="553"/>
      <c r="Q60" s="554"/>
    </row>
    <row r="61" spans="1:17" ht="14.5" thickTop="1">
      <c r="A61" s="522" t="s">
        <v>2553</v>
      </c>
      <c r="B61" s="523" t="s">
        <v>2596</v>
      </c>
      <c r="C61" s="568" t="s">
        <v>2591</v>
      </c>
      <c r="D61" s="568" t="s">
        <v>2592</v>
      </c>
      <c r="E61" s="568" t="s">
        <v>2593</v>
      </c>
      <c r="F61" s="568" t="s">
        <v>2594</v>
      </c>
      <c r="G61" s="568" t="s">
        <v>2595</v>
      </c>
      <c r="H61" s="524"/>
      <c r="I61" s="524"/>
      <c r="J61" s="524"/>
      <c r="K61" s="569"/>
      <c r="L61" s="570"/>
      <c r="M61" s="571"/>
      <c r="N61" s="1147"/>
      <c r="O61" s="1147"/>
      <c r="P61" s="572"/>
      <c r="Q61" s="499"/>
    </row>
    <row r="62" spans="1:17" ht="14.5" thickBot="1">
      <c r="A62" s="529"/>
      <c r="B62" s="538"/>
      <c r="C62" s="539">
        <v>100</v>
      </c>
      <c r="D62" s="539">
        <f>C62-$K14</f>
        <v>100</v>
      </c>
      <c r="E62" s="539">
        <f>D62-$K14</f>
        <v>100</v>
      </c>
      <c r="F62" s="539">
        <f>E62-$K14</f>
        <v>100</v>
      </c>
      <c r="G62" s="539">
        <f>F62-$K14</f>
        <v>100</v>
      </c>
      <c r="H62" s="539"/>
      <c r="I62" s="539"/>
      <c r="J62" s="539"/>
      <c r="K62" s="539"/>
      <c r="L62" s="539"/>
      <c r="M62" s="540"/>
      <c r="N62" s="1148"/>
      <c r="O62" s="1148"/>
      <c r="P62" s="43"/>
      <c r="Q62" s="499"/>
    </row>
    <row r="63" spans="1:17" ht="28.5" thickTop="1">
      <c r="A63" s="529"/>
      <c r="B63" s="533" t="s">
        <v>2734</v>
      </c>
      <c r="C63" s="573" t="s">
        <v>2591</v>
      </c>
      <c r="D63" s="573" t="s">
        <v>2592</v>
      </c>
      <c r="E63" s="573" t="s">
        <v>2593</v>
      </c>
      <c r="F63" s="573" t="s">
        <v>2594</v>
      </c>
      <c r="G63" s="573" t="s">
        <v>2595</v>
      </c>
      <c r="H63" s="534"/>
      <c r="I63" s="534"/>
      <c r="J63" s="534"/>
      <c r="K63" s="535"/>
      <c r="L63" s="536"/>
      <c r="M63" s="537"/>
      <c r="N63" s="1147"/>
      <c r="O63" s="1147"/>
      <c r="P63" s="43"/>
      <c r="Q63" s="499"/>
    </row>
    <row r="64" spans="1:17" ht="14.5" thickBot="1">
      <c r="A64" s="529"/>
      <c r="B64" s="538"/>
      <c r="C64" s="539">
        <v>100</v>
      </c>
      <c r="D64" s="539">
        <f>C64-$K16</f>
        <v>100</v>
      </c>
      <c r="E64" s="539">
        <f>D64-$K16</f>
        <v>100</v>
      </c>
      <c r="F64" s="539">
        <f>E64-$K16</f>
        <v>100</v>
      </c>
      <c r="G64" s="539">
        <f>F64-$K16</f>
        <v>100</v>
      </c>
      <c r="H64" s="539"/>
      <c r="I64" s="539"/>
      <c r="J64" s="539"/>
      <c r="K64" s="539"/>
      <c r="L64" s="539"/>
      <c r="M64" s="540"/>
      <c r="N64" s="1148"/>
      <c r="O64" s="1148"/>
      <c r="P64" s="43"/>
      <c r="Q64" s="499"/>
    </row>
    <row r="65" spans="1:17" ht="14.5" thickTop="1">
      <c r="A65" s="529"/>
      <c r="B65" s="541" t="s">
        <v>2683</v>
      </c>
      <c r="C65" s="655" t="s">
        <v>2669</v>
      </c>
      <c r="D65" s="655" t="s">
        <v>2670</v>
      </c>
      <c r="E65" s="655" t="s">
        <v>2671</v>
      </c>
      <c r="F65" s="655" t="s">
        <v>2672</v>
      </c>
      <c r="G65" s="655" t="s">
        <v>2673</v>
      </c>
      <c r="H65" s="534"/>
      <c r="I65" s="534"/>
      <c r="J65" s="534"/>
      <c r="K65" s="534"/>
      <c r="L65" s="534"/>
      <c r="M65" s="1377"/>
      <c r="N65" s="1148"/>
      <c r="O65" s="1148"/>
      <c r="P65" s="43"/>
      <c r="Q65" s="499"/>
    </row>
    <row r="66" spans="1:17" ht="14.5" thickBot="1">
      <c r="A66" s="529"/>
      <c r="B66" s="541"/>
      <c r="C66" s="539">
        <v>100</v>
      </c>
      <c r="D66" s="539">
        <f>C66-$K18</f>
        <v>100</v>
      </c>
      <c r="E66" s="539">
        <f>D66-$K18</f>
        <v>100</v>
      </c>
      <c r="F66" s="539">
        <f>E66-$K18</f>
        <v>100</v>
      </c>
      <c r="G66" s="539">
        <f>F66-$K18</f>
        <v>100</v>
      </c>
      <c r="H66" s="655"/>
      <c r="I66" s="655"/>
      <c r="J66" s="655"/>
      <c r="K66" s="655"/>
      <c r="L66" s="655"/>
      <c r="M66" s="445"/>
      <c r="N66" s="1148"/>
      <c r="O66" s="1148"/>
      <c r="P66" s="43"/>
      <c r="Q66" s="499"/>
    </row>
    <row r="67" spans="1:17" ht="14.5" thickTop="1">
      <c r="A67" s="529"/>
      <c r="B67" s="533" t="s">
        <v>2603</v>
      </c>
      <c r="C67" s="573" t="s">
        <v>2591</v>
      </c>
      <c r="D67" s="573" t="s">
        <v>2592</v>
      </c>
      <c r="E67" s="573" t="s">
        <v>2593</v>
      </c>
      <c r="F67" s="573" t="s">
        <v>2594</v>
      </c>
      <c r="G67" s="573" t="s">
        <v>2595</v>
      </c>
      <c r="H67" s="534"/>
      <c r="I67" s="534"/>
      <c r="J67" s="534"/>
      <c r="K67" s="535"/>
      <c r="L67" s="536"/>
      <c r="M67" s="537"/>
      <c r="N67" s="1147"/>
      <c r="O67" s="1147"/>
      <c r="P67" s="43"/>
      <c r="Q67" s="499"/>
    </row>
    <row r="68" spans="1:17" ht="14.5" thickBot="1">
      <c r="A68" s="529"/>
      <c r="B68" s="538"/>
      <c r="C68" s="539">
        <v>100</v>
      </c>
      <c r="D68" s="539">
        <f>C68-$K20</f>
        <v>100</v>
      </c>
      <c r="E68" s="539">
        <f>D68-$K20</f>
        <v>100</v>
      </c>
      <c r="F68" s="539">
        <f>E68-$K20</f>
        <v>100</v>
      </c>
      <c r="G68" s="539">
        <f>F68-$K20</f>
        <v>100</v>
      </c>
      <c r="H68" s="539"/>
      <c r="I68" s="539"/>
      <c r="J68" s="539"/>
      <c r="K68" s="539"/>
      <c r="L68" s="539"/>
      <c r="M68" s="540"/>
      <c r="N68" s="1148"/>
      <c r="O68" s="1148"/>
      <c r="P68" s="43"/>
      <c r="Q68" s="499"/>
    </row>
    <row r="69" spans="1:17" ht="14.5" thickTop="1">
      <c r="A69" s="529"/>
      <c r="B69" s="533" t="s">
        <v>2723</v>
      </c>
      <c r="C69" s="549"/>
      <c r="D69" s="549"/>
      <c r="E69" s="549"/>
      <c r="F69" s="549"/>
      <c r="G69" s="549"/>
      <c r="H69" s="578"/>
      <c r="I69" s="578"/>
      <c r="J69" s="578"/>
      <c r="K69" s="579"/>
      <c r="L69" s="580"/>
      <c r="M69" s="581"/>
      <c r="N69" s="1147"/>
      <c r="O69" s="1147"/>
      <c r="P69" s="43"/>
      <c r="Q69" s="499"/>
    </row>
    <row r="70" spans="1:17" ht="14.5" thickBot="1">
      <c r="A70" s="529"/>
      <c r="B70" s="538"/>
      <c r="C70" s="539">
        <v>100</v>
      </c>
      <c r="D70" s="539">
        <f>C70-$K22</f>
        <v>100</v>
      </c>
      <c r="E70" s="539"/>
      <c r="F70" s="539"/>
      <c r="G70" s="539"/>
      <c r="H70" s="539"/>
      <c r="I70" s="539"/>
      <c r="J70" s="539"/>
      <c r="K70" s="539"/>
      <c r="L70" s="539"/>
      <c r="M70" s="540"/>
      <c r="N70" s="1148"/>
      <c r="O70" s="1148"/>
      <c r="P70" s="43"/>
      <c r="Q70" s="499"/>
    </row>
    <row r="71" spans="1:17" s="114" customFormat="1" ht="14.5" thickTop="1">
      <c r="A71" s="574"/>
      <c r="B71" s="533">
        <f>B23</f>
        <v>111</v>
      </c>
      <c r="C71" s="544"/>
      <c r="D71" s="544"/>
      <c r="E71" s="544"/>
      <c r="F71" s="544"/>
      <c r="G71" s="549"/>
      <c r="H71" s="549"/>
      <c r="I71" s="549"/>
      <c r="J71" s="549"/>
      <c r="K71" s="549"/>
      <c r="L71" s="575"/>
      <c r="M71" s="576"/>
      <c r="N71" s="1146"/>
      <c r="O71" s="1146"/>
      <c r="P71" s="43"/>
      <c r="Q71" s="499"/>
    </row>
    <row r="72" spans="1:17" s="114" customFormat="1" ht="14.5" thickBot="1">
      <c r="A72" s="574"/>
      <c r="B72" s="538"/>
      <c r="C72" s="555"/>
      <c r="D72" s="531"/>
      <c r="E72" s="531"/>
      <c r="F72" s="531"/>
      <c r="G72" s="531"/>
      <c r="H72" s="531"/>
      <c r="I72" s="531"/>
      <c r="J72" s="531"/>
      <c r="K72" s="531"/>
      <c r="L72" s="531"/>
      <c r="M72" s="532"/>
      <c r="N72" s="1148"/>
      <c r="O72" s="1148"/>
      <c r="P72" s="43"/>
      <c r="Q72" s="499"/>
    </row>
    <row r="73" spans="1:17" s="114" customFormat="1" ht="14.5" thickTop="1">
      <c r="A73" s="574"/>
      <c r="B73" s="533">
        <f>B24</f>
        <v>111</v>
      </c>
      <c r="C73" s="544"/>
      <c r="D73" s="544"/>
      <c r="E73" s="544"/>
      <c r="F73" s="544"/>
      <c r="G73" s="549"/>
      <c r="H73" s="549"/>
      <c r="I73" s="549"/>
      <c r="J73" s="549"/>
      <c r="K73" s="549"/>
      <c r="L73" s="549"/>
      <c r="M73" s="576"/>
      <c r="N73" s="1146"/>
      <c r="O73" s="1146"/>
      <c r="P73" s="43"/>
      <c r="Q73" s="499"/>
    </row>
    <row r="74" spans="1:17" s="114" customFormat="1" ht="14.5" thickBot="1">
      <c r="A74" s="574"/>
      <c r="B74" s="538"/>
      <c r="C74" s="555"/>
      <c r="D74" s="531"/>
      <c r="E74" s="531"/>
      <c r="F74" s="531"/>
      <c r="G74" s="531"/>
      <c r="H74" s="531"/>
      <c r="I74" s="531"/>
      <c r="J74" s="531"/>
      <c r="K74" s="531"/>
      <c r="L74" s="531"/>
      <c r="M74" s="532"/>
      <c r="N74" s="1148"/>
      <c r="O74" s="1148"/>
      <c r="P74" s="43"/>
      <c r="Q74" s="499"/>
    </row>
    <row r="75" spans="1:17" s="466" customFormat="1" ht="14.5" thickTop="1">
      <c r="A75" s="548"/>
      <c r="B75" s="533">
        <f>B25</f>
        <v>111</v>
      </c>
      <c r="C75" s="544"/>
      <c r="D75" s="544"/>
      <c r="E75" s="544"/>
      <c r="F75" s="544"/>
      <c r="G75" s="549"/>
      <c r="H75" s="550"/>
      <c r="I75" s="550"/>
      <c r="J75" s="550"/>
      <c r="K75" s="550"/>
      <c r="L75" s="551"/>
      <c r="M75" s="552"/>
      <c r="N75" s="1149"/>
      <c r="O75" s="1149"/>
      <c r="P75" s="553"/>
      <c r="Q75" s="554"/>
    </row>
    <row r="76" spans="1:17" s="466" customFormat="1" ht="14.5" thickBot="1">
      <c r="A76" s="548"/>
      <c r="B76" s="538"/>
      <c r="C76" s="555"/>
      <c r="D76" s="555"/>
      <c r="E76" s="555"/>
      <c r="F76" s="555"/>
      <c r="G76" s="531"/>
      <c r="H76" s="531"/>
      <c r="I76" s="531"/>
      <c r="J76" s="531"/>
      <c r="K76" s="531"/>
      <c r="L76" s="531"/>
      <c r="M76" s="532"/>
      <c r="N76" s="1149"/>
      <c r="O76" s="1149"/>
      <c r="P76" s="553"/>
      <c r="Q76" s="554"/>
    </row>
    <row r="77" spans="1:17" ht="14.5" thickTop="1">
      <c r="A77" s="522" t="s">
        <v>2557</v>
      </c>
      <c r="B77" s="523" t="s">
        <v>2610</v>
      </c>
      <c r="C77" s="549"/>
      <c r="D77" s="549"/>
      <c r="E77" s="525"/>
      <c r="F77" s="525"/>
      <c r="G77" s="525"/>
      <c r="H77" s="525"/>
      <c r="I77" s="525"/>
      <c r="J77" s="525"/>
      <c r="K77" s="526"/>
      <c r="L77" s="527"/>
      <c r="M77" s="528"/>
      <c r="N77" s="1147"/>
      <c r="O77" s="1147"/>
      <c r="P77" s="43"/>
      <c r="Q77" s="499"/>
    </row>
    <row r="78" spans="1:17" ht="14.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8"/>
      <c r="O78" s="1148"/>
      <c r="P78" s="43"/>
      <c r="Q78" s="499"/>
    </row>
    <row r="79" spans="1:17" ht="14.5" thickTop="1">
      <c r="A79" s="529"/>
      <c r="B79" s="533" t="s">
        <v>2726</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6"/>
      <c r="O79" s="1146"/>
      <c r="P79" s="43"/>
      <c r="Q79" s="499"/>
    </row>
    <row r="80" spans="1:17">
      <c r="A80" s="529"/>
      <c r="B80" s="541"/>
      <c r="C80" s="598">
        <v>0.5</v>
      </c>
      <c r="D80" s="598">
        <v>0.6</v>
      </c>
      <c r="E80" s="598">
        <v>0.7</v>
      </c>
      <c r="F80" s="598">
        <v>0.8</v>
      </c>
      <c r="G80" s="598">
        <v>0.9</v>
      </c>
      <c r="H80" s="598">
        <v>1.0001</v>
      </c>
      <c r="I80" s="655"/>
      <c r="J80" s="655"/>
      <c r="K80" s="663"/>
      <c r="L80" s="664"/>
      <c r="M80" s="665"/>
      <c r="N80" s="1146"/>
      <c r="O80" s="1146"/>
      <c r="P80" s="43"/>
      <c r="Q80" s="499"/>
    </row>
    <row r="81" spans="1:17" s="466" customFormat="1" ht="14.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8"/>
      <c r="O81" s="1148"/>
      <c r="P81" s="553"/>
      <c r="Q81" s="554"/>
    </row>
    <row r="82" spans="1:17" ht="14.5" thickTop="1">
      <c r="A82" s="594"/>
      <c r="B82" s="541" t="s">
        <v>2727</v>
      </c>
      <c r="C82" s="549"/>
      <c r="D82" s="549"/>
      <c r="E82" s="578"/>
      <c r="F82" s="578"/>
      <c r="G82" s="578"/>
      <c r="H82" s="578"/>
      <c r="I82" s="578"/>
      <c r="J82" s="578"/>
      <c r="K82" s="579"/>
      <c r="L82" s="580"/>
      <c r="M82" s="581"/>
      <c r="N82" s="1147"/>
      <c r="O82" s="1147"/>
      <c r="P82" s="43"/>
      <c r="Q82" s="499"/>
    </row>
    <row r="83" spans="1:17" ht="14.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8"/>
      <c r="O83" s="1148"/>
      <c r="P83" s="43"/>
      <c r="Q83" s="499"/>
    </row>
    <row r="84" spans="1:17" ht="14.5" thickTop="1">
      <c r="A84" s="594"/>
      <c r="B84" s="533" t="s">
        <v>2735</v>
      </c>
      <c r="C84" s="549"/>
      <c r="D84" s="549"/>
      <c r="E84" s="549"/>
      <c r="F84" s="549"/>
      <c r="G84" s="549"/>
      <c r="H84" s="549"/>
      <c r="I84" s="578"/>
      <c r="J84" s="578"/>
      <c r="K84" s="579"/>
      <c r="L84" s="580"/>
      <c r="M84" s="581"/>
      <c r="N84" s="1147"/>
      <c r="O84" s="1147"/>
      <c r="P84" s="43"/>
      <c r="Q84" s="499"/>
    </row>
    <row r="85" spans="1:17" ht="14.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8"/>
      <c r="O85" s="1148"/>
      <c r="P85" s="43"/>
      <c r="Q85" s="499"/>
    </row>
    <row r="86" spans="1:17" ht="14.5" thickTop="1">
      <c r="A86" s="594"/>
      <c r="B86" s="541" t="s">
        <v>2736</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7"/>
      <c r="O86" s="1147"/>
      <c r="P86" s="43"/>
      <c r="Q86" s="499"/>
    </row>
    <row r="87" spans="1:17">
      <c r="A87" s="594"/>
      <c r="B87" s="541"/>
      <c r="C87" s="590"/>
      <c r="D87" s="590"/>
      <c r="E87" s="590"/>
      <c r="F87" s="590"/>
      <c r="G87" s="590"/>
      <c r="H87" s="590"/>
      <c r="I87" s="590"/>
      <c r="J87" s="591"/>
      <c r="K87" s="591"/>
      <c r="L87" s="592"/>
      <c r="M87" s="593"/>
      <c r="N87" s="1147"/>
      <c r="O87" s="1147"/>
      <c r="P87" s="43"/>
      <c r="Q87" s="499"/>
    </row>
    <row r="88" spans="1:17" ht="14.5" thickBot="1">
      <c r="A88" s="529"/>
      <c r="B88" s="538"/>
      <c r="C88" s="555"/>
      <c r="D88" s="531"/>
      <c r="E88" s="531"/>
      <c r="F88" s="531"/>
      <c r="G88" s="531"/>
      <c r="H88" s="531"/>
      <c r="I88" s="531"/>
      <c r="J88" s="531"/>
      <c r="K88" s="531"/>
      <c r="L88" s="531"/>
      <c r="M88" s="531"/>
      <c r="N88" s="1148"/>
      <c r="O88" s="1148"/>
      <c r="P88" s="43"/>
      <c r="Q88" s="499"/>
    </row>
    <row r="89" spans="1:17" s="466" customFormat="1" ht="14.5" thickTop="1">
      <c r="A89" s="588"/>
      <c r="B89" s="533" t="s">
        <v>2737</v>
      </c>
      <c r="C89" s="549"/>
      <c r="D89" s="549"/>
      <c r="E89" s="549"/>
      <c r="F89" s="549"/>
      <c r="G89" s="549"/>
      <c r="H89" s="549"/>
      <c r="I89" s="549"/>
      <c r="J89" s="549"/>
      <c r="K89" s="549"/>
      <c r="L89" s="549"/>
      <c r="M89" s="576"/>
      <c r="N89" s="1149"/>
      <c r="O89" s="1149"/>
      <c r="P89" s="553"/>
      <c r="Q89" s="554"/>
    </row>
    <row r="90" spans="1:17" s="466" customFormat="1" ht="14.5" thickBot="1">
      <c r="A90" s="548"/>
      <c r="B90" s="538"/>
      <c r="C90" s="555"/>
      <c r="D90" s="531"/>
      <c r="E90" s="531"/>
      <c r="F90" s="531"/>
      <c r="G90" s="531"/>
      <c r="H90" s="531"/>
      <c r="I90" s="531"/>
      <c r="J90" s="531"/>
      <c r="K90" s="531"/>
      <c r="L90" s="531"/>
      <c r="M90" s="532"/>
      <c r="N90" s="1149"/>
      <c r="O90" s="1149"/>
      <c r="P90" s="553"/>
      <c r="Q90" s="554"/>
    </row>
    <row r="91" spans="1:17" ht="14.5" thickTop="1">
      <c r="A91" s="594"/>
      <c r="B91" s="533">
        <f>B32</f>
        <v>111</v>
      </c>
      <c r="C91" s="544"/>
      <c r="D91" s="544"/>
      <c r="E91" s="544"/>
      <c r="F91" s="544"/>
      <c r="G91" s="549"/>
      <c r="H91" s="550"/>
      <c r="I91" s="550"/>
      <c r="J91" s="550"/>
      <c r="K91" s="550"/>
      <c r="L91" s="551"/>
      <c r="M91" s="552"/>
      <c r="N91" s="1147"/>
      <c r="O91" s="1147"/>
      <c r="P91" s="43"/>
      <c r="Q91" s="499"/>
    </row>
    <row r="92" spans="1:17" ht="14.5" thickBot="1">
      <c r="A92" s="529"/>
      <c r="B92" s="538"/>
      <c r="C92" s="555"/>
      <c r="D92" s="531"/>
      <c r="E92" s="531"/>
      <c r="F92" s="531"/>
      <c r="G92" s="555"/>
      <c r="H92" s="557"/>
      <c r="I92" s="557"/>
      <c r="J92" s="557"/>
      <c r="K92" s="557"/>
      <c r="L92" s="557"/>
      <c r="M92" s="558"/>
      <c r="N92" s="1148"/>
      <c r="O92" s="1148"/>
      <c r="P92" s="43"/>
      <c r="Q92" s="499"/>
    </row>
    <row r="93" spans="1:17" ht="14.5" thickTop="1">
      <c r="A93" s="594"/>
      <c r="B93" s="533">
        <f>B33</f>
        <v>111</v>
      </c>
      <c r="C93" s="544"/>
      <c r="D93" s="544"/>
      <c r="E93" s="544"/>
      <c r="F93" s="544"/>
      <c r="G93" s="549"/>
      <c r="H93" s="550"/>
      <c r="I93" s="550"/>
      <c r="J93" s="550"/>
      <c r="K93" s="550"/>
      <c r="L93" s="551"/>
      <c r="M93" s="552"/>
      <c r="N93" s="1147"/>
      <c r="O93" s="1147"/>
      <c r="P93" s="43"/>
      <c r="Q93" s="499"/>
    </row>
    <row r="94" spans="1:17" ht="14.5" thickBot="1">
      <c r="A94" s="529"/>
      <c r="B94" s="538"/>
      <c r="C94" s="555"/>
      <c r="D94" s="531"/>
      <c r="E94" s="531"/>
      <c r="F94" s="531"/>
      <c r="G94" s="555"/>
      <c r="H94" s="557"/>
      <c r="I94" s="557"/>
      <c r="J94" s="557"/>
      <c r="K94" s="557"/>
      <c r="L94" s="557"/>
      <c r="M94" s="558"/>
      <c r="N94" s="1148"/>
      <c r="O94" s="1148"/>
      <c r="P94" s="43"/>
      <c r="Q94" s="499"/>
    </row>
    <row r="95" spans="1:17" ht="14.5" thickTop="1">
      <c r="A95" s="594"/>
      <c r="B95" s="631">
        <f>B34</f>
        <v>111</v>
      </c>
      <c r="C95" s="544"/>
      <c r="D95" s="544"/>
      <c r="E95" s="544"/>
      <c r="F95" s="544"/>
      <c r="G95" s="549"/>
      <c r="H95" s="550"/>
      <c r="I95" s="550"/>
      <c r="J95" s="550"/>
      <c r="K95" s="550"/>
      <c r="L95" s="551"/>
      <c r="M95" s="552"/>
      <c r="N95" s="1148"/>
      <c r="O95" s="1148"/>
      <c r="P95" s="632"/>
      <c r="Q95" s="633"/>
    </row>
    <row r="96" spans="1:17" ht="14.5" thickBot="1">
      <c r="A96" s="529"/>
      <c r="B96" s="538"/>
      <c r="C96" s="555"/>
      <c r="D96" s="555"/>
      <c r="E96" s="555"/>
      <c r="F96" s="555"/>
      <c r="G96" s="555"/>
      <c r="H96" s="557"/>
      <c r="I96" s="557"/>
      <c r="J96" s="557"/>
      <c r="K96" s="557"/>
      <c r="L96" s="557"/>
      <c r="M96" s="558"/>
      <c r="N96" s="1148"/>
      <c r="O96" s="1148"/>
      <c r="P96" s="43"/>
      <c r="Q96" s="499"/>
    </row>
    <row r="97" spans="1:20" ht="14.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10 E10 G10 I10" xr:uid="{00000000-0002-0000-2400-000003000000}">
      <formula1>土地年限区间</formula1>
    </dataValidation>
    <dataValidation type="list" allowBlank="1" showInputMessage="1" showErrorMessage="1" sqref="C8 E8 G8 I8" xr:uid="{00000000-0002-0000-2400-000004000000}">
      <formula1>仓储交易情况</formula1>
    </dataValidation>
    <dataValidation type="list" allowBlank="1" showInputMessage="1" showErrorMessage="1" sqref="E9 G9 I9" xr:uid="{00000000-0002-0000-2400-000005000000}">
      <formula1>仓储用途</formula1>
    </dataValidation>
    <dataValidation type="list" allowBlank="1" showInputMessage="1" showErrorMessage="1" sqref="C21 E21 G21 I21" xr:uid="{00000000-0002-0000-2400-000006000000}">
      <formula1>环境</formula1>
    </dataValidation>
    <dataValidation type="list" allowBlank="1" showInputMessage="1" showErrorMessage="1" sqref="C22 E22 G22 I22" xr:uid="{00000000-0002-0000-2400-000007000000}">
      <formula1>仓储楼层</formula1>
    </dataValidation>
    <dataValidation type="list" allowBlank="1" showInputMessage="1" showErrorMessage="1" sqref="C26 E26 G26 I26" xr:uid="{00000000-0002-0000-2400-000008000000}">
      <formula1>仓储公共部分装修</formula1>
    </dataValidation>
    <dataValidation type="list" allowBlank="1" showInputMessage="1" showErrorMessage="1" sqref="C29 E29 G29 I29" xr:uid="{00000000-0002-0000-2400-000009000000}">
      <formula1>有无电梯</formula1>
    </dataValidation>
    <dataValidation type="list" allowBlank="1" showInputMessage="1" showErrorMessage="1" sqref="C31 E31 G31 I31" xr:uid="{00000000-0002-0000-2400-00000A000000}">
      <formula1>是否封闭</formula1>
    </dataValidation>
    <dataValidation type="list" allowBlank="1" showInputMessage="1" showErrorMessage="1" sqref="B1" xr:uid="{00000000-0002-0000-2400-00000B000000}">
      <formula1>地类判定</formula1>
    </dataValidation>
    <dataValidation type="list" allowBlank="1" showInputMessage="1" showErrorMessage="1" sqref="C28 E28 G28 I28" xr:uid="{00000000-0002-0000-2400-00000C000000}">
      <formula1>仓储物业等级</formula1>
    </dataValidation>
    <dataValidation type="list" allowBlank="1" showInputMessage="1" showErrorMessage="1" sqref="C19 E19 G19 I19" xr:uid="{00000000-0002-0000-2400-00000D000000}">
      <formula1>基础设施水平</formula1>
    </dataValidation>
    <dataValidation type="list" allowBlank="1" showInputMessage="1" showErrorMessage="1" sqref="F1" xr:uid="{00000000-0002-0000-2400-00000E000000}">
      <formula1>"售价,租金"</formula1>
    </dataValidation>
    <dataValidation type="list" allowBlank="1" showInputMessage="1" showErrorMessage="1" sqref="C2" xr:uid="{00000000-0002-0000-2400-00000F000000}">
      <formula1>"需扣减承租人权益,——"</formula1>
    </dataValidation>
    <dataValidation type="list" allowBlank="1" showInputMessage="1" showErrorMessage="1" sqref="F2" xr:uid="{00000000-0002-0000-24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398" customWidth="1"/>
    <col min="2" max="2" width="15.90625" style="398" customWidth="1"/>
    <col min="3" max="3" width="14.3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39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393" customFormat="1" ht="28.5" customHeight="1">
      <c r="A1" s="389" t="s">
        <v>2738</v>
      </c>
      <c r="B1" s="390"/>
      <c r="C1" s="391" t="s">
        <v>2789</v>
      </c>
      <c r="D1" s="750"/>
      <c r="E1" s="750"/>
      <c r="F1" s="749" t="s">
        <v>2637</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2324</v>
      </c>
      <c r="B2" s="666" t="e">
        <f>F61</f>
        <v>#DIV/0!</v>
      </c>
      <c r="C2" s="1120"/>
      <c r="D2" s="1120"/>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3" customFormat="1" ht="28.5" customHeight="1" thickBot="1">
      <c r="A3" s="242" t="s">
        <v>2326</v>
      </c>
      <c r="B3" s="604" t="e">
        <f>ROUND(IF(D3="",B2*10000/'数据-汇总表'!E3,B2*10000/D3),0)</f>
        <v>#DIV/0!</v>
      </c>
      <c r="C3" s="242" t="s">
        <v>2740</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c r="A4" s="396" t="s">
        <v>2639</v>
      </c>
      <c r="B4" s="397"/>
      <c r="C4" s="3234" t="s">
        <v>2640</v>
      </c>
      <c r="D4" s="3247"/>
      <c r="E4" s="3248" t="s">
        <v>2641</v>
      </c>
      <c r="F4" s="3249"/>
      <c r="G4" s="3234" t="s">
        <v>2642</v>
      </c>
      <c r="H4" s="3247"/>
      <c r="I4" s="3234" t="s">
        <v>2643</v>
      </c>
      <c r="J4" s="3247"/>
      <c r="K4" s="605" t="s">
        <v>2644</v>
      </c>
      <c r="L4" s="1125"/>
      <c r="M4" s="1126"/>
      <c r="N4" s="1126"/>
      <c r="O4" s="1126"/>
      <c r="P4" s="3250" t="s">
        <v>2645</v>
      </c>
      <c r="Q4" s="3251"/>
      <c r="R4" s="3256" t="s">
        <v>2641</v>
      </c>
      <c r="S4" s="3257"/>
      <c r="T4" s="3256" t="s">
        <v>2642</v>
      </c>
      <c r="U4" s="3257"/>
      <c r="V4" s="3243" t="s">
        <v>2643</v>
      </c>
      <c r="W4" s="3243"/>
      <c r="X4" s="1808"/>
      <c r="Y4" s="3256" t="s">
        <v>2645</v>
      </c>
      <c r="Z4" s="3257"/>
      <c r="AA4" s="3244" t="s">
        <v>2641</v>
      </c>
      <c r="AB4" s="3245" t="s">
        <v>2642</v>
      </c>
      <c r="AC4" s="3244" t="s">
        <v>2643</v>
      </c>
    </row>
    <row r="5" spans="1:29">
      <c r="A5" s="399"/>
      <c r="B5" s="400"/>
      <c r="C5" s="3264" t="s">
        <v>2536</v>
      </c>
      <c r="D5" s="3265"/>
      <c r="E5" s="3271" t="s">
        <v>2537</v>
      </c>
      <c r="F5" s="3272"/>
      <c r="G5" s="3264" t="s">
        <v>2538</v>
      </c>
      <c r="H5" s="3265"/>
      <c r="I5" s="3264" t="s">
        <v>2539</v>
      </c>
      <c r="J5" s="3265"/>
      <c r="K5" s="605"/>
      <c r="L5" s="1125"/>
      <c r="M5" s="1126"/>
      <c r="N5" s="1126"/>
      <c r="O5" s="1126"/>
      <c r="P5" s="3252"/>
      <c r="Q5" s="3253"/>
      <c r="R5" s="3258"/>
      <c r="S5" s="3259"/>
      <c r="T5" s="3258"/>
      <c r="U5" s="3259"/>
      <c r="V5" s="3243"/>
      <c r="W5" s="3243"/>
      <c r="X5" s="1808"/>
      <c r="Y5" s="3258"/>
      <c r="Z5" s="3259"/>
      <c r="AA5" s="3245"/>
      <c r="AB5" s="3245"/>
      <c r="AC5" s="3245"/>
    </row>
    <row r="6" spans="1:29" ht="15" thickBot="1">
      <c r="A6" s="401"/>
      <c r="B6" s="402"/>
      <c r="C6" s="3329" t="s">
        <v>2790</v>
      </c>
      <c r="D6" s="3330"/>
      <c r="E6" s="3331" t="s">
        <v>2790</v>
      </c>
      <c r="F6" s="3332"/>
      <c r="G6" s="3329" t="s">
        <v>2790</v>
      </c>
      <c r="H6" s="3330"/>
      <c r="I6" s="3329" t="s">
        <v>2790</v>
      </c>
      <c r="J6" s="3330"/>
      <c r="K6" s="605" t="s">
        <v>2541</v>
      </c>
      <c r="L6" s="1125"/>
      <c r="M6" s="1126"/>
      <c r="N6" s="1126"/>
      <c r="O6" s="1126"/>
      <c r="P6" s="3254"/>
      <c r="Q6" s="3255"/>
      <c r="R6" s="3258"/>
      <c r="S6" s="3259"/>
      <c r="T6" s="3260"/>
      <c r="U6" s="3261"/>
      <c r="V6" s="3243"/>
      <c r="W6" s="3243"/>
      <c r="X6" s="1808"/>
      <c r="Y6" s="3260"/>
      <c r="Z6" s="3261"/>
      <c r="AA6" s="3246"/>
      <c r="AB6" s="3246"/>
      <c r="AC6" s="3246"/>
    </row>
    <row r="7" spans="1:29" s="114" customFormat="1" ht="14.5" thickBot="1">
      <c r="A7" s="403" t="s">
        <v>2542</v>
      </c>
      <c r="B7" s="404"/>
      <c r="C7" s="405">
        <f>'数据-取费表'!B2</f>
        <v>43903</v>
      </c>
      <c r="D7" s="406">
        <v>100</v>
      </c>
      <c r="E7" s="407"/>
      <c r="F7" s="408">
        <f>SUMIF(65:65,YEAR(E7)&amp;"-"&amp;INT((MONTH(E7)+2)/3),66:66)</f>
        <v>0</v>
      </c>
      <c r="G7" s="2682"/>
      <c r="H7" s="406">
        <f>SUMIF(65:65,YEAR(G7)&amp;"-"&amp;INT((MONTH(G7)+2)/3),66:66)</f>
        <v>0</v>
      </c>
      <c r="I7" s="2682"/>
      <c r="J7" s="406">
        <f>SUMIF(65:65,YEAR(I7)&amp;"-"&amp;INT((MONTH(I7)+2)/3),66:66)</f>
        <v>0</v>
      </c>
      <c r="K7" s="606"/>
      <c r="L7" s="1127"/>
      <c r="M7" s="1128"/>
      <c r="N7" s="1128"/>
      <c r="O7" s="1128"/>
      <c r="P7" s="3266" t="s">
        <v>2543</v>
      </c>
      <c r="Q7" s="3268"/>
      <c r="R7" s="765" t="s">
        <v>17</v>
      </c>
      <c r="S7" s="766">
        <f t="shared" ref="S7:S15" si="0">F7</f>
        <v>0</v>
      </c>
      <c r="T7" s="765" t="s">
        <v>17</v>
      </c>
      <c r="U7" s="766">
        <f t="shared" ref="U7:U15" si="1">H7</f>
        <v>0</v>
      </c>
      <c r="V7" s="765" t="s">
        <v>17</v>
      </c>
      <c r="W7" s="766">
        <f t="shared" ref="W7:W15" si="2">J7</f>
        <v>0</v>
      </c>
      <c r="X7" s="767"/>
      <c r="Y7" s="3266" t="s">
        <v>2543</v>
      </c>
      <c r="Z7" s="3267"/>
      <c r="AA7" s="768" t="e">
        <f>D7/F7</f>
        <v>#DIV/0!</v>
      </c>
      <c r="AB7" s="768" t="e">
        <f>D7/H7</f>
        <v>#DIV/0!</v>
      </c>
      <c r="AC7" s="768" t="e">
        <f>D7/J7</f>
        <v>#DIV/0!</v>
      </c>
    </row>
    <row r="8" spans="1:29" s="114" customFormat="1" ht="14.5" thickBot="1">
      <c r="A8" s="403" t="s">
        <v>2544</v>
      </c>
      <c r="B8" s="404"/>
      <c r="C8" s="409" t="s">
        <v>2545</v>
      </c>
      <c r="D8" s="406">
        <v>100</v>
      </c>
      <c r="E8" s="409"/>
      <c r="F8" s="408">
        <f>SUMIF(68:68,E8,69:69)-SUMIF(68:68,C8,69:69)+100</f>
        <v>0</v>
      </c>
      <c r="G8" s="409"/>
      <c r="H8" s="406">
        <f>SUMIF(68:68,G8,69:69)-SUMIF(68:68,C8,69:69)+100</f>
        <v>0</v>
      </c>
      <c r="I8" s="409"/>
      <c r="J8" s="406">
        <f>SUMIF(68:68,I8,69:69)-SUMIF(68:68,C8,69:69)+100</f>
        <v>0</v>
      </c>
      <c r="K8" s="606"/>
      <c r="L8" s="1127"/>
      <c r="M8" s="1128"/>
      <c r="N8" s="1128"/>
      <c r="O8" s="1128"/>
      <c r="P8" s="3266" t="s">
        <v>2546</v>
      </c>
      <c r="Q8" s="3267"/>
      <c r="R8" s="765" t="s">
        <v>17</v>
      </c>
      <c r="S8" s="766">
        <f t="shared" si="0"/>
        <v>0</v>
      </c>
      <c r="T8" s="765" t="s">
        <v>17</v>
      </c>
      <c r="U8" s="766">
        <f t="shared" si="1"/>
        <v>0</v>
      </c>
      <c r="V8" s="765" t="s">
        <v>17</v>
      </c>
      <c r="W8" s="766">
        <f t="shared" si="2"/>
        <v>0</v>
      </c>
      <c r="X8" s="767"/>
      <c r="Y8" s="3266" t="s">
        <v>2546</v>
      </c>
      <c r="Z8" s="3267"/>
      <c r="AA8" s="768" t="e">
        <f t="shared" ref="AA8:AA40" si="3">D8/F8</f>
        <v>#DIV/0!</v>
      </c>
      <c r="AB8" s="768" t="e">
        <f t="shared" ref="AB8:AB40" si="4">D8/H8</f>
        <v>#DIV/0!</v>
      </c>
      <c r="AC8" s="768" t="e">
        <f t="shared" ref="AC8:AC40" si="5">D8/J8</f>
        <v>#DIV/0!</v>
      </c>
    </row>
    <row r="9" spans="1:29" s="114" customFormat="1">
      <c r="A9" s="410" t="s">
        <v>2547</v>
      </c>
      <c r="B9" s="68" t="s">
        <v>2548</v>
      </c>
      <c r="C9" s="2685"/>
      <c r="D9" s="130">
        <v>100</v>
      </c>
      <c r="E9" s="2685"/>
      <c r="F9" s="130">
        <f>SUMIF(70:70,E9,71:71)-SUMIF(70:70,C9,71:71)+100</f>
        <v>100</v>
      </c>
      <c r="G9" s="2685"/>
      <c r="H9" s="130">
        <f>SUMIF(70:70,G9,71:71)-SUMIF(70:70,C9,71:71)+100</f>
        <v>100</v>
      </c>
      <c r="I9" s="2685"/>
      <c r="J9" s="130">
        <f>SUMIF(70:70,I9,71:71)-SUMIF(70:70,C9,71:71)+100</f>
        <v>100</v>
      </c>
      <c r="K9" s="606"/>
      <c r="L9" s="1127"/>
      <c r="M9" s="1128"/>
      <c r="N9" s="1128"/>
      <c r="O9" s="1129"/>
      <c r="P9" s="3237" t="s">
        <v>2549</v>
      </c>
      <c r="Q9" s="1790" t="str">
        <f t="shared" ref="Q9:Q15" si="6">B9</f>
        <v>用途</v>
      </c>
      <c r="R9" s="765" t="s">
        <v>17</v>
      </c>
      <c r="S9" s="766">
        <f t="shared" si="0"/>
        <v>100</v>
      </c>
      <c r="T9" s="765" t="s">
        <v>17</v>
      </c>
      <c r="U9" s="766">
        <f t="shared" si="1"/>
        <v>100</v>
      </c>
      <c r="V9" s="765" t="s">
        <v>17</v>
      </c>
      <c r="W9" s="766">
        <f t="shared" si="2"/>
        <v>100</v>
      </c>
      <c r="X9" s="767"/>
      <c r="Y9" s="3085" t="s">
        <v>2550</v>
      </c>
      <c r="Z9" s="52" t="str">
        <f t="shared" ref="Z9:Z15" si="7">Q9</f>
        <v>用途</v>
      </c>
      <c r="AA9" s="768">
        <f t="shared" si="3"/>
        <v>1</v>
      </c>
      <c r="AB9" s="768">
        <f t="shared" si="4"/>
        <v>1</v>
      </c>
      <c r="AC9" s="768">
        <f t="shared" si="5"/>
        <v>1</v>
      </c>
    </row>
    <row r="10" spans="1:29" s="422" customFormat="1" ht="28">
      <c r="A10" s="416"/>
      <c r="B10" s="417" t="s">
        <v>2551</v>
      </c>
      <c r="C10" s="427"/>
      <c r="D10" s="131">
        <v>100</v>
      </c>
      <c r="E10" s="427"/>
      <c r="F10" s="131">
        <f>ROUND(100/'数据-取费表'!G16,0)</f>
        <v>103</v>
      </c>
      <c r="G10" s="427"/>
      <c r="H10" s="131">
        <f>ROUND(100/'数据-取费表'!G16,0)</f>
        <v>103</v>
      </c>
      <c r="I10" s="427"/>
      <c r="J10" s="131">
        <f>ROUND(100/'数据-取费表'!G16,0)</f>
        <v>103</v>
      </c>
      <c r="K10" s="667"/>
      <c r="L10" s="1130"/>
      <c r="M10" s="1131"/>
      <c r="N10" s="1131"/>
      <c r="O10" s="1132"/>
      <c r="P10" s="3237"/>
      <c r="Q10" s="1790" t="str">
        <f t="shared" si="6"/>
        <v>土地使用年限（年）</v>
      </c>
      <c r="R10" s="765" t="s">
        <v>17</v>
      </c>
      <c r="S10" s="766">
        <f t="shared" si="0"/>
        <v>103</v>
      </c>
      <c r="T10" s="765" t="s">
        <v>17</v>
      </c>
      <c r="U10" s="766">
        <f t="shared" si="1"/>
        <v>103</v>
      </c>
      <c r="V10" s="765" t="s">
        <v>17</v>
      </c>
      <c r="W10" s="766">
        <f t="shared" si="2"/>
        <v>103</v>
      </c>
      <c r="X10" s="767"/>
      <c r="Y10" s="3085"/>
      <c r="Z10" s="52" t="str">
        <f t="shared" si="7"/>
        <v>土地使用年限（年）</v>
      </c>
      <c r="AA10" s="768">
        <f t="shared" si="3"/>
        <v>0.970873786407767</v>
      </c>
      <c r="AB10" s="768">
        <f t="shared" si="4"/>
        <v>0.970873786407767</v>
      </c>
      <c r="AC10" s="768">
        <f t="shared" si="5"/>
        <v>0.970873786407767</v>
      </c>
    </row>
    <row r="11" spans="1:29" ht="15.5">
      <c r="A11" s="423"/>
      <c r="B11" s="417" t="s">
        <v>2552</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3"/>
      <c r="M11" s="1126"/>
      <c r="N11" s="1126"/>
      <c r="O11" s="1134"/>
      <c r="P11" s="3237"/>
      <c r="Q11" s="1790" t="str">
        <f t="shared" si="6"/>
        <v>容积率</v>
      </c>
      <c r="R11" s="765" t="s">
        <v>17</v>
      </c>
      <c r="S11" s="766" t="e">
        <f t="shared" si="0"/>
        <v>#N/A</v>
      </c>
      <c r="T11" s="765" t="s">
        <v>17</v>
      </c>
      <c r="U11" s="766" t="e">
        <f t="shared" si="1"/>
        <v>#N/A</v>
      </c>
      <c r="V11" s="765" t="s">
        <v>17</v>
      </c>
      <c r="W11" s="766" t="e">
        <f t="shared" si="2"/>
        <v>#N/A</v>
      </c>
      <c r="X11" s="767"/>
      <c r="Y11" s="3085"/>
      <c r="Z11" s="52" t="str">
        <f t="shared" si="7"/>
        <v>容积率</v>
      </c>
      <c r="AA11" s="768" t="e">
        <f t="shared" si="3"/>
        <v>#N/A</v>
      </c>
      <c r="AB11" s="768" t="e">
        <f t="shared" si="4"/>
        <v>#N/A</v>
      </c>
      <c r="AC11" s="768" t="e">
        <f t="shared" si="5"/>
        <v>#N/A</v>
      </c>
    </row>
    <row r="12" spans="1:29" s="114" customFormat="1" ht="15.5">
      <c r="A12" s="426"/>
      <c r="B12" s="2587">
        <v>111</v>
      </c>
      <c r="C12" s="427"/>
      <c r="D12" s="428">
        <v>100</v>
      </c>
      <c r="E12" s="544"/>
      <c r="F12" s="131">
        <f>SUMIF(77:77,E12,78:78)-SUMIF(77:77,C12,78:78)+100</f>
        <v>100</v>
      </c>
      <c r="G12" s="669"/>
      <c r="H12" s="131">
        <f>SUMIF(77:77,G12,78:78)-SUMIF(77:77,C12,78:78)+100</f>
        <v>100</v>
      </c>
      <c r="I12" s="544"/>
      <c r="J12" s="131">
        <f>SUMIF(77:77,I12,78:78)-SUMIF(77:77,C12,78:78)+100</f>
        <v>100</v>
      </c>
      <c r="K12" s="667"/>
      <c r="L12" s="1127"/>
      <c r="M12" s="1128"/>
      <c r="N12" s="1128"/>
      <c r="O12" s="1129"/>
      <c r="P12" s="3237"/>
      <c r="Q12" s="1790">
        <f t="shared" si="6"/>
        <v>111</v>
      </c>
      <c r="R12" s="765" t="s">
        <v>17</v>
      </c>
      <c r="S12" s="766">
        <f t="shared" si="0"/>
        <v>100</v>
      </c>
      <c r="T12" s="765" t="s">
        <v>17</v>
      </c>
      <c r="U12" s="766">
        <f t="shared" si="1"/>
        <v>100</v>
      </c>
      <c r="V12" s="765" t="s">
        <v>17</v>
      </c>
      <c r="W12" s="766">
        <f t="shared" si="2"/>
        <v>100</v>
      </c>
      <c r="X12" s="767"/>
      <c r="Y12" s="3085"/>
      <c r="Z12" s="52">
        <f t="shared" si="7"/>
        <v>111</v>
      </c>
      <c r="AA12" s="768">
        <f>D12/F12</f>
        <v>1</v>
      </c>
      <c r="AB12" s="768">
        <f>D12/H12</f>
        <v>1</v>
      </c>
      <c r="AC12" s="768">
        <f>D12/J12</f>
        <v>1</v>
      </c>
    </row>
    <row r="13" spans="1:29" ht="15.5">
      <c r="A13" s="423"/>
      <c r="B13" s="2587">
        <v>111</v>
      </c>
      <c r="C13" s="429"/>
      <c r="D13" s="430">
        <v>100</v>
      </c>
      <c r="E13" s="544"/>
      <c r="F13" s="131">
        <f>SUMIF(79:79,E13,80:80)-SUMIF(79:79,C13,80:80)+100</f>
        <v>100</v>
      </c>
      <c r="G13" s="669"/>
      <c r="H13" s="430">
        <f>SUMIF(79:79,G13,80:80)-SUMIF(79:79,C13,80:80)+100</f>
        <v>100</v>
      </c>
      <c r="I13" s="544"/>
      <c r="J13" s="430">
        <f>SUMIF(79:79,I13,80:80)-SUMIF(79:79,C13,80:80)+100</f>
        <v>100</v>
      </c>
      <c r="K13" s="667"/>
      <c r="L13" s="1135"/>
      <c r="M13" s="1126"/>
      <c r="N13" s="1126"/>
      <c r="O13" s="1134"/>
      <c r="P13" s="3237"/>
      <c r="Q13" s="1790">
        <f t="shared" si="6"/>
        <v>111</v>
      </c>
      <c r="R13" s="765" t="s">
        <v>17</v>
      </c>
      <c r="S13" s="766">
        <f t="shared" si="0"/>
        <v>100</v>
      </c>
      <c r="T13" s="765" t="s">
        <v>17</v>
      </c>
      <c r="U13" s="766">
        <f t="shared" si="1"/>
        <v>100</v>
      </c>
      <c r="V13" s="765" t="s">
        <v>17</v>
      </c>
      <c r="W13" s="766">
        <f t="shared" si="2"/>
        <v>100</v>
      </c>
      <c r="X13" s="767"/>
      <c r="Y13" s="3085"/>
      <c r="Z13" s="52">
        <f t="shared" si="7"/>
        <v>111</v>
      </c>
      <c r="AA13" s="768">
        <f t="shared" si="3"/>
        <v>1</v>
      </c>
      <c r="AB13" s="768">
        <f t="shared" si="4"/>
        <v>1</v>
      </c>
      <c r="AC13" s="768">
        <f t="shared" si="5"/>
        <v>1</v>
      </c>
    </row>
    <row r="14" spans="1:29" ht="16" thickBot="1">
      <c r="A14" s="431"/>
      <c r="B14" s="2589">
        <v>111</v>
      </c>
      <c r="C14" s="432"/>
      <c r="D14" s="433">
        <v>100</v>
      </c>
      <c r="E14" s="544"/>
      <c r="F14" s="433">
        <f>SUMIF(81:81,E14,82:82)-SUMIF(81:81,C14,82:82)+100</f>
        <v>100</v>
      </c>
      <c r="G14" s="669"/>
      <c r="H14" s="433">
        <f>SUMIF(81:81,G14,82:82)-SUMIF(81:81,C14,82:82)+100</f>
        <v>100</v>
      </c>
      <c r="I14" s="544"/>
      <c r="J14" s="433">
        <f>SUMIF(81:81,I14,82:82)-SUMIF(81:81,C14,82:82)+100</f>
        <v>100</v>
      </c>
      <c r="K14" s="667"/>
      <c r="L14" s="1135"/>
      <c r="M14" s="1126"/>
      <c r="N14" s="1126"/>
      <c r="O14" s="1134"/>
      <c r="P14" s="3237"/>
      <c r="Q14" s="1790">
        <f t="shared" si="6"/>
        <v>111</v>
      </c>
      <c r="R14" s="765" t="s">
        <v>17</v>
      </c>
      <c r="S14" s="766">
        <f t="shared" si="0"/>
        <v>100</v>
      </c>
      <c r="T14" s="765" t="s">
        <v>17</v>
      </c>
      <c r="U14" s="766">
        <f t="shared" si="1"/>
        <v>100</v>
      </c>
      <c r="V14" s="765" t="s">
        <v>17</v>
      </c>
      <c r="W14" s="766">
        <f t="shared" si="2"/>
        <v>100</v>
      </c>
      <c r="X14" s="767"/>
      <c r="Y14" s="3085"/>
      <c r="Z14" s="52">
        <f t="shared" si="7"/>
        <v>111</v>
      </c>
      <c r="AA14" s="768">
        <f t="shared" si="3"/>
        <v>1</v>
      </c>
      <c r="AB14" s="768">
        <f t="shared" si="4"/>
        <v>1</v>
      </c>
      <c r="AC14" s="768">
        <f t="shared" si="5"/>
        <v>1</v>
      </c>
    </row>
    <row r="15" spans="1:29" ht="70">
      <c r="A15" s="435" t="s">
        <v>2553</v>
      </c>
      <c r="B15" s="624" t="s">
        <v>2791</v>
      </c>
      <c r="C15" s="2679"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5"/>
      <c r="M15" s="1126"/>
      <c r="N15" s="1126"/>
      <c r="O15" s="1134"/>
      <c r="P15" s="3239" t="s">
        <v>2554</v>
      </c>
      <c r="Q15" s="1805" t="str">
        <f t="shared" si="6"/>
        <v>产业集聚程度</v>
      </c>
      <c r="R15" s="769" t="s">
        <v>17</v>
      </c>
      <c r="S15" s="770">
        <f t="shared" si="0"/>
        <v>100</v>
      </c>
      <c r="T15" s="769" t="s">
        <v>17</v>
      </c>
      <c r="U15" s="770">
        <f t="shared" si="1"/>
        <v>100</v>
      </c>
      <c r="V15" s="769" t="s">
        <v>17</v>
      </c>
      <c r="W15" s="770">
        <f t="shared" si="2"/>
        <v>100</v>
      </c>
      <c r="X15" s="1808"/>
      <c r="Y15" s="3239" t="s">
        <v>2554</v>
      </c>
      <c r="Z15" s="1809" t="str">
        <f t="shared" si="7"/>
        <v>产业集聚程度</v>
      </c>
      <c r="AA15" s="1806">
        <f t="shared" si="3"/>
        <v>1</v>
      </c>
      <c r="AB15" s="1806">
        <f t="shared" si="4"/>
        <v>1</v>
      </c>
      <c r="AC15" s="1806">
        <f t="shared" si="5"/>
        <v>1</v>
      </c>
    </row>
    <row r="16" spans="1:29" ht="15.5">
      <c r="A16" s="423"/>
      <c r="B16" s="625"/>
      <c r="C16" s="442"/>
      <c r="D16" s="443"/>
      <c r="E16" s="2598"/>
      <c r="F16" s="443"/>
      <c r="G16" s="2598"/>
      <c r="H16" s="445"/>
      <c r="I16" s="2598"/>
      <c r="J16" s="443"/>
      <c r="K16" s="667"/>
      <c r="L16" s="1135"/>
      <c r="M16" s="1126"/>
      <c r="N16" s="1126"/>
      <c r="O16" s="1134"/>
      <c r="P16" s="3240"/>
      <c r="Q16" s="1805"/>
      <c r="R16" s="769"/>
      <c r="S16" s="770"/>
      <c r="T16" s="769"/>
      <c r="U16" s="770"/>
      <c r="V16" s="769"/>
      <c r="W16" s="770"/>
      <c r="X16" s="1808"/>
      <c r="Y16" s="3240"/>
      <c r="Z16" s="1809"/>
      <c r="AA16" s="1806">
        <v>1</v>
      </c>
      <c r="AB16" s="1806">
        <v>1</v>
      </c>
      <c r="AC16" s="1806">
        <v>1</v>
      </c>
    </row>
    <row r="17" spans="1:29" ht="98">
      <c r="A17" s="423"/>
      <c r="B17" s="626" t="s">
        <v>2703</v>
      </c>
      <c r="C17" s="2594"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5"/>
      <c r="M17" s="1126"/>
      <c r="N17" s="1126"/>
      <c r="O17" s="1134"/>
      <c r="P17" s="3240"/>
      <c r="Q17" s="1805" t="str">
        <f>B17</f>
        <v>交通便捷度</v>
      </c>
      <c r="R17" s="769" t="s">
        <v>17</v>
      </c>
      <c r="S17" s="770">
        <f>F17</f>
        <v>100</v>
      </c>
      <c r="T17" s="769" t="s">
        <v>17</v>
      </c>
      <c r="U17" s="770">
        <f>H17</f>
        <v>100</v>
      </c>
      <c r="V17" s="769" t="s">
        <v>17</v>
      </c>
      <c r="W17" s="770">
        <f>J17</f>
        <v>100</v>
      </c>
      <c r="X17" s="1808"/>
      <c r="Y17" s="3240"/>
      <c r="Z17" s="1809" t="str">
        <f>Q17</f>
        <v>交通便捷度</v>
      </c>
      <c r="AA17" s="1806">
        <f t="shared" si="3"/>
        <v>1</v>
      </c>
      <c r="AB17" s="1806">
        <f t="shared" si="4"/>
        <v>1</v>
      </c>
      <c r="AC17" s="1806">
        <f t="shared" si="5"/>
        <v>1</v>
      </c>
    </row>
    <row r="18" spans="1:29" ht="15.5">
      <c r="A18" s="423"/>
      <c r="B18" s="627"/>
      <c r="C18" s="442"/>
      <c r="D18" s="443"/>
      <c r="E18" s="2592"/>
      <c r="F18" s="443"/>
      <c r="G18" s="2592"/>
      <c r="H18" s="443"/>
      <c r="I18" s="2591"/>
      <c r="J18" s="443"/>
      <c r="K18" s="667"/>
      <c r="L18" s="1135"/>
      <c r="M18" s="1126"/>
      <c r="N18" s="1126"/>
      <c r="O18" s="1134"/>
      <c r="P18" s="3240"/>
      <c r="Q18" s="1805"/>
      <c r="R18" s="769"/>
      <c r="S18" s="770"/>
      <c r="T18" s="769"/>
      <c r="U18" s="770"/>
      <c r="V18" s="769"/>
      <c r="W18" s="770"/>
      <c r="X18" s="1808"/>
      <c r="Y18" s="3240"/>
      <c r="Z18" s="1809"/>
      <c r="AA18" s="1806">
        <v>1</v>
      </c>
      <c r="AB18" s="1806">
        <v>1</v>
      </c>
      <c r="AC18" s="1806">
        <v>1</v>
      </c>
    </row>
    <row r="19" spans="1:29" ht="28">
      <c r="A19" s="423"/>
      <c r="B19" s="626" t="s">
        <v>2741</v>
      </c>
      <c r="C19" s="2594">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5"/>
      <c r="M19" s="1126"/>
      <c r="N19" s="1126"/>
      <c r="O19" s="1134"/>
      <c r="P19" s="3240"/>
      <c r="Q19" s="1805" t="str">
        <f t="shared" ref="Q19:Q33" si="8">B19</f>
        <v>区域土地利用方向</v>
      </c>
      <c r="R19" s="769" t="s">
        <v>17</v>
      </c>
      <c r="S19" s="770">
        <f>F19</f>
        <v>100</v>
      </c>
      <c r="T19" s="769" t="s">
        <v>17</v>
      </c>
      <c r="U19" s="770">
        <f>H19</f>
        <v>100</v>
      </c>
      <c r="V19" s="769" t="s">
        <v>17</v>
      </c>
      <c r="W19" s="770">
        <f>J19</f>
        <v>100</v>
      </c>
      <c r="X19" s="1808"/>
      <c r="Y19" s="3240"/>
      <c r="Z19" s="1809" t="str">
        <f>Q19</f>
        <v>区域土地利用方向</v>
      </c>
      <c r="AA19" s="1806">
        <f t="shared" si="3"/>
        <v>1</v>
      </c>
      <c r="AB19" s="1806">
        <f t="shared" si="4"/>
        <v>1</v>
      </c>
      <c r="AC19" s="1806">
        <f t="shared" si="5"/>
        <v>1</v>
      </c>
    </row>
    <row r="20" spans="1:29" ht="15.5">
      <c r="A20" s="399"/>
      <c r="B20" s="627"/>
      <c r="C20" s="442"/>
      <c r="D20" s="443"/>
      <c r="E20" s="2592"/>
      <c r="F20" s="443"/>
      <c r="G20" s="2592"/>
      <c r="H20" s="443"/>
      <c r="I20" s="2592"/>
      <c r="J20" s="443"/>
      <c r="K20" s="807"/>
      <c r="L20" s="1135"/>
      <c r="M20" s="1126"/>
      <c r="N20" s="1126"/>
      <c r="O20" s="1134"/>
      <c r="P20" s="3240"/>
      <c r="Q20" s="1805"/>
      <c r="R20" s="769"/>
      <c r="S20" s="770"/>
      <c r="T20" s="769"/>
      <c r="U20" s="770"/>
      <c r="V20" s="769"/>
      <c r="W20" s="770"/>
      <c r="X20" s="1808"/>
      <c r="Y20" s="3240"/>
      <c r="Z20" s="1809"/>
      <c r="AA20" s="1806"/>
      <c r="AB20" s="1806"/>
      <c r="AC20" s="1806"/>
    </row>
    <row r="21" spans="1:29" ht="84">
      <c r="A21" s="399"/>
      <c r="B21" s="626" t="s">
        <v>2792</v>
      </c>
      <c r="C21" s="2594"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5"/>
      <c r="M21" s="1126"/>
      <c r="N21" s="1126"/>
      <c r="O21" s="1134"/>
      <c r="P21" s="3240"/>
      <c r="Q21" s="1805" t="str">
        <f t="shared" si="8"/>
        <v>环境状况</v>
      </c>
      <c r="R21" s="769" t="s">
        <v>17</v>
      </c>
      <c r="S21" s="770">
        <f>F21</f>
        <v>100</v>
      </c>
      <c r="T21" s="769" t="s">
        <v>17</v>
      </c>
      <c r="U21" s="770">
        <f>H21</f>
        <v>100</v>
      </c>
      <c r="V21" s="769" t="s">
        <v>17</v>
      </c>
      <c r="W21" s="770">
        <f>J21</f>
        <v>100</v>
      </c>
      <c r="X21" s="1808"/>
      <c r="Y21" s="3240"/>
      <c r="Z21" s="1809" t="str">
        <f>Q21</f>
        <v>环境状况</v>
      </c>
      <c r="AA21" s="1806">
        <f t="shared" si="3"/>
        <v>1</v>
      </c>
      <c r="AB21" s="1806">
        <f t="shared" si="4"/>
        <v>1</v>
      </c>
      <c r="AC21" s="1806">
        <f t="shared" si="5"/>
        <v>1</v>
      </c>
    </row>
    <row r="22" spans="1:29" ht="15.5">
      <c r="A22" s="399"/>
      <c r="B22" s="627"/>
      <c r="C22" s="442"/>
      <c r="D22" s="443"/>
      <c r="E22" s="2598"/>
      <c r="F22" s="443"/>
      <c r="G22" s="2598"/>
      <c r="H22" s="443"/>
      <c r="I22" s="442"/>
      <c r="J22" s="443"/>
      <c r="K22" s="667"/>
      <c r="L22" s="1135"/>
      <c r="M22" s="1126"/>
      <c r="N22" s="1126"/>
      <c r="O22" s="1134"/>
      <c r="P22" s="3240"/>
      <c r="Q22" s="1805"/>
      <c r="R22" s="769"/>
      <c r="S22" s="770"/>
      <c r="T22" s="769"/>
      <c r="U22" s="770"/>
      <c r="V22" s="769"/>
      <c r="W22" s="770"/>
      <c r="X22" s="1808"/>
      <c r="Y22" s="3240"/>
      <c r="Z22" s="1809"/>
      <c r="AA22" s="1806">
        <v>1</v>
      </c>
      <c r="AB22" s="1806">
        <v>1</v>
      </c>
      <c r="AC22" s="1806">
        <v>1</v>
      </c>
    </row>
    <row r="23" spans="1:29" s="114" customFormat="1" ht="42">
      <c r="A23" s="644"/>
      <c r="B23" s="628" t="s">
        <v>2648</v>
      </c>
      <c r="C23" s="2594"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7"/>
      <c r="M23" s="1128"/>
      <c r="N23" s="1128"/>
      <c r="O23" s="1129"/>
      <c r="P23" s="3240"/>
      <c r="Q23" s="1790" t="str">
        <f t="shared" si="8"/>
        <v>公共配套设施</v>
      </c>
      <c r="R23" s="765" t="s">
        <v>17</v>
      </c>
      <c r="S23" s="766">
        <f>F23</f>
        <v>100</v>
      </c>
      <c r="T23" s="765" t="s">
        <v>17</v>
      </c>
      <c r="U23" s="766">
        <f>H23</f>
        <v>100</v>
      </c>
      <c r="V23" s="765" t="s">
        <v>17</v>
      </c>
      <c r="W23" s="766">
        <f>J23</f>
        <v>100</v>
      </c>
      <c r="X23" s="767"/>
      <c r="Y23" s="3240"/>
      <c r="Z23" s="52" t="str">
        <f>Q23</f>
        <v>公共配套设施</v>
      </c>
      <c r="AA23" s="1806">
        <f>D23/F23</f>
        <v>1</v>
      </c>
      <c r="AB23" s="1806">
        <f>D23/H23</f>
        <v>1</v>
      </c>
      <c r="AC23" s="1806">
        <f>D23/J23</f>
        <v>1</v>
      </c>
    </row>
    <row r="24" spans="1:29" s="114" customFormat="1" ht="15.5">
      <c r="A24" s="644"/>
      <c r="B24" s="627"/>
      <c r="C24" s="2686"/>
      <c r="D24" s="443"/>
      <c r="E24" s="2598"/>
      <c r="F24" s="443"/>
      <c r="G24" s="2598"/>
      <c r="H24" s="443"/>
      <c r="I24" s="442"/>
      <c r="J24" s="443"/>
      <c r="K24" s="667"/>
      <c r="L24" s="1127"/>
      <c r="M24" s="1128"/>
      <c r="N24" s="1128"/>
      <c r="O24" s="1129"/>
      <c r="P24" s="3240"/>
      <c r="Q24" s="1790"/>
      <c r="R24" s="765"/>
      <c r="S24" s="766"/>
      <c r="T24" s="765"/>
      <c r="U24" s="766"/>
      <c r="V24" s="765"/>
      <c r="W24" s="766"/>
      <c r="X24" s="767"/>
      <c r="Y24" s="3240"/>
      <c r="Z24" s="52"/>
      <c r="AA24" s="768">
        <v>1</v>
      </c>
      <c r="AB24" s="768">
        <v>1</v>
      </c>
      <c r="AC24" s="768">
        <v>1</v>
      </c>
    </row>
    <row r="25" spans="1:29" s="114" customFormat="1" ht="42">
      <c r="A25" s="644"/>
      <c r="B25" s="628" t="s">
        <v>2649</v>
      </c>
      <c r="C25" s="2594"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7"/>
      <c r="M25" s="1128"/>
      <c r="N25" s="1128"/>
      <c r="O25" s="1129"/>
      <c r="P25" s="3240"/>
      <c r="Q25" s="1790" t="str">
        <f t="shared" ref="Q25" si="9">B25</f>
        <v>基础设施水平</v>
      </c>
      <c r="R25" s="765" t="s">
        <v>17</v>
      </c>
      <c r="S25" s="766">
        <f>F25</f>
        <v>100</v>
      </c>
      <c r="T25" s="765" t="s">
        <v>17</v>
      </c>
      <c r="U25" s="766">
        <f>H25</f>
        <v>100</v>
      </c>
      <c r="V25" s="765" t="s">
        <v>17</v>
      </c>
      <c r="W25" s="766">
        <f>J25</f>
        <v>100</v>
      </c>
      <c r="X25" s="767"/>
      <c r="Y25" s="3240"/>
      <c r="Z25" s="52" t="str">
        <f>Q25</f>
        <v>基础设施水平</v>
      </c>
      <c r="AA25" s="1806">
        <f>D25/F25</f>
        <v>1</v>
      </c>
      <c r="AB25" s="1806">
        <f>D25/H25</f>
        <v>1</v>
      </c>
      <c r="AC25" s="1806">
        <f>D25/J25</f>
        <v>1</v>
      </c>
    </row>
    <row r="26" spans="1:29" s="114" customFormat="1" ht="15.5">
      <c r="A26" s="644"/>
      <c r="B26" s="627"/>
      <c r="C26" s="2686"/>
      <c r="D26" s="443"/>
      <c r="E26" s="2687"/>
      <c r="F26" s="443"/>
      <c r="G26" s="2687"/>
      <c r="H26" s="443"/>
      <c r="I26" s="2687"/>
      <c r="J26" s="443"/>
      <c r="K26" s="667"/>
      <c r="L26" s="1127"/>
      <c r="M26" s="1128"/>
      <c r="N26" s="1128"/>
      <c r="O26" s="1129"/>
      <c r="P26" s="3240"/>
      <c r="Q26" s="1790"/>
      <c r="R26" s="765"/>
      <c r="S26" s="766"/>
      <c r="T26" s="765"/>
      <c r="U26" s="766"/>
      <c r="V26" s="765"/>
      <c r="W26" s="766"/>
      <c r="X26" s="767"/>
      <c r="Y26" s="3240"/>
      <c r="Z26" s="52"/>
      <c r="AA26" s="768">
        <v>1</v>
      </c>
      <c r="AB26" s="768">
        <v>1</v>
      </c>
      <c r="AC26" s="768">
        <v>1</v>
      </c>
    </row>
    <row r="27" spans="1:29" ht="15.5">
      <c r="A27" s="423"/>
      <c r="B27" s="627" t="s">
        <v>2650</v>
      </c>
      <c r="C27" s="611"/>
      <c r="D27" s="430">
        <v>100</v>
      </c>
      <c r="E27" s="629"/>
      <c r="F27" s="430">
        <f>SUMIF(95:95,E27,96:96)-SUMIF(95:95,C27,96:96)+100</f>
        <v>100</v>
      </c>
      <c r="G27" s="629"/>
      <c r="H27" s="430">
        <f>SUMIF(95:95,G27,96:96)-SUMIF(95:95,C27,96:96)+100</f>
        <v>100</v>
      </c>
      <c r="I27" s="629"/>
      <c r="J27" s="430">
        <f>SUMIF(95:95,I27,96:96)-SUMIF(95:95,C27,96:96)+100</f>
        <v>100</v>
      </c>
      <c r="K27" s="668"/>
      <c r="L27" s="1135"/>
      <c r="M27" s="1126"/>
      <c r="N27" s="1126"/>
      <c r="O27" s="1134"/>
      <c r="P27" s="3240"/>
      <c r="Q27" s="1805" t="str">
        <f t="shared" si="8"/>
        <v>临街状况</v>
      </c>
      <c r="R27" s="769" t="s">
        <v>17</v>
      </c>
      <c r="S27" s="770">
        <f t="shared" ref="S27:S40" si="10">F27</f>
        <v>100</v>
      </c>
      <c r="T27" s="769" t="s">
        <v>17</v>
      </c>
      <c r="U27" s="770">
        <f t="shared" ref="U27:U40" si="11">H27</f>
        <v>100</v>
      </c>
      <c r="V27" s="769" t="s">
        <v>17</v>
      </c>
      <c r="W27" s="770">
        <f t="shared" ref="W27:W40" si="12">J27</f>
        <v>100</v>
      </c>
      <c r="X27" s="1808"/>
      <c r="Y27" s="3240"/>
      <c r="Z27" s="1809" t="str">
        <f t="shared" ref="Z27:Z40" si="13">Q27</f>
        <v>临街状况</v>
      </c>
      <c r="AA27" s="1806">
        <f t="shared" si="3"/>
        <v>1</v>
      </c>
      <c r="AB27" s="1806">
        <f t="shared" si="4"/>
        <v>1</v>
      </c>
      <c r="AC27" s="1806">
        <f t="shared" si="5"/>
        <v>1</v>
      </c>
    </row>
    <row r="28" spans="1:29" ht="28">
      <c r="A28" s="423"/>
      <c r="B28" s="628" t="s">
        <v>2685</v>
      </c>
      <c r="C28" s="2699">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5"/>
      <c r="M28" s="1126"/>
      <c r="N28" s="1126"/>
      <c r="O28" s="1134"/>
      <c r="P28" s="3240"/>
      <c r="Q28" s="1805" t="str">
        <f t="shared" si="8"/>
        <v>毗邻道路的类型与等级</v>
      </c>
      <c r="R28" s="769" t="s">
        <v>17</v>
      </c>
      <c r="S28" s="770">
        <f t="shared" si="10"/>
        <v>100</v>
      </c>
      <c r="T28" s="769" t="s">
        <v>17</v>
      </c>
      <c r="U28" s="770">
        <f t="shared" si="11"/>
        <v>100</v>
      </c>
      <c r="V28" s="769" t="s">
        <v>17</v>
      </c>
      <c r="W28" s="770">
        <f t="shared" si="12"/>
        <v>100</v>
      </c>
      <c r="X28" s="1808"/>
      <c r="Y28" s="3240"/>
      <c r="Z28" s="1809" t="str">
        <f t="shared" si="13"/>
        <v>毗邻道路的类型与等级</v>
      </c>
      <c r="AA28" s="1806">
        <f t="shared" si="3"/>
        <v>1</v>
      </c>
      <c r="AB28" s="1806">
        <f t="shared" si="4"/>
        <v>1</v>
      </c>
      <c r="AC28" s="1806">
        <f t="shared" si="5"/>
        <v>1</v>
      </c>
    </row>
    <row r="29" spans="1:29" ht="15.5">
      <c r="A29" s="423"/>
      <c r="B29" s="627"/>
      <c r="C29" s="442"/>
      <c r="D29" s="443"/>
      <c r="E29" s="2598"/>
      <c r="F29" s="443"/>
      <c r="G29" s="2598"/>
      <c r="H29" s="443"/>
      <c r="I29" s="2598"/>
      <c r="J29" s="443"/>
      <c r="K29" s="608"/>
      <c r="L29" s="1135"/>
      <c r="M29" s="1126"/>
      <c r="N29" s="1126"/>
      <c r="O29" s="1134"/>
      <c r="P29" s="3240"/>
      <c r="Q29" s="1805"/>
      <c r="R29" s="769"/>
      <c r="S29" s="770"/>
      <c r="T29" s="769"/>
      <c r="U29" s="770"/>
      <c r="V29" s="769"/>
      <c r="W29" s="770"/>
      <c r="X29" s="1808"/>
      <c r="Y29" s="3240"/>
      <c r="Z29" s="1809"/>
      <c r="AA29" s="1806">
        <v>1</v>
      </c>
      <c r="AB29" s="1806">
        <v>1</v>
      </c>
      <c r="AC29" s="1806">
        <v>1</v>
      </c>
    </row>
    <row r="30" spans="1:29" ht="15.5">
      <c r="A30" s="423"/>
      <c r="B30" s="649" t="s">
        <v>2743</v>
      </c>
      <c r="C30" s="1384">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5"/>
      <c r="M30" s="1126"/>
      <c r="N30" s="1126"/>
      <c r="O30" s="1134"/>
      <c r="P30" s="3240"/>
      <c r="Q30" s="1805" t="str">
        <f t="shared" si="8"/>
        <v>土地级别</v>
      </c>
      <c r="R30" s="769" t="s">
        <v>17</v>
      </c>
      <c r="S30" s="770">
        <f t="shared" si="10"/>
        <v>100</v>
      </c>
      <c r="T30" s="769" t="s">
        <v>17</v>
      </c>
      <c r="U30" s="770">
        <f t="shared" si="11"/>
        <v>100</v>
      </c>
      <c r="V30" s="769" t="s">
        <v>17</v>
      </c>
      <c r="W30" s="770">
        <f t="shared" si="12"/>
        <v>100</v>
      </c>
      <c r="X30" s="1808"/>
      <c r="Y30" s="3240"/>
      <c r="Z30" s="1809" t="str">
        <f t="shared" si="13"/>
        <v>土地级别</v>
      </c>
      <c r="AA30" s="1806">
        <f t="shared" si="3"/>
        <v>1</v>
      </c>
      <c r="AB30" s="1806">
        <f t="shared" si="4"/>
        <v>1</v>
      </c>
      <c r="AC30" s="1806">
        <f t="shared" si="5"/>
        <v>1</v>
      </c>
    </row>
    <row r="31" spans="1:29" ht="15.5">
      <c r="A31" s="399"/>
      <c r="B31" s="2664">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5"/>
      <c r="M31" s="1126"/>
      <c r="N31" s="1126"/>
      <c r="O31" s="1134"/>
      <c r="P31" s="3240"/>
      <c r="Q31" s="1805">
        <f t="shared" si="8"/>
        <v>111</v>
      </c>
      <c r="R31" s="769" t="s">
        <v>17</v>
      </c>
      <c r="S31" s="770">
        <f t="shared" si="10"/>
        <v>100</v>
      </c>
      <c r="T31" s="769" t="s">
        <v>17</v>
      </c>
      <c r="U31" s="770">
        <f t="shared" si="11"/>
        <v>100</v>
      </c>
      <c r="V31" s="769" t="s">
        <v>17</v>
      </c>
      <c r="W31" s="770">
        <f t="shared" si="12"/>
        <v>100</v>
      </c>
      <c r="X31" s="1808"/>
      <c r="Y31" s="3240"/>
      <c r="Z31" s="1809">
        <f t="shared" si="13"/>
        <v>111</v>
      </c>
      <c r="AA31" s="1806">
        <f t="shared" si="3"/>
        <v>1</v>
      </c>
      <c r="AB31" s="1806">
        <f t="shared" si="4"/>
        <v>1</v>
      </c>
      <c r="AC31" s="1806">
        <f t="shared" si="5"/>
        <v>1</v>
      </c>
    </row>
    <row r="32" spans="1:29" ht="15.5">
      <c r="A32" s="670"/>
      <c r="B32" s="2700">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5"/>
      <c r="M32" s="1126"/>
      <c r="N32" s="1126"/>
      <c r="O32" s="1134"/>
      <c r="P32" s="3241" t="s">
        <v>2559</v>
      </c>
      <c r="Q32" s="1805">
        <f t="shared" si="8"/>
        <v>111</v>
      </c>
      <c r="R32" s="769" t="s">
        <v>17</v>
      </c>
      <c r="S32" s="770">
        <f t="shared" si="10"/>
        <v>100</v>
      </c>
      <c r="T32" s="769" t="s">
        <v>17</v>
      </c>
      <c r="U32" s="770">
        <f t="shared" si="11"/>
        <v>100</v>
      </c>
      <c r="V32" s="769" t="s">
        <v>17</v>
      </c>
      <c r="W32" s="770">
        <f t="shared" si="12"/>
        <v>100</v>
      </c>
      <c r="X32" s="1808"/>
      <c r="Y32" s="3242" t="s">
        <v>2559</v>
      </c>
      <c r="Z32" s="1809">
        <f t="shared" si="13"/>
        <v>111</v>
      </c>
      <c r="AA32" s="1806">
        <f t="shared" si="3"/>
        <v>1</v>
      </c>
      <c r="AB32" s="1806">
        <f t="shared" si="4"/>
        <v>1</v>
      </c>
      <c r="AC32" s="1806">
        <f t="shared" si="5"/>
        <v>1</v>
      </c>
    </row>
    <row r="33" spans="1:29" s="466" customFormat="1" ht="16" thickBot="1">
      <c r="A33" s="671"/>
      <c r="B33" s="2701">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3"/>
      <c r="M33" s="1136"/>
      <c r="N33" s="1136"/>
      <c r="O33" s="1137"/>
      <c r="P33" s="3242"/>
      <c r="Q33" s="1805">
        <f t="shared" si="8"/>
        <v>111</v>
      </c>
      <c r="R33" s="772" t="s">
        <v>17</v>
      </c>
      <c r="S33" s="773">
        <f t="shared" si="10"/>
        <v>100</v>
      </c>
      <c r="T33" s="772" t="s">
        <v>17</v>
      </c>
      <c r="U33" s="773">
        <f t="shared" si="11"/>
        <v>100</v>
      </c>
      <c r="V33" s="772" t="s">
        <v>17</v>
      </c>
      <c r="W33" s="773">
        <f t="shared" si="12"/>
        <v>100</v>
      </c>
      <c r="X33" s="774"/>
      <c r="Y33" s="3242"/>
      <c r="Z33" s="775">
        <f t="shared" si="13"/>
        <v>111</v>
      </c>
      <c r="AA33" s="1806">
        <f t="shared" si="3"/>
        <v>1</v>
      </c>
      <c r="AB33" s="1806">
        <f t="shared" si="4"/>
        <v>1</v>
      </c>
      <c r="AC33" s="1806">
        <f t="shared" si="5"/>
        <v>1</v>
      </c>
    </row>
    <row r="34" spans="1:29" ht="15.5">
      <c r="A34" s="435" t="s">
        <v>2557</v>
      </c>
      <c r="B34" s="451" t="s">
        <v>2744</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5"/>
      <c r="M34" s="1126"/>
      <c r="N34" s="1126"/>
      <c r="O34" s="1134"/>
      <c r="P34" s="3242"/>
      <c r="Q34" s="1805" t="str">
        <f>B34</f>
        <v>宗地面积</v>
      </c>
      <c r="R34" s="769" t="s">
        <v>17</v>
      </c>
      <c r="S34" s="770" t="e">
        <f t="shared" si="10"/>
        <v>#N/A</v>
      </c>
      <c r="T34" s="769" t="s">
        <v>17</v>
      </c>
      <c r="U34" s="770" t="e">
        <f t="shared" si="11"/>
        <v>#N/A</v>
      </c>
      <c r="V34" s="769" t="s">
        <v>17</v>
      </c>
      <c r="W34" s="770" t="e">
        <f t="shared" si="12"/>
        <v>#N/A</v>
      </c>
      <c r="X34" s="1808"/>
      <c r="Y34" s="3242"/>
      <c r="Z34" s="1809" t="str">
        <f t="shared" si="13"/>
        <v>宗地面积</v>
      </c>
      <c r="AA34" s="1806" t="e">
        <f t="shared" si="3"/>
        <v>#N/A</v>
      </c>
      <c r="AB34" s="1806" t="e">
        <f t="shared" si="4"/>
        <v>#N/A</v>
      </c>
      <c r="AC34" s="1806" t="e">
        <f t="shared" si="5"/>
        <v>#N/A</v>
      </c>
    </row>
    <row r="35" spans="1:29" ht="15.5">
      <c r="A35" s="467"/>
      <c r="B35" s="417" t="s">
        <v>2745</v>
      </c>
      <c r="C35" s="2600"/>
      <c r="D35" s="430">
        <v>100</v>
      </c>
      <c r="E35" s="2600"/>
      <c r="F35" s="430">
        <f>SUMIF(110:110,E35,111:111)-SUMIF(110:110,C35,111:111)+100</f>
        <v>100</v>
      </c>
      <c r="G35" s="2600"/>
      <c r="H35" s="430">
        <f>SUMIF(110:110,G35,111:111)-SUMIF(110:110,C35,111:111)+100</f>
        <v>100</v>
      </c>
      <c r="I35" s="2600"/>
      <c r="J35" s="430">
        <f>SUMIF(110:110,I35,111:111)-SUMIF(110:110,C35,111:111)+100</f>
        <v>100</v>
      </c>
      <c r="K35" s="607"/>
      <c r="L35" s="1135"/>
      <c r="M35" s="1126"/>
      <c r="N35" s="1126"/>
      <c r="O35" s="1134"/>
      <c r="P35" s="3242"/>
      <c r="Q35" s="1805" t="str">
        <f t="shared" ref="Q35:Q40" si="14">B35</f>
        <v>宗地形状</v>
      </c>
      <c r="R35" s="769" t="s">
        <v>17</v>
      </c>
      <c r="S35" s="770">
        <f t="shared" si="10"/>
        <v>100</v>
      </c>
      <c r="T35" s="769" t="s">
        <v>17</v>
      </c>
      <c r="U35" s="770">
        <f t="shared" si="11"/>
        <v>100</v>
      </c>
      <c r="V35" s="769" t="s">
        <v>17</v>
      </c>
      <c r="W35" s="770">
        <f t="shared" si="12"/>
        <v>100</v>
      </c>
      <c r="X35" s="1808"/>
      <c r="Y35" s="3242"/>
      <c r="Z35" s="1809" t="str">
        <f t="shared" si="13"/>
        <v>宗地形状</v>
      </c>
      <c r="AA35" s="1806">
        <f t="shared" si="3"/>
        <v>1</v>
      </c>
      <c r="AB35" s="1806">
        <f t="shared" si="4"/>
        <v>1</v>
      </c>
      <c r="AC35" s="1806">
        <f t="shared" si="5"/>
        <v>1</v>
      </c>
    </row>
    <row r="36" spans="1:29" s="114" customFormat="1" ht="15.5">
      <c r="A36" s="468"/>
      <c r="B36" s="417" t="s">
        <v>2747</v>
      </c>
      <c r="C36" s="2688"/>
      <c r="D36" s="131">
        <v>100</v>
      </c>
      <c r="E36" s="2688"/>
      <c r="F36" s="430">
        <f>SUMIF(112:112,E36,113:113)-SUMIF(112:112,C36,113:113)+100</f>
        <v>100</v>
      </c>
      <c r="G36" s="2688"/>
      <c r="H36" s="430">
        <f>SUMIF(112:112,G36,113:113)-SUMIF(112:112,C36,113:113)+100</f>
        <v>100</v>
      </c>
      <c r="I36" s="2688"/>
      <c r="J36" s="430">
        <f>SUMIF(112:112,I36,113:113)-SUMIF(112:112,C36,113:113)+100</f>
        <v>100</v>
      </c>
      <c r="K36" s="607"/>
      <c r="L36" s="1127"/>
      <c r="M36" s="1128"/>
      <c r="N36" s="1128"/>
      <c r="O36" s="1129"/>
      <c r="P36" s="3242"/>
      <c r="Q36" s="1805" t="str">
        <f t="shared" si="14"/>
        <v>宗地开发程度</v>
      </c>
      <c r="R36" s="765" t="s">
        <v>17</v>
      </c>
      <c r="S36" s="766">
        <f t="shared" si="10"/>
        <v>100</v>
      </c>
      <c r="T36" s="765" t="s">
        <v>17</v>
      </c>
      <c r="U36" s="766">
        <f t="shared" si="11"/>
        <v>100</v>
      </c>
      <c r="V36" s="765" t="s">
        <v>17</v>
      </c>
      <c r="W36" s="766">
        <f t="shared" si="12"/>
        <v>100</v>
      </c>
      <c r="X36" s="767"/>
      <c r="Y36" s="3242"/>
      <c r="Z36" s="52" t="str">
        <f t="shared" si="13"/>
        <v>宗地开发程度</v>
      </c>
      <c r="AA36" s="768">
        <f t="shared" si="3"/>
        <v>1</v>
      </c>
      <c r="AB36" s="768">
        <f t="shared" si="4"/>
        <v>1</v>
      </c>
      <c r="AC36" s="768">
        <f t="shared" si="5"/>
        <v>1</v>
      </c>
    </row>
    <row r="37" spans="1:29" ht="15.5">
      <c r="A37" s="467"/>
      <c r="B37" s="417" t="s">
        <v>2748</v>
      </c>
      <c r="C37" s="2600"/>
      <c r="D37" s="430">
        <v>100</v>
      </c>
      <c r="E37" s="2600"/>
      <c r="F37" s="430">
        <f>SUMIF(114:114,E37,115:115)-SUMIF(114:114,C37,115:115)+100</f>
        <v>100</v>
      </c>
      <c r="G37" s="2600"/>
      <c r="H37" s="430">
        <f>SUMIF(114:114,G37,115:115)-SUMIF(114:114,C37,115:115)+100</f>
        <v>100</v>
      </c>
      <c r="I37" s="2600"/>
      <c r="J37" s="430">
        <f>SUMIF(114:114,I37,115:115)-SUMIF(114:114,C37,115:115)+100</f>
        <v>100</v>
      </c>
      <c r="K37" s="607"/>
      <c r="L37" s="1135"/>
      <c r="M37" s="1126"/>
      <c r="N37" s="1126"/>
      <c r="O37" s="1134"/>
      <c r="P37" s="3242" t="s">
        <v>2559</v>
      </c>
      <c r="Q37" s="1805" t="str">
        <f t="shared" si="14"/>
        <v>工程地质条件</v>
      </c>
      <c r="R37" s="769" t="s">
        <v>17</v>
      </c>
      <c r="S37" s="770">
        <f t="shared" si="10"/>
        <v>100</v>
      </c>
      <c r="T37" s="769" t="s">
        <v>17</v>
      </c>
      <c r="U37" s="770">
        <f t="shared" si="11"/>
        <v>100</v>
      </c>
      <c r="V37" s="769" t="s">
        <v>17</v>
      </c>
      <c r="W37" s="770">
        <f t="shared" si="12"/>
        <v>100</v>
      </c>
      <c r="X37" s="1808"/>
      <c r="Y37" s="3242" t="s">
        <v>2559</v>
      </c>
      <c r="Z37" s="1809" t="str">
        <f t="shared" si="13"/>
        <v>工程地质条件</v>
      </c>
      <c r="AA37" s="1806">
        <f t="shared" si="3"/>
        <v>1</v>
      </c>
      <c r="AB37" s="1806">
        <f t="shared" si="4"/>
        <v>1</v>
      </c>
      <c r="AC37" s="1806">
        <f t="shared" si="5"/>
        <v>1</v>
      </c>
    </row>
    <row r="38" spans="1:29" ht="15.5">
      <c r="A38" s="467"/>
      <c r="B38" s="1382">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5"/>
      <c r="M38" s="1126"/>
      <c r="N38" s="1126"/>
      <c r="O38" s="1134"/>
      <c r="P38" s="3242"/>
      <c r="Q38" s="1805">
        <f t="shared" si="14"/>
        <v>111</v>
      </c>
      <c r="R38" s="769" t="s">
        <v>17</v>
      </c>
      <c r="S38" s="770">
        <f t="shared" si="10"/>
        <v>100</v>
      </c>
      <c r="T38" s="769" t="s">
        <v>17</v>
      </c>
      <c r="U38" s="770">
        <f t="shared" si="11"/>
        <v>100</v>
      </c>
      <c r="V38" s="769" t="s">
        <v>17</v>
      </c>
      <c r="W38" s="770">
        <f t="shared" si="12"/>
        <v>100</v>
      </c>
      <c r="X38" s="1808"/>
      <c r="Y38" s="3242"/>
      <c r="Z38" s="1809">
        <f t="shared" si="13"/>
        <v>111</v>
      </c>
      <c r="AA38" s="1806">
        <f t="shared" si="3"/>
        <v>1</v>
      </c>
      <c r="AB38" s="1806">
        <f t="shared" si="4"/>
        <v>1</v>
      </c>
      <c r="AC38" s="1806">
        <f t="shared" si="5"/>
        <v>1</v>
      </c>
    </row>
    <row r="39" spans="1:29" ht="15.5">
      <c r="A39" s="467"/>
      <c r="B39" s="1382">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5"/>
      <c r="M39" s="1126"/>
      <c r="N39" s="1126"/>
      <c r="O39" s="1134"/>
      <c r="P39" s="3242"/>
      <c r="Q39" s="1805">
        <f t="shared" si="14"/>
        <v>111</v>
      </c>
      <c r="R39" s="769" t="s">
        <v>17</v>
      </c>
      <c r="S39" s="770">
        <f t="shared" si="10"/>
        <v>100</v>
      </c>
      <c r="T39" s="769" t="s">
        <v>17</v>
      </c>
      <c r="U39" s="770">
        <f t="shared" si="11"/>
        <v>100</v>
      </c>
      <c r="V39" s="769" t="s">
        <v>17</v>
      </c>
      <c r="W39" s="770">
        <f t="shared" si="12"/>
        <v>100</v>
      </c>
      <c r="X39" s="1808"/>
      <c r="Y39" s="3242"/>
      <c r="Z39" s="1809">
        <f t="shared" si="13"/>
        <v>111</v>
      </c>
      <c r="AA39" s="1806">
        <f t="shared" si="3"/>
        <v>1</v>
      </c>
      <c r="AB39" s="1806">
        <f t="shared" si="4"/>
        <v>1</v>
      </c>
      <c r="AC39" s="1806">
        <f t="shared" si="5"/>
        <v>1</v>
      </c>
    </row>
    <row r="40" spans="1:29" s="466" customFormat="1" ht="16" thickBot="1">
      <c r="A40" s="463"/>
      <c r="B40" s="1382">
        <v>111</v>
      </c>
      <c r="C40" s="2689"/>
      <c r="D40" s="132">
        <v>100</v>
      </c>
      <c r="E40" s="669"/>
      <c r="F40" s="433">
        <f>SUMIF(120:120,E40,121:121)-SUMIF(120:120,C40,121:121)+100</f>
        <v>100</v>
      </c>
      <c r="G40" s="669"/>
      <c r="H40" s="433">
        <f>SUMIF(120:120,G40,121:121)-SUMIF(120:120,C40,121:121)+100</f>
        <v>100</v>
      </c>
      <c r="I40" s="544"/>
      <c r="J40" s="433">
        <f>SUMIF(120:120,I40,121:121)-SUMIF(120:120,C40,121:121)+100</f>
        <v>100</v>
      </c>
      <c r="K40" s="676"/>
      <c r="L40" s="1133"/>
      <c r="M40" s="1136"/>
      <c r="N40" s="1136"/>
      <c r="O40" s="1137"/>
      <c r="P40" s="3242"/>
      <c r="Q40" s="1805">
        <f t="shared" si="14"/>
        <v>111</v>
      </c>
      <c r="R40" s="772" t="s">
        <v>17</v>
      </c>
      <c r="S40" s="773">
        <f t="shared" si="10"/>
        <v>100</v>
      </c>
      <c r="T40" s="772" t="s">
        <v>17</v>
      </c>
      <c r="U40" s="773">
        <f t="shared" si="11"/>
        <v>100</v>
      </c>
      <c r="V40" s="772" t="s">
        <v>17</v>
      </c>
      <c r="W40" s="773">
        <f t="shared" si="12"/>
        <v>100</v>
      </c>
      <c r="X40" s="774"/>
      <c r="Y40" s="3242"/>
      <c r="Z40" s="775">
        <f t="shared" si="13"/>
        <v>111</v>
      </c>
      <c r="AA40" s="1806">
        <f t="shared" si="3"/>
        <v>1</v>
      </c>
      <c r="AB40" s="1806">
        <f t="shared" si="4"/>
        <v>1</v>
      </c>
      <c r="AC40" s="1806">
        <f t="shared" si="5"/>
        <v>1</v>
      </c>
    </row>
    <row r="41" spans="1:29">
      <c r="A41" s="474" t="s">
        <v>2714</v>
      </c>
      <c r="B41" s="2690" t="s">
        <v>2793</v>
      </c>
      <c r="C41" s="677" t="s">
        <v>1</v>
      </c>
      <c r="D41" s="476"/>
      <c r="E41" s="477"/>
      <c r="F41" s="478"/>
      <c r="G41" s="479"/>
      <c r="H41" s="480"/>
      <c r="I41" s="477"/>
      <c r="J41" s="480"/>
      <c r="K41" s="778"/>
      <c r="L41" s="1138"/>
      <c r="M41" s="1126"/>
      <c r="N41" s="1126"/>
      <c r="O41" s="1139"/>
      <c r="P41" s="3237" t="str">
        <f>A41</f>
        <v>成交单价</v>
      </c>
      <c r="Q41" s="3237"/>
      <c r="R41" s="3243">
        <f>E41</f>
        <v>0</v>
      </c>
      <c r="S41" s="3243"/>
      <c r="T41" s="3243">
        <f>G41</f>
        <v>0</v>
      </c>
      <c r="U41" s="3243"/>
      <c r="V41" s="3243">
        <f>I41</f>
        <v>0</v>
      </c>
      <c r="W41" s="3243"/>
      <c r="X41" s="754"/>
      <c r="Y41" s="776"/>
      <c r="Z41" s="754"/>
      <c r="AA41" s="754"/>
      <c r="AB41" s="754"/>
      <c r="AC41" s="754"/>
    </row>
    <row r="42" spans="1:29" ht="14.5" thickBot="1">
      <c r="A42" s="481" t="s">
        <v>2663</v>
      </c>
      <c r="B42" s="678"/>
      <c r="C42" s="485" t="e">
        <f>R43</f>
        <v>#DIV/0!</v>
      </c>
      <c r="D42" s="484"/>
      <c r="E42" s="485" t="e">
        <f>R42</f>
        <v>#DIV/0!</v>
      </c>
      <c r="F42" s="486"/>
      <c r="G42" s="483" t="e">
        <f>T42</f>
        <v>#DIV/0!</v>
      </c>
      <c r="H42" s="484"/>
      <c r="I42" s="485" t="e">
        <f>V42</f>
        <v>#DIV/0!</v>
      </c>
      <c r="J42" s="484"/>
      <c r="K42" s="779"/>
      <c r="L42" s="1138"/>
      <c r="M42" s="1126"/>
      <c r="N42" s="1126"/>
      <c r="O42" s="1139"/>
      <c r="P42" s="3237" t="str">
        <f>A42</f>
        <v>比较价值（元/平方米）</v>
      </c>
      <c r="Q42" s="3237"/>
      <c r="R42" s="3230" t="e">
        <f>ROUND(PRODUCT(R41,AA7:AA40),0)</f>
        <v>#DIV/0!</v>
      </c>
      <c r="S42" s="3230"/>
      <c r="T42" s="3230" t="e">
        <f>ROUND(PRODUCT(T41,AB7:AB40),0)</f>
        <v>#DIV/0!</v>
      </c>
      <c r="U42" s="3230"/>
      <c r="V42" s="3230" t="e">
        <f>ROUND(PRODUCT(V41,AC7:AC40),0)</f>
        <v>#DIV/0!</v>
      </c>
      <c r="W42" s="3230"/>
      <c r="X42" s="754"/>
      <c r="Y42" s="754"/>
      <c r="Z42" s="754"/>
      <c r="AA42" s="754"/>
      <c r="AB42" s="754"/>
      <c r="AC42" s="754"/>
    </row>
    <row r="43" spans="1:29" ht="14.5" thickBot="1">
      <c r="A43" s="487" t="s">
        <v>2664</v>
      </c>
      <c r="B43" s="488"/>
      <c r="C43" s="489" t="e">
        <f>R43</f>
        <v>#DIV/0!</v>
      </c>
      <c r="D43" s="489"/>
      <c r="E43" s="489"/>
      <c r="F43" s="489"/>
      <c r="G43" s="489"/>
      <c r="H43" s="489"/>
      <c r="I43" s="489"/>
      <c r="J43" s="489"/>
      <c r="K43" s="780"/>
      <c r="L43" s="1138"/>
      <c r="M43" s="1126"/>
      <c r="N43" s="1126"/>
      <c r="O43" s="1139"/>
      <c r="P43" s="3231" t="str">
        <f>A43</f>
        <v>估价对象XX用房的比较价值（楼面单价，元/平方米）</v>
      </c>
      <c r="Q43" s="3232"/>
      <c r="R43" s="3233" t="e">
        <f>ROUND(AVERAGE(R42:V42),0)</f>
        <v>#DIV/0!</v>
      </c>
      <c r="S43" s="3233"/>
      <c r="T43" s="3233"/>
      <c r="U43" s="3233"/>
      <c r="V43" s="3233"/>
      <c r="W43" s="3233"/>
      <c r="X43" s="754"/>
      <c r="Y43" s="754"/>
      <c r="Z43" s="754"/>
      <c r="AA43" s="754"/>
      <c r="AB43" s="754"/>
      <c r="AC43" s="754"/>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2" t="s">
        <v>2665</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0"/>
      <c r="L46" s="1101"/>
      <c r="M46" s="1126"/>
      <c r="N46" s="1126"/>
      <c r="O46" s="1139"/>
    </row>
    <row r="47" spans="1:29" ht="13.5" customHeight="1">
      <c r="A47" s="1139"/>
      <c r="B47" s="1139"/>
      <c r="C47" s="492" t="s">
        <v>2666</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0"/>
      <c r="L47" s="1101"/>
      <c r="M47" s="1139"/>
      <c r="N47" s="1139"/>
      <c r="O47" s="1139"/>
    </row>
    <row r="48" spans="1:29" s="497" customFormat="1" ht="13.5" customHeight="1">
      <c r="A48" s="1140"/>
      <c r="B48" s="1140"/>
      <c r="C48" s="492" t="s">
        <v>2667</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3"/>
      <c r="L48" s="1144"/>
      <c r="M48" s="1140"/>
      <c r="N48" s="1140"/>
      <c r="O48" s="1140"/>
    </row>
    <row r="49" spans="1:17" s="497" customFormat="1" ht="14.5" thickBot="1">
      <c r="A49" s="1140"/>
      <c r="B49" s="1141"/>
      <c r="C49" s="757"/>
      <c r="D49" s="755"/>
      <c r="E49" s="755"/>
      <c r="F49" s="755"/>
      <c r="G49" s="755"/>
      <c r="H49" s="755"/>
      <c r="I49" s="755"/>
      <c r="J49" s="755"/>
      <c r="K49" s="1143"/>
      <c r="L49" s="1144"/>
      <c r="M49" s="1140"/>
      <c r="N49" s="1140"/>
      <c r="O49" s="1140"/>
    </row>
    <row r="50" spans="1:17" ht="28">
      <c r="A50" s="679" t="s">
        <v>2751</v>
      </c>
      <c r="B50" s="680" t="s">
        <v>2752</v>
      </c>
      <c r="C50" s="2691" t="s">
        <v>2753</v>
      </c>
      <c r="D50" s="2692" t="s">
        <v>2754</v>
      </c>
      <c r="E50" s="681" t="s">
        <v>2755</v>
      </c>
      <c r="F50" s="682" t="s">
        <v>2756</v>
      </c>
      <c r="G50" s="3234" t="s">
        <v>2757</v>
      </c>
      <c r="H50" s="3235"/>
      <c r="I50" s="1809" t="s">
        <v>2794</v>
      </c>
      <c r="J50" s="1809">
        <f>项目基本情况!F35</f>
        <v>0</v>
      </c>
      <c r="K50" s="2694" t="s">
        <v>2759</v>
      </c>
      <c r="L50" s="1101"/>
      <c r="M50" s="1139"/>
      <c r="N50" s="1139"/>
      <c r="O50" s="1139"/>
    </row>
    <row r="51" spans="1:17" s="687" customFormat="1">
      <c r="A51" s="683" t="s">
        <v>2760</v>
      </c>
      <c r="B51" s="684" t="e">
        <f>C43</f>
        <v>#DIV/0!</v>
      </c>
      <c r="C51" s="685">
        <v>1</v>
      </c>
      <c r="D51" s="1158">
        <v>1</v>
      </c>
      <c r="E51" s="685">
        <f>'数据-汇总表'!E8+'数据-汇总表'!E9</f>
        <v>123291.4</v>
      </c>
      <c r="F51" s="686" t="e">
        <f t="shared" ref="F51:F60" si="15">ROUND(B51*E51/10000,0)</f>
        <v>#DIV/0!</v>
      </c>
      <c r="G51" s="3236"/>
      <c r="H51" s="3237"/>
      <c r="I51" s="937">
        <v>1</v>
      </c>
      <c r="J51" s="937">
        <v>1</v>
      </c>
      <c r="K51" s="1140"/>
      <c r="L51" s="936"/>
      <c r="M51" s="936"/>
      <c r="N51" s="936"/>
      <c r="O51" s="936"/>
    </row>
    <row r="52" spans="1:17" s="687" customFormat="1">
      <c r="A52" s="688" t="s">
        <v>2761</v>
      </c>
      <c r="B52" s="257" t="e">
        <f>ROUND($C$43*C52*D52,0)</f>
        <v>#DIV/0!</v>
      </c>
      <c r="C52" s="195">
        <f t="shared" ref="C52:C60" si="16">IF($C$50="北京市系数",I52,J52)</f>
        <v>0</v>
      </c>
      <c r="D52" s="1159">
        <v>0.25</v>
      </c>
      <c r="E52" s="689"/>
      <c r="F52" s="686" t="e">
        <f t="shared" si="15"/>
        <v>#DIV/0!</v>
      </c>
      <c r="G52" s="3238" t="s">
        <v>2762</v>
      </c>
      <c r="H52" s="1099">
        <f>项目基本情况!B37</f>
        <v>0</v>
      </c>
      <c r="I52" s="937">
        <f>SUMIF(修正!A45:A56,H52,修正!B45:B56)</f>
        <v>0</v>
      </c>
      <c r="J52" s="938"/>
      <c r="K52" s="1139"/>
      <c r="L52" s="936"/>
      <c r="M52" s="936"/>
      <c r="N52" s="936"/>
      <c r="O52" s="936"/>
    </row>
    <row r="53" spans="1:17" s="687" customFormat="1">
      <c r="A53" s="688" t="s">
        <v>2763</v>
      </c>
      <c r="B53" s="257" t="e">
        <f t="shared" ref="B53:B60" si="17">ROUND($C$43*C53*D53,0)</f>
        <v>#DIV/0!</v>
      </c>
      <c r="C53" s="195">
        <f t="shared" si="16"/>
        <v>0</v>
      </c>
      <c r="D53" s="1159">
        <v>0.25</v>
      </c>
      <c r="E53" s="689"/>
      <c r="F53" s="686" t="e">
        <f t="shared" si="15"/>
        <v>#DIV/0!</v>
      </c>
      <c r="G53" s="3238"/>
      <c r="H53" s="1099">
        <f>项目基本情况!B37</f>
        <v>0</v>
      </c>
      <c r="I53" s="937">
        <f>SUMIF(修正!A45:A56,H53,修正!C45:C56)</f>
        <v>0</v>
      </c>
      <c r="J53" s="938"/>
      <c r="K53" s="1140"/>
      <c r="L53" s="936"/>
      <c r="M53" s="936"/>
      <c r="N53" s="936"/>
      <c r="O53" s="936"/>
    </row>
    <row r="54" spans="1:17" s="687" customFormat="1">
      <c r="A54" s="688" t="s">
        <v>2764</v>
      </c>
      <c r="B54" s="257" t="e">
        <f t="shared" si="17"/>
        <v>#DIV/0!</v>
      </c>
      <c r="C54" s="195">
        <f t="shared" si="16"/>
        <v>0</v>
      </c>
      <c r="D54" s="1159">
        <v>0.25</v>
      </c>
      <c r="E54" s="689"/>
      <c r="F54" s="686" t="e">
        <f t="shared" si="15"/>
        <v>#DIV/0!</v>
      </c>
      <c r="G54" s="3238"/>
      <c r="H54" s="1099">
        <f>项目基本情况!B37</f>
        <v>0</v>
      </c>
      <c r="I54" s="937">
        <f>SUMIF(修正!A45:A56,H54,修正!D45:D56)</f>
        <v>0</v>
      </c>
      <c r="J54" s="938"/>
      <c r="K54" s="1139"/>
      <c r="L54" s="936"/>
      <c r="M54" s="936"/>
      <c r="N54" s="936"/>
      <c r="O54" s="936"/>
    </row>
    <row r="55" spans="1:17" s="687" customFormat="1">
      <c r="A55" s="688" t="s">
        <v>2765</v>
      </c>
      <c r="B55" s="257" t="e">
        <f t="shared" si="17"/>
        <v>#DIV/0!</v>
      </c>
      <c r="C55" s="195">
        <f t="shared" si="16"/>
        <v>0</v>
      </c>
      <c r="D55" s="1159">
        <v>0.25</v>
      </c>
      <c r="E55" s="689"/>
      <c r="F55" s="686" t="e">
        <f t="shared" si="15"/>
        <v>#DIV/0!</v>
      </c>
      <c r="G55" s="3238"/>
      <c r="H55" s="1099">
        <f>项目基本情况!B37</f>
        <v>0</v>
      </c>
      <c r="I55" s="937">
        <f>SUMIF(修正!A45:A56,H55,修正!E45:E56)</f>
        <v>0</v>
      </c>
      <c r="J55" s="938"/>
      <c r="K55" s="1140"/>
      <c r="L55" s="936"/>
      <c r="M55" s="936"/>
      <c r="N55" s="936"/>
      <c r="O55" s="936"/>
    </row>
    <row r="56" spans="1:17" s="687" customFormat="1">
      <c r="A56" s="688" t="s">
        <v>2766</v>
      </c>
      <c r="B56" s="257" t="e">
        <f t="shared" si="17"/>
        <v>#DIV/0!</v>
      </c>
      <c r="C56" s="195">
        <f t="shared" si="16"/>
        <v>0.2</v>
      </c>
      <c r="D56" s="1159">
        <v>0.25</v>
      </c>
      <c r="E56" s="256">
        <f>'数据-汇总表'!E11</f>
        <v>0</v>
      </c>
      <c r="F56" s="686" t="e">
        <f t="shared" si="15"/>
        <v>#DIV/0!</v>
      </c>
      <c r="G56" s="2695" t="s">
        <v>2767</v>
      </c>
      <c r="H56" s="1099" t="str">
        <f>项目基本情况!C37</f>
        <v>十级</v>
      </c>
      <c r="I56" s="937">
        <f>SUMIF(修正!A45:A56,H56,修正!F45:F56)</f>
        <v>0.2</v>
      </c>
      <c r="J56" s="938"/>
      <c r="K56" s="1139"/>
      <c r="L56" s="936"/>
      <c r="M56" s="936"/>
      <c r="N56" s="936"/>
      <c r="O56" s="936"/>
    </row>
    <row r="57" spans="1:17" s="687" customFormat="1">
      <c r="A57" s="688" t="s">
        <v>2768</v>
      </c>
      <c r="B57" s="257" t="e">
        <f t="shared" si="17"/>
        <v>#DIV/0!</v>
      </c>
      <c r="C57" s="195">
        <f t="shared" si="16"/>
        <v>0.2</v>
      </c>
      <c r="D57" s="1159">
        <v>0.25</v>
      </c>
      <c r="E57" s="256">
        <f>'数据-汇总表'!E12</f>
        <v>7670</v>
      </c>
      <c r="F57" s="686" t="e">
        <f t="shared" si="15"/>
        <v>#DIV/0!</v>
      </c>
      <c r="G57" s="1104" t="s">
        <v>2769</v>
      </c>
      <c r="H57" s="1099" t="str">
        <f>IF(G57="商业",项目基本情况!B37,IF(G57="办公",项目基本情况!C37,IF(G57="住宅",项目基本情况!D37,项目基本情况!E37)))</f>
        <v>十级</v>
      </c>
      <c r="I57" s="937">
        <f>SUMIF(修正!A45:A56,H57,修正!G45:G56)</f>
        <v>0.2</v>
      </c>
      <c r="J57" s="938"/>
      <c r="K57" s="1140"/>
      <c r="L57" s="936"/>
      <c r="M57" s="936"/>
      <c r="N57" s="936"/>
      <c r="O57" s="936"/>
    </row>
    <row r="58" spans="1:17" s="687" customFormat="1">
      <c r="A58" s="688" t="s">
        <v>2770</v>
      </c>
      <c r="B58" s="257" t="e">
        <f t="shared" si="17"/>
        <v>#DIV/0!</v>
      </c>
      <c r="C58" s="195">
        <f t="shared" si="16"/>
        <v>0.15</v>
      </c>
      <c r="D58" s="1159">
        <v>0.25</v>
      </c>
      <c r="E58" s="256">
        <f>'数据-汇总表'!E13</f>
        <v>56260.9</v>
      </c>
      <c r="F58" s="686" t="e">
        <f t="shared" si="15"/>
        <v>#DIV/0!</v>
      </c>
      <c r="G58" s="1104" t="s">
        <v>2771</v>
      </c>
      <c r="H58" s="1099" t="str">
        <f>IF(G58="商业",项目基本情况!B37,IF(G58="办公",项目基本情况!C37,IF(G58="住宅",项目基本情况!D37,项目基本情况!E37)))</f>
        <v>十级</v>
      </c>
      <c r="I58" s="937">
        <f>SUMIF(修正!A45:A56,H58,修正!H45:H56)</f>
        <v>0.15</v>
      </c>
      <c r="J58" s="938"/>
      <c r="K58" s="1139"/>
      <c r="L58" s="936"/>
      <c r="M58" s="936"/>
      <c r="N58" s="936"/>
      <c r="O58" s="936"/>
    </row>
    <row r="59" spans="1:17" s="687" customFormat="1">
      <c r="A59" s="688" t="s">
        <v>2772</v>
      </c>
      <c r="B59" s="257" t="e">
        <f t="shared" si="17"/>
        <v>#DIV/0!</v>
      </c>
      <c r="C59" s="195">
        <f t="shared" si="16"/>
        <v>0</v>
      </c>
      <c r="D59" s="1159">
        <v>0.25</v>
      </c>
      <c r="E59" s="256">
        <f>'数据-汇总表'!E14</f>
        <v>0</v>
      </c>
      <c r="F59" s="686" t="e">
        <f t="shared" si="15"/>
        <v>#DIV/0!</v>
      </c>
      <c r="G59" s="2695" t="s">
        <v>2762</v>
      </c>
      <c r="H59" s="1099">
        <f>项目基本情况!B37</f>
        <v>0</v>
      </c>
      <c r="I59" s="937">
        <f>SUMIF(修正!A45:A56,H59,修正!H45:H56)</f>
        <v>0</v>
      </c>
      <c r="J59" s="938"/>
      <c r="K59" s="1140"/>
      <c r="L59" s="936"/>
      <c r="M59" s="936"/>
      <c r="N59" s="936"/>
      <c r="O59" s="936"/>
    </row>
    <row r="60" spans="1:17" s="687" customFormat="1" ht="14.5" thickBot="1">
      <c r="A60" s="688" t="s">
        <v>2773</v>
      </c>
      <c r="B60" s="257" t="e">
        <f t="shared" si="17"/>
        <v>#DIV/0!</v>
      </c>
      <c r="C60" s="195">
        <f t="shared" si="16"/>
        <v>0.15</v>
      </c>
      <c r="D60" s="1159">
        <v>0.25</v>
      </c>
      <c r="E60" s="256">
        <f>'数据-汇总表'!E15</f>
        <v>0</v>
      </c>
      <c r="F60" s="686" t="e">
        <f t="shared" si="15"/>
        <v>#DIV/0!</v>
      </c>
      <c r="G60" s="2696" t="s">
        <v>2767</v>
      </c>
      <c r="H60" s="1109" t="str">
        <f>项目基本情况!C37</f>
        <v>十级</v>
      </c>
      <c r="I60" s="937">
        <f>SUMIF(修正!A45:A56,H60,修正!H45:H56)</f>
        <v>0.15</v>
      </c>
      <c r="J60" s="938"/>
      <c r="K60" s="1139"/>
      <c r="L60" s="936"/>
      <c r="M60" s="936"/>
      <c r="N60" s="936"/>
      <c r="O60" s="936"/>
    </row>
    <row r="61" spans="1:17" s="687" customFormat="1" ht="14.5" thickBot="1">
      <c r="A61" s="690" t="s">
        <v>2774</v>
      </c>
      <c r="B61" s="691" t="s">
        <v>28</v>
      </c>
      <c r="C61" s="691" t="s">
        <v>29</v>
      </c>
      <c r="D61" s="691" t="s">
        <v>1025</v>
      </c>
      <c r="E61" s="691">
        <f>IF(B41="楼面地价",SUM(E51:E60),'数据-汇总表'!D3)</f>
        <v>104283.06</v>
      </c>
      <c r="F61" s="692"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6" t="str">
        <f>YEAR(C7)&amp;"-"&amp;MONTH(C7)&amp;"-1"</f>
        <v>2020-3-1</v>
      </c>
      <c r="D63" s="756">
        <f>EDATE(C63,-3)</f>
        <v>43800</v>
      </c>
      <c r="E63" s="756">
        <f>EDATE(D63,-3)</f>
        <v>43709</v>
      </c>
      <c r="F63" s="756">
        <f t="shared" ref="F63:O63" si="18">EDATE(E63,-3)</f>
        <v>43617</v>
      </c>
      <c r="G63" s="756">
        <f t="shared" si="18"/>
        <v>43525</v>
      </c>
      <c r="H63" s="756">
        <f t="shared" si="18"/>
        <v>43435</v>
      </c>
      <c r="I63" s="756">
        <f t="shared" si="18"/>
        <v>43344</v>
      </c>
      <c r="J63" s="756">
        <f t="shared" si="18"/>
        <v>43252</v>
      </c>
      <c r="K63" s="756">
        <f t="shared" si="18"/>
        <v>43160</v>
      </c>
      <c r="L63" s="756">
        <f t="shared" si="18"/>
        <v>43070</v>
      </c>
      <c r="M63" s="756">
        <f t="shared" si="18"/>
        <v>42979</v>
      </c>
      <c r="N63" s="756">
        <f t="shared" si="18"/>
        <v>42887</v>
      </c>
      <c r="O63" s="756">
        <f t="shared" si="18"/>
        <v>42795</v>
      </c>
    </row>
    <row r="64" spans="1:17" ht="21.5" thickBot="1">
      <c r="A64" s="758" t="s">
        <v>2668</v>
      </c>
      <c r="B64" s="754"/>
      <c r="C64" s="759"/>
      <c r="D64" s="759"/>
      <c r="E64" s="759"/>
      <c r="F64" s="760"/>
      <c r="G64" s="760"/>
      <c r="H64" s="759"/>
      <c r="I64" s="759"/>
      <c r="J64" s="759"/>
      <c r="K64" s="761"/>
      <c r="L64" s="762"/>
      <c r="M64" s="759"/>
      <c r="N64" s="759"/>
      <c r="O64" s="1154"/>
      <c r="P64" s="498"/>
      <c r="Q64" s="499"/>
    </row>
    <row r="65" spans="1:17" s="503" customFormat="1">
      <c r="A65" s="2697" t="s">
        <v>2775</v>
      </c>
      <c r="B65" s="1354"/>
      <c r="C65" s="1567" t="str">
        <f>YEAR(C63)&amp;"-"&amp;ROUNDUP(MONTH(C63)/3,0)</f>
        <v>2020-1</v>
      </c>
      <c r="D65" s="1567" t="str">
        <f t="shared" ref="D65:O65" si="19">YEAR(D63)&amp;"-"&amp;ROUNDUP(MONTH(D63)/3,0)</f>
        <v>2019-4</v>
      </c>
      <c r="E65" s="1567" t="str">
        <f t="shared" si="19"/>
        <v>2019-3</v>
      </c>
      <c r="F65" s="1567" t="str">
        <f t="shared" si="19"/>
        <v>2019-2</v>
      </c>
      <c r="G65" s="1567" t="str">
        <f t="shared" si="19"/>
        <v>2019-1</v>
      </c>
      <c r="H65" s="1567" t="str">
        <f t="shared" si="19"/>
        <v>2018-4</v>
      </c>
      <c r="I65" s="1567" t="str">
        <f t="shared" si="19"/>
        <v>2018-3</v>
      </c>
      <c r="J65" s="1567" t="str">
        <f t="shared" si="19"/>
        <v>2018-2</v>
      </c>
      <c r="K65" s="1567" t="str">
        <f t="shared" si="19"/>
        <v>2018-1</v>
      </c>
      <c r="L65" s="1567" t="str">
        <f t="shared" si="19"/>
        <v>2017-4</v>
      </c>
      <c r="M65" s="1567" t="str">
        <f t="shared" si="19"/>
        <v>2017-3</v>
      </c>
      <c r="N65" s="1567" t="str">
        <f t="shared" si="19"/>
        <v>2017-2</v>
      </c>
      <c r="O65" s="1567" t="str">
        <f t="shared" si="19"/>
        <v>2017-1</v>
      </c>
      <c r="P65" s="502"/>
    </row>
    <row r="66" spans="1:17" s="114" customFormat="1" ht="30.75" customHeight="1">
      <c r="A66" s="2702" t="s">
        <v>2795</v>
      </c>
      <c r="B66" s="327" t="str">
        <f>"北京市平均增长率"&amp;TEXT(基准地价修正!P24,"0.00%")</f>
        <v>北京市平均增长率1.33%</v>
      </c>
      <c r="C66" s="598">
        <v>100</v>
      </c>
      <c r="D66" s="590"/>
      <c r="E66" s="590"/>
      <c r="F66" s="590"/>
      <c r="G66" s="590"/>
      <c r="H66" s="590"/>
      <c r="I66" s="590"/>
      <c r="J66" s="590"/>
      <c r="K66" s="590"/>
      <c r="L66" s="590"/>
      <c r="M66" s="1562"/>
      <c r="N66" s="1562"/>
      <c r="O66" s="1564"/>
      <c r="P66" s="499"/>
    </row>
    <row r="67" spans="1:17" s="114" customFormat="1" ht="14.5" thickBot="1">
      <c r="A67" s="510" t="s">
        <v>2579</v>
      </c>
      <c r="B67" s="511"/>
      <c r="C67" s="512"/>
      <c r="D67" s="513"/>
      <c r="E67" s="513"/>
      <c r="F67" s="513"/>
      <c r="G67" s="513"/>
      <c r="H67" s="513"/>
      <c r="I67" s="513"/>
      <c r="J67" s="513"/>
      <c r="K67" s="513"/>
      <c r="L67" s="513"/>
      <c r="M67" s="514"/>
      <c r="N67" s="514"/>
      <c r="O67" s="515"/>
      <c r="P67" s="499"/>
      <c r="Q67" s="499"/>
    </row>
    <row r="68" spans="1:17" s="114" customFormat="1">
      <c r="A68" s="516" t="s">
        <v>2544</v>
      </c>
      <c r="B68" s="505"/>
      <c r="C68" s="517" t="s">
        <v>2646</v>
      </c>
      <c r="D68" s="518"/>
      <c r="E68" s="518"/>
      <c r="F68" s="518"/>
      <c r="G68" s="518"/>
      <c r="H68" s="518"/>
      <c r="I68" s="518"/>
      <c r="J68" s="518"/>
      <c r="K68" s="518"/>
      <c r="L68" s="519"/>
      <c r="M68" s="520"/>
      <c r="N68" s="1146"/>
      <c r="O68" s="1146"/>
      <c r="P68" s="521"/>
      <c r="Q68" s="499"/>
    </row>
    <row r="69" spans="1:17" s="114" customFormat="1" ht="14.5" thickBot="1">
      <c r="A69" s="516"/>
      <c r="B69" s="505"/>
      <c r="C69" s="634">
        <v>100</v>
      </c>
      <c r="D69" s="507"/>
      <c r="E69" s="507"/>
      <c r="F69" s="507"/>
      <c r="G69" s="507"/>
      <c r="H69" s="507"/>
      <c r="I69" s="507"/>
      <c r="J69" s="507"/>
      <c r="K69" s="507"/>
      <c r="L69" s="507"/>
      <c r="M69" s="509"/>
      <c r="N69" s="1146"/>
      <c r="O69" s="1146"/>
      <c r="P69" s="499"/>
      <c r="Q69" s="499"/>
    </row>
    <row r="70" spans="1:17">
      <c r="A70" s="522" t="s">
        <v>2582</v>
      </c>
      <c r="B70" s="523" t="s">
        <v>2548</v>
      </c>
      <c r="C70" s="525"/>
      <c r="D70" s="525"/>
      <c r="E70" s="525"/>
      <c r="F70" s="525"/>
      <c r="G70" s="525"/>
      <c r="H70" s="525"/>
      <c r="I70" s="525"/>
      <c r="J70" s="525"/>
      <c r="K70" s="526"/>
      <c r="L70" s="527"/>
      <c r="M70" s="528"/>
      <c r="N70" s="1147"/>
      <c r="O70" s="1147"/>
      <c r="P70" s="43"/>
      <c r="Q70" s="499"/>
    </row>
    <row r="71" spans="1:17" ht="14.5" thickBot="1">
      <c r="A71" s="529"/>
      <c r="B71" s="530"/>
      <c r="C71" s="531"/>
      <c r="D71" s="531"/>
      <c r="E71" s="531"/>
      <c r="F71" s="531"/>
      <c r="G71" s="531"/>
      <c r="H71" s="531"/>
      <c r="I71" s="531"/>
      <c r="J71" s="531"/>
      <c r="K71" s="531"/>
      <c r="L71" s="531"/>
      <c r="M71" s="532"/>
      <c r="N71" s="1148"/>
      <c r="O71" s="1148"/>
      <c r="P71" s="43"/>
      <c r="Q71" s="499"/>
    </row>
    <row r="72" spans="1:17" ht="28.5" thickTop="1">
      <c r="A72" s="529"/>
      <c r="B72" s="533" t="s">
        <v>2551</v>
      </c>
      <c r="C72" s="534"/>
      <c r="D72" s="534"/>
      <c r="E72" s="534"/>
      <c r="F72" s="534"/>
      <c r="G72" s="534"/>
      <c r="H72" s="534"/>
      <c r="I72" s="534"/>
      <c r="J72" s="534"/>
      <c r="K72" s="535"/>
      <c r="L72" s="536"/>
      <c r="M72" s="537"/>
      <c r="N72" s="1147"/>
      <c r="O72" s="1147"/>
      <c r="P72" s="43"/>
      <c r="Q72" s="499"/>
    </row>
    <row r="73" spans="1:17" ht="14.5" thickBot="1">
      <c r="A73" s="529"/>
      <c r="B73" s="538"/>
      <c r="C73" s="539"/>
      <c r="D73" s="539"/>
      <c r="E73" s="539"/>
      <c r="F73" s="539"/>
      <c r="G73" s="539"/>
      <c r="H73" s="539"/>
      <c r="I73" s="539"/>
      <c r="J73" s="539"/>
      <c r="K73" s="539"/>
      <c r="L73" s="539"/>
      <c r="M73" s="540"/>
      <c r="N73" s="1148"/>
      <c r="O73" s="1148"/>
      <c r="P73" s="43"/>
      <c r="Q73" s="499"/>
    </row>
    <row r="74" spans="1:17" ht="14.5" thickTop="1">
      <c r="A74" s="529"/>
      <c r="B74" s="541" t="s">
        <v>2552</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8"/>
      <c r="O74" s="1148"/>
      <c r="P74" s="43"/>
      <c r="Q74" s="499"/>
    </row>
    <row r="75" spans="1:17">
      <c r="A75" s="529"/>
      <c r="B75" s="543"/>
      <c r="C75" s="544"/>
      <c r="D75" s="544"/>
      <c r="E75" s="544"/>
      <c r="F75" s="544"/>
      <c r="G75" s="544"/>
      <c r="H75" s="544"/>
      <c r="I75" s="544"/>
      <c r="J75" s="544"/>
      <c r="K75" s="545"/>
      <c r="L75" s="546"/>
      <c r="M75" s="547"/>
      <c r="N75" s="1147"/>
      <c r="O75" s="1147"/>
      <c r="P75" s="43"/>
      <c r="Q75" s="499"/>
    </row>
    <row r="76" spans="1:17" ht="14.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8"/>
      <c r="O76" s="1148"/>
      <c r="P76" s="43"/>
      <c r="Q76" s="499"/>
    </row>
    <row r="77" spans="1:17" s="466" customFormat="1" ht="14.5" thickTop="1">
      <c r="A77" s="548"/>
      <c r="B77" s="533">
        <f>B12</f>
        <v>111</v>
      </c>
      <c r="C77" s="549"/>
      <c r="D77" s="549"/>
      <c r="E77" s="549"/>
      <c r="F77" s="549"/>
      <c r="G77" s="549"/>
      <c r="H77" s="550"/>
      <c r="I77" s="550"/>
      <c r="J77" s="550"/>
      <c r="K77" s="550"/>
      <c r="L77" s="551"/>
      <c r="M77" s="552"/>
      <c r="N77" s="1149"/>
      <c r="O77" s="1149"/>
      <c r="P77" s="553"/>
      <c r="Q77" s="554"/>
    </row>
    <row r="78" spans="1:17" s="466" customFormat="1" ht="14.5" thickBot="1">
      <c r="A78" s="548"/>
      <c r="B78" s="538"/>
      <c r="C78" s="555"/>
      <c r="D78" s="531"/>
      <c r="E78" s="531"/>
      <c r="F78" s="531"/>
      <c r="G78" s="531"/>
      <c r="H78" s="531"/>
      <c r="I78" s="531"/>
      <c r="J78" s="531"/>
      <c r="K78" s="531"/>
      <c r="L78" s="531"/>
      <c r="M78" s="532"/>
      <c r="N78" s="1148"/>
      <c r="O78" s="1148"/>
      <c r="P78" s="553"/>
      <c r="Q78" s="554"/>
    </row>
    <row r="79" spans="1:17" s="466" customFormat="1" ht="14.5" thickTop="1">
      <c r="A79" s="548"/>
      <c r="B79" s="533">
        <f>B13</f>
        <v>111</v>
      </c>
      <c r="C79" s="549"/>
      <c r="D79" s="549"/>
      <c r="E79" s="549"/>
      <c r="F79" s="549"/>
      <c r="G79" s="549"/>
      <c r="H79" s="550"/>
      <c r="I79" s="550"/>
      <c r="J79" s="550"/>
      <c r="K79" s="550"/>
      <c r="L79" s="551"/>
      <c r="M79" s="552"/>
      <c r="N79" s="1149"/>
      <c r="O79" s="1149"/>
      <c r="P79" s="465"/>
      <c r="Q79" s="556"/>
    </row>
    <row r="80" spans="1:17" s="466" customFormat="1" ht="14.5" thickBot="1">
      <c r="A80" s="548"/>
      <c r="B80" s="538"/>
      <c r="C80" s="555"/>
      <c r="D80" s="555"/>
      <c r="E80" s="555"/>
      <c r="F80" s="555"/>
      <c r="G80" s="555"/>
      <c r="H80" s="557"/>
      <c r="I80" s="557"/>
      <c r="J80" s="557"/>
      <c r="K80" s="557"/>
      <c r="L80" s="557"/>
      <c r="M80" s="558"/>
      <c r="N80" s="1149"/>
      <c r="O80" s="1149"/>
      <c r="P80" s="553"/>
      <c r="Q80" s="554"/>
    </row>
    <row r="81" spans="1:17" s="466" customFormat="1" ht="14.5" thickTop="1">
      <c r="A81" s="548"/>
      <c r="B81" s="541">
        <f>B14</f>
        <v>111</v>
      </c>
      <c r="C81" s="518"/>
      <c r="D81" s="518"/>
      <c r="E81" s="518"/>
      <c r="F81" s="518"/>
      <c r="G81" s="518"/>
      <c r="H81" s="559"/>
      <c r="I81" s="559"/>
      <c r="J81" s="559"/>
      <c r="K81" s="559"/>
      <c r="L81" s="560"/>
      <c r="M81" s="561"/>
      <c r="N81" s="1149"/>
      <c r="O81" s="1149"/>
      <c r="P81" s="562"/>
      <c r="Q81" s="554"/>
    </row>
    <row r="82" spans="1:17" s="466" customFormat="1" ht="14.5" thickBot="1">
      <c r="A82" s="563"/>
      <c r="B82" s="564"/>
      <c r="C82" s="565"/>
      <c r="D82" s="565"/>
      <c r="E82" s="565"/>
      <c r="F82" s="565"/>
      <c r="G82" s="565"/>
      <c r="H82" s="566"/>
      <c r="I82" s="566"/>
      <c r="J82" s="566"/>
      <c r="K82" s="566"/>
      <c r="L82" s="566"/>
      <c r="M82" s="567"/>
      <c r="N82" s="1149"/>
      <c r="O82" s="1149"/>
      <c r="P82" s="553"/>
      <c r="Q82" s="554"/>
    </row>
    <row r="83" spans="1:17">
      <c r="A83" s="522" t="s">
        <v>2553</v>
      </c>
      <c r="B83" s="523" t="s">
        <v>2699</v>
      </c>
      <c r="C83" s="568" t="s">
        <v>2591</v>
      </c>
      <c r="D83" s="568" t="s">
        <v>2592</v>
      </c>
      <c r="E83" s="568" t="s">
        <v>2593</v>
      </c>
      <c r="F83" s="568" t="s">
        <v>2594</v>
      </c>
      <c r="G83" s="568" t="s">
        <v>2595</v>
      </c>
      <c r="H83" s="524"/>
      <c r="I83" s="524"/>
      <c r="J83" s="524"/>
      <c r="K83" s="569"/>
      <c r="L83" s="570"/>
      <c r="M83" s="571"/>
      <c r="N83" s="1147"/>
      <c r="O83" s="1147"/>
      <c r="P83" s="572"/>
      <c r="Q83" s="499"/>
    </row>
    <row r="84" spans="1:17" ht="14.5" thickBot="1">
      <c r="A84" s="529"/>
      <c r="B84" s="538"/>
      <c r="C84" s="539">
        <v>100</v>
      </c>
      <c r="D84" s="539">
        <f>C84-$K15</f>
        <v>100</v>
      </c>
      <c r="E84" s="539">
        <f>D84-$K15</f>
        <v>100</v>
      </c>
      <c r="F84" s="539">
        <f>E84-$K15</f>
        <v>100</v>
      </c>
      <c r="G84" s="539">
        <f>F84-$K15</f>
        <v>100</v>
      </c>
      <c r="H84" s="539"/>
      <c r="I84" s="539"/>
      <c r="J84" s="539"/>
      <c r="K84" s="539"/>
      <c r="L84" s="539"/>
      <c r="M84" s="540"/>
      <c r="N84" s="1148"/>
      <c r="O84" s="1148"/>
      <c r="P84" s="43"/>
      <c r="Q84" s="499"/>
    </row>
    <row r="85" spans="1:17" ht="14.5" thickTop="1">
      <c r="A85" s="529"/>
      <c r="B85" s="533" t="s">
        <v>2596</v>
      </c>
      <c r="C85" s="573" t="s">
        <v>2591</v>
      </c>
      <c r="D85" s="573" t="s">
        <v>2592</v>
      </c>
      <c r="E85" s="573" t="s">
        <v>2593</v>
      </c>
      <c r="F85" s="573" t="s">
        <v>2594</v>
      </c>
      <c r="G85" s="573" t="s">
        <v>2595</v>
      </c>
      <c r="H85" s="534"/>
      <c r="I85" s="534"/>
      <c r="J85" s="534"/>
      <c r="K85" s="535"/>
      <c r="L85" s="536"/>
      <c r="M85" s="537"/>
      <c r="N85" s="1147"/>
      <c r="O85" s="1147"/>
      <c r="P85" s="43"/>
      <c r="Q85" s="499"/>
    </row>
    <row r="86" spans="1:17" ht="14.5" thickBot="1">
      <c r="A86" s="529"/>
      <c r="B86" s="538"/>
      <c r="C86" s="539">
        <v>100</v>
      </c>
      <c r="D86" s="539">
        <f>C86-$K17</f>
        <v>100</v>
      </c>
      <c r="E86" s="539">
        <f>D86-$K17</f>
        <v>100</v>
      </c>
      <c r="F86" s="539">
        <f>E86-$K17</f>
        <v>100</v>
      </c>
      <c r="G86" s="539">
        <f>F86-$K17</f>
        <v>100</v>
      </c>
      <c r="H86" s="539"/>
      <c r="I86" s="539"/>
      <c r="J86" s="539"/>
      <c r="K86" s="539"/>
      <c r="L86" s="539"/>
      <c r="M86" s="540"/>
      <c r="N86" s="1148"/>
      <c r="O86" s="1148"/>
      <c r="P86" s="43"/>
      <c r="Q86" s="499"/>
    </row>
    <row r="87" spans="1:17" s="114" customFormat="1" ht="28.5" thickTop="1">
      <c r="A87" s="574"/>
      <c r="B87" s="533" t="s">
        <v>2778</v>
      </c>
      <c r="C87" s="568" t="s">
        <v>2591</v>
      </c>
      <c r="D87" s="568" t="s">
        <v>2592</v>
      </c>
      <c r="E87" s="568" t="s">
        <v>2593</v>
      </c>
      <c r="F87" s="568" t="s">
        <v>2594</v>
      </c>
      <c r="G87" s="568" t="s">
        <v>2595</v>
      </c>
      <c r="H87" s="573"/>
      <c r="I87" s="573"/>
      <c r="J87" s="573"/>
      <c r="K87" s="573"/>
      <c r="L87" s="693"/>
      <c r="M87" s="617"/>
      <c r="N87" s="1146"/>
      <c r="O87" s="1146"/>
      <c r="P87" s="43"/>
      <c r="Q87" s="499"/>
    </row>
    <row r="88" spans="1:17" s="114" customFormat="1" ht="14.5" thickBot="1">
      <c r="A88" s="574"/>
      <c r="B88" s="538"/>
      <c r="C88" s="577">
        <v>100</v>
      </c>
      <c r="D88" s="539">
        <f>C88-$K19</f>
        <v>100</v>
      </c>
      <c r="E88" s="539">
        <f>D88-$K19</f>
        <v>100</v>
      </c>
      <c r="F88" s="539">
        <f>E88-$K19</f>
        <v>100</v>
      </c>
      <c r="G88" s="539">
        <f>F88-$K19</f>
        <v>100</v>
      </c>
      <c r="H88" s="539"/>
      <c r="I88" s="539"/>
      <c r="J88" s="539"/>
      <c r="K88" s="539"/>
      <c r="L88" s="539"/>
      <c r="M88" s="540"/>
      <c r="N88" s="1148"/>
      <c r="O88" s="1148"/>
      <c r="P88" s="43"/>
      <c r="Q88" s="499"/>
    </row>
    <row r="89" spans="1:17" s="114" customFormat="1" ht="28.5" thickTop="1">
      <c r="A89" s="574"/>
      <c r="B89" s="533" t="s">
        <v>2779</v>
      </c>
      <c r="C89" s="568" t="s">
        <v>2591</v>
      </c>
      <c r="D89" s="568" t="s">
        <v>2592</v>
      </c>
      <c r="E89" s="568" t="s">
        <v>2593</v>
      </c>
      <c r="F89" s="568" t="s">
        <v>2594</v>
      </c>
      <c r="G89" s="568" t="s">
        <v>2595</v>
      </c>
      <c r="H89" s="573"/>
      <c r="I89" s="573"/>
      <c r="J89" s="573"/>
      <c r="K89" s="573"/>
      <c r="L89" s="573"/>
      <c r="M89" s="617"/>
      <c r="N89" s="1146"/>
      <c r="O89" s="1146"/>
      <c r="P89" s="43"/>
      <c r="Q89" s="499"/>
    </row>
    <row r="90" spans="1:17" s="114" customFormat="1" ht="14.5" thickBot="1">
      <c r="A90" s="574"/>
      <c r="B90" s="538"/>
      <c r="C90" s="539">
        <v>100</v>
      </c>
      <c r="D90" s="539">
        <f>C90-$K21</f>
        <v>100</v>
      </c>
      <c r="E90" s="539">
        <f>D90-$K21</f>
        <v>100</v>
      </c>
      <c r="F90" s="539">
        <f>E90-$K21</f>
        <v>100</v>
      </c>
      <c r="G90" s="539">
        <f>F90-$K21</f>
        <v>100</v>
      </c>
      <c r="H90" s="539"/>
      <c r="I90" s="539"/>
      <c r="J90" s="539"/>
      <c r="K90" s="539"/>
      <c r="L90" s="539"/>
      <c r="M90" s="540"/>
      <c r="N90" s="1148"/>
      <c r="O90" s="1148"/>
      <c r="P90" s="43"/>
      <c r="Q90" s="499"/>
    </row>
    <row r="91" spans="1:17" s="466" customFormat="1" ht="14.5" thickTop="1">
      <c r="A91" s="548"/>
      <c r="B91" s="533" t="s">
        <v>2648</v>
      </c>
      <c r="C91" s="568" t="s">
        <v>2591</v>
      </c>
      <c r="D91" s="568" t="s">
        <v>2592</v>
      </c>
      <c r="E91" s="568" t="s">
        <v>2593</v>
      </c>
      <c r="F91" s="568" t="s">
        <v>2594</v>
      </c>
      <c r="G91" s="568" t="s">
        <v>2595</v>
      </c>
      <c r="H91" s="595"/>
      <c r="I91" s="595"/>
      <c r="J91" s="595"/>
      <c r="K91" s="595"/>
      <c r="L91" s="596"/>
      <c r="M91" s="597"/>
      <c r="N91" s="1149"/>
      <c r="O91" s="1149"/>
      <c r="P91" s="553"/>
      <c r="Q91" s="554"/>
    </row>
    <row r="92" spans="1:17" s="466" customFormat="1" ht="14.5" thickBot="1">
      <c r="A92" s="548"/>
      <c r="B92" s="538"/>
      <c r="C92" s="539">
        <v>100</v>
      </c>
      <c r="D92" s="539">
        <f>C92-$K23</f>
        <v>100</v>
      </c>
      <c r="E92" s="539">
        <f>D92-$K23</f>
        <v>100</v>
      </c>
      <c r="F92" s="539">
        <f>E92-$K23</f>
        <v>100</v>
      </c>
      <c r="G92" s="539">
        <f>F92-$K23</f>
        <v>100</v>
      </c>
      <c r="H92" s="602"/>
      <c r="I92" s="602"/>
      <c r="J92" s="602"/>
      <c r="K92" s="602"/>
      <c r="L92" s="602"/>
      <c r="M92" s="603"/>
      <c r="N92" s="1149"/>
      <c r="O92" s="1149"/>
      <c r="P92" s="553"/>
      <c r="Q92" s="554"/>
    </row>
    <row r="93" spans="1:17" s="466" customFormat="1" ht="14.5" thickTop="1">
      <c r="A93" s="548"/>
      <c r="B93" s="541" t="s">
        <v>2796</v>
      </c>
      <c r="C93" s="655" t="s">
        <v>2669</v>
      </c>
      <c r="D93" s="655" t="s">
        <v>2670</v>
      </c>
      <c r="E93" s="655" t="s">
        <v>2671</v>
      </c>
      <c r="F93" s="655" t="s">
        <v>2672</v>
      </c>
      <c r="G93" s="655" t="s">
        <v>2673</v>
      </c>
      <c r="H93" s="595"/>
      <c r="I93" s="595"/>
      <c r="J93" s="595"/>
      <c r="K93" s="595"/>
      <c r="L93" s="595"/>
      <c r="M93" s="597"/>
      <c r="N93" s="1149"/>
      <c r="O93" s="1149"/>
      <c r="P93" s="553"/>
      <c r="Q93" s="554"/>
    </row>
    <row r="94" spans="1:17" s="466" customFormat="1" ht="14.5" thickBot="1">
      <c r="A94" s="548"/>
      <c r="B94" s="541"/>
      <c r="C94" s="539">
        <v>100</v>
      </c>
      <c r="D94" s="539">
        <f>C94-$K25</f>
        <v>100</v>
      </c>
      <c r="E94" s="539">
        <f>D94-$K25</f>
        <v>100</v>
      </c>
      <c r="F94" s="539">
        <f>E94-$K25</f>
        <v>100</v>
      </c>
      <c r="G94" s="539">
        <f>F94-$K25</f>
        <v>100</v>
      </c>
      <c r="H94" s="543"/>
      <c r="I94" s="543"/>
      <c r="J94" s="543"/>
      <c r="K94" s="543"/>
      <c r="L94" s="543"/>
      <c r="M94" s="1380"/>
      <c r="N94" s="1149"/>
      <c r="O94" s="1149"/>
      <c r="P94" s="553"/>
      <c r="Q94" s="554"/>
    </row>
    <row r="95" spans="1:17" ht="14.5" thickTop="1">
      <c r="A95" s="529"/>
      <c r="B95" s="533" t="str">
        <f>B27</f>
        <v>临街状况</v>
      </c>
      <c r="C95" s="534" t="s">
        <v>2780</v>
      </c>
      <c r="D95" s="534" t="s">
        <v>2781</v>
      </c>
      <c r="E95" s="534" t="s">
        <v>2782</v>
      </c>
      <c r="F95" s="534" t="s">
        <v>2783</v>
      </c>
      <c r="G95" s="534"/>
      <c r="H95" s="534"/>
      <c r="I95" s="534"/>
      <c r="J95" s="534"/>
      <c r="K95" s="535"/>
      <c r="L95" s="536"/>
      <c r="M95" s="537"/>
      <c r="N95" s="1147"/>
      <c r="O95" s="1147"/>
      <c r="P95" s="43"/>
      <c r="Q95" s="499"/>
    </row>
    <row r="96" spans="1:17" ht="14.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8"/>
      <c r="O96" s="1148"/>
      <c r="P96" s="43"/>
      <c r="Q96" s="499"/>
    </row>
    <row r="97" spans="1:17" ht="28.5" thickTop="1">
      <c r="A97" s="529"/>
      <c r="B97" s="533" t="s">
        <v>2685</v>
      </c>
      <c r="C97" s="549"/>
      <c r="D97" s="549"/>
      <c r="E97" s="549"/>
      <c r="F97" s="549"/>
      <c r="G97" s="549"/>
      <c r="H97" s="578"/>
      <c r="I97" s="578"/>
      <c r="J97" s="578"/>
      <c r="K97" s="579"/>
      <c r="L97" s="580"/>
      <c r="M97" s="581"/>
      <c r="N97" s="1147"/>
      <c r="O97" s="1147"/>
      <c r="P97" s="43"/>
      <c r="Q97" s="499"/>
    </row>
    <row r="98" spans="1:17" ht="14.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8"/>
      <c r="O98" s="1148"/>
      <c r="P98" s="43"/>
      <c r="Q98" s="499"/>
    </row>
    <row r="99" spans="1:17" ht="14.5" thickTop="1">
      <c r="A99" s="529"/>
      <c r="B99" s="533" t="s">
        <v>2743</v>
      </c>
      <c r="C99" s="578"/>
      <c r="D99" s="578"/>
      <c r="E99" s="578"/>
      <c r="F99" s="578"/>
      <c r="G99" s="578"/>
      <c r="H99" s="578"/>
      <c r="I99" s="578"/>
      <c r="J99" s="578"/>
      <c r="K99" s="579"/>
      <c r="L99" s="580"/>
      <c r="M99" s="581"/>
      <c r="N99" s="1147"/>
      <c r="O99" s="1147"/>
      <c r="P99" s="43"/>
      <c r="Q99" s="499"/>
    </row>
    <row r="100" spans="1:17" ht="14.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8"/>
      <c r="O100" s="1148"/>
      <c r="P100" s="43"/>
      <c r="Q100" s="499"/>
    </row>
    <row r="101" spans="1:17" ht="14.5" thickTop="1">
      <c r="A101" s="529"/>
      <c r="B101" s="541">
        <f>B31</f>
        <v>111</v>
      </c>
      <c r="C101" s="549"/>
      <c r="D101" s="549"/>
      <c r="E101" s="549"/>
      <c r="F101" s="549"/>
      <c r="G101" s="582"/>
      <c r="H101" s="582"/>
      <c r="I101" s="582"/>
      <c r="J101" s="582"/>
      <c r="K101" s="583"/>
      <c r="L101" s="584"/>
      <c r="M101" s="585"/>
      <c r="N101" s="1147"/>
      <c r="O101" s="1147"/>
      <c r="P101" s="43"/>
      <c r="Q101" s="499"/>
    </row>
    <row r="102" spans="1:17" ht="14.5" thickBot="1">
      <c r="A102" s="529"/>
      <c r="B102" s="564"/>
      <c r="C102" s="555"/>
      <c r="D102" s="531"/>
      <c r="E102" s="531"/>
      <c r="F102" s="531"/>
      <c r="G102" s="586"/>
      <c r="H102" s="586"/>
      <c r="I102" s="586"/>
      <c r="J102" s="586"/>
      <c r="K102" s="586"/>
      <c r="L102" s="586"/>
      <c r="M102" s="587"/>
      <c r="N102" s="1148"/>
      <c r="O102" s="1148"/>
      <c r="P102" s="43"/>
      <c r="Q102" s="499"/>
    </row>
    <row r="103" spans="1:17" ht="14.5" thickTop="1">
      <c r="A103" s="670"/>
      <c r="B103" s="533">
        <f>B32</f>
        <v>111</v>
      </c>
      <c r="C103" s="549"/>
      <c r="D103" s="549"/>
      <c r="E103" s="549"/>
      <c r="F103" s="549"/>
      <c r="G103" s="578"/>
      <c r="H103" s="578"/>
      <c r="I103" s="578"/>
      <c r="J103" s="578"/>
      <c r="K103" s="579"/>
      <c r="L103" s="580"/>
      <c r="M103" s="581"/>
      <c r="N103" s="1147"/>
      <c r="O103" s="1147"/>
      <c r="P103" s="43"/>
      <c r="Q103" s="499"/>
    </row>
    <row r="104" spans="1:17" ht="14.5" thickBot="1">
      <c r="A104" s="529"/>
      <c r="B104" s="538"/>
      <c r="C104" s="555"/>
      <c r="D104" s="555"/>
      <c r="E104" s="555"/>
      <c r="F104" s="555"/>
      <c r="G104" s="531"/>
      <c r="H104" s="531"/>
      <c r="I104" s="531"/>
      <c r="J104" s="531"/>
      <c r="K104" s="531"/>
      <c r="L104" s="531"/>
      <c r="M104" s="532"/>
      <c r="N104" s="1148"/>
      <c r="O104" s="1148"/>
      <c r="P104" s="43"/>
      <c r="Q104" s="499"/>
    </row>
    <row r="105" spans="1:17" s="466" customFormat="1" ht="14.5" thickTop="1">
      <c r="A105" s="588"/>
      <c r="B105" s="589">
        <f>B33</f>
        <v>111</v>
      </c>
      <c r="C105" s="518"/>
      <c r="D105" s="518"/>
      <c r="E105" s="518"/>
      <c r="F105" s="518"/>
      <c r="G105" s="590"/>
      <c r="H105" s="590"/>
      <c r="I105" s="590"/>
      <c r="J105" s="591"/>
      <c r="K105" s="591"/>
      <c r="L105" s="592"/>
      <c r="M105" s="593"/>
      <c r="N105" s="1149"/>
      <c r="O105" s="1149"/>
      <c r="P105" s="553"/>
      <c r="Q105" s="554"/>
    </row>
    <row r="106" spans="1:17" s="466" customFormat="1" ht="14.5" thickBot="1">
      <c r="A106" s="548"/>
      <c r="B106" s="541"/>
      <c r="C106" s="565"/>
      <c r="D106" s="565"/>
      <c r="E106" s="565"/>
      <c r="F106" s="565"/>
      <c r="G106" s="672"/>
      <c r="H106" s="672"/>
      <c r="I106" s="672"/>
      <c r="J106" s="672"/>
      <c r="K106" s="672"/>
      <c r="L106" s="672"/>
      <c r="M106" s="694"/>
      <c r="N106" s="1148"/>
      <c r="O106" s="1148"/>
      <c r="P106" s="553"/>
      <c r="Q106" s="554"/>
    </row>
    <row r="107" spans="1:17">
      <c r="A107" s="522" t="s">
        <v>2557</v>
      </c>
      <c r="B107" s="523" t="s">
        <v>2784</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1" t="str">
        <f t="shared" si="25"/>
        <v>(含)-</v>
      </c>
      <c r="L107" s="1761" t="str">
        <f t="shared" si="25"/>
        <v>(含)-</v>
      </c>
      <c r="M107" s="1762" t="str">
        <f>M108&amp;"(含)"&amp;"-"&amp;P108</f>
        <v>(含)-</v>
      </c>
      <c r="N107" s="1147"/>
      <c r="O107" s="1147"/>
      <c r="P107" s="43"/>
      <c r="Q107" s="499"/>
    </row>
    <row r="108" spans="1:17">
      <c r="A108" s="529"/>
      <c r="B108" s="541"/>
      <c r="C108" s="590"/>
      <c r="D108" s="590"/>
      <c r="E108" s="590"/>
      <c r="F108" s="590"/>
      <c r="G108" s="590"/>
      <c r="H108" s="590"/>
      <c r="I108" s="590"/>
      <c r="J108" s="591"/>
      <c r="K108" s="591"/>
      <c r="L108" s="592"/>
      <c r="M108" s="593"/>
      <c r="N108" s="1147"/>
      <c r="O108" s="1147"/>
      <c r="P108" s="43"/>
      <c r="Q108" s="499"/>
    </row>
    <row r="109" spans="1:17" ht="14.5" thickBot="1">
      <c r="A109" s="529"/>
      <c r="B109" s="538"/>
      <c r="C109" s="565"/>
      <c r="D109" s="586"/>
      <c r="E109" s="586"/>
      <c r="F109" s="586"/>
      <c r="G109" s="586"/>
      <c r="H109" s="586"/>
      <c r="I109" s="586"/>
      <c r="J109" s="586"/>
      <c r="K109" s="586"/>
      <c r="L109" s="586"/>
      <c r="M109" s="587"/>
      <c r="N109" s="1148"/>
      <c r="O109" s="1148"/>
      <c r="P109" s="43"/>
      <c r="Q109" s="499"/>
    </row>
    <row r="110" spans="1:17" ht="14.5" thickTop="1">
      <c r="A110" s="594"/>
      <c r="B110" s="533" t="s">
        <v>2785</v>
      </c>
      <c r="C110" s="578"/>
      <c r="D110" s="578"/>
      <c r="E110" s="578"/>
      <c r="F110" s="578"/>
      <c r="G110" s="578"/>
      <c r="H110" s="578"/>
      <c r="I110" s="578"/>
      <c r="J110" s="578"/>
      <c r="K110" s="579"/>
      <c r="L110" s="580"/>
      <c r="M110" s="581"/>
      <c r="N110" s="1147"/>
      <c r="O110" s="1147"/>
      <c r="P110" s="43"/>
      <c r="Q110" s="499"/>
    </row>
    <row r="111" spans="1:17" ht="14.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8"/>
      <c r="O111" s="1148"/>
      <c r="P111" s="43"/>
      <c r="Q111" s="499"/>
    </row>
    <row r="112" spans="1:17" s="466" customFormat="1" ht="14.5" thickTop="1">
      <c r="A112" s="588"/>
      <c r="B112" s="533" t="s">
        <v>2787</v>
      </c>
      <c r="C112" s="549"/>
      <c r="D112" s="549"/>
      <c r="E112" s="549"/>
      <c r="F112" s="549"/>
      <c r="G112" s="549"/>
      <c r="H112" s="578"/>
      <c r="I112" s="578"/>
      <c r="J112" s="578"/>
      <c r="K112" s="579"/>
      <c r="L112" s="580"/>
      <c r="M112" s="581"/>
      <c r="N112" s="1149"/>
      <c r="O112" s="1149"/>
      <c r="P112" s="553"/>
      <c r="Q112" s="554"/>
    </row>
    <row r="113" spans="1:17" s="466" customFormat="1" ht="14.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9"/>
      <c r="O113" s="1149"/>
      <c r="P113" s="553"/>
      <c r="Q113" s="554"/>
    </row>
    <row r="114" spans="1:17" ht="14.5" thickTop="1">
      <c r="A114" s="594"/>
      <c r="B114" s="533" t="s">
        <v>2788</v>
      </c>
      <c r="C114" s="549"/>
      <c r="D114" s="549"/>
      <c r="E114" s="578"/>
      <c r="F114" s="578"/>
      <c r="G114" s="578"/>
      <c r="H114" s="578"/>
      <c r="I114" s="578"/>
      <c r="J114" s="578"/>
      <c r="K114" s="579"/>
      <c r="L114" s="580"/>
      <c r="M114" s="581"/>
      <c r="N114" s="1147"/>
      <c r="O114" s="1147"/>
      <c r="P114" s="43"/>
      <c r="Q114" s="499"/>
    </row>
    <row r="115" spans="1:17" ht="14.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8"/>
      <c r="O115" s="1148"/>
      <c r="P115" s="43"/>
      <c r="Q115" s="499"/>
    </row>
    <row r="116" spans="1:17" ht="14.5" thickTop="1">
      <c r="A116" s="594"/>
      <c r="B116" s="533">
        <f>B38</f>
        <v>111</v>
      </c>
      <c r="C116" s="549"/>
      <c r="D116" s="549"/>
      <c r="E116" s="549"/>
      <c r="F116" s="549"/>
      <c r="G116" s="549"/>
      <c r="H116" s="578"/>
      <c r="I116" s="578"/>
      <c r="J116" s="578"/>
      <c r="K116" s="579"/>
      <c r="L116" s="580"/>
      <c r="M116" s="581"/>
      <c r="N116" s="1147"/>
      <c r="O116" s="1147"/>
      <c r="P116" s="43"/>
      <c r="Q116" s="499"/>
    </row>
    <row r="117" spans="1:17" ht="14.5" thickBot="1">
      <c r="A117" s="529"/>
      <c r="B117" s="538"/>
      <c r="C117" s="555"/>
      <c r="D117" s="531"/>
      <c r="E117" s="531"/>
      <c r="F117" s="531"/>
      <c r="G117" s="531"/>
      <c r="H117" s="531"/>
      <c r="I117" s="531"/>
      <c r="J117" s="531"/>
      <c r="K117" s="531"/>
      <c r="L117" s="531"/>
      <c r="M117" s="532"/>
      <c r="N117" s="1148"/>
      <c r="O117" s="1148"/>
      <c r="P117" s="43"/>
      <c r="Q117" s="499"/>
    </row>
    <row r="118" spans="1:17" ht="14.5" thickTop="1">
      <c r="A118" s="594"/>
      <c r="B118" s="533">
        <f>B39</f>
        <v>111</v>
      </c>
      <c r="C118" s="549"/>
      <c r="D118" s="549"/>
      <c r="E118" s="549"/>
      <c r="F118" s="549"/>
      <c r="G118" s="578"/>
      <c r="H118" s="578"/>
      <c r="I118" s="578"/>
      <c r="J118" s="578"/>
      <c r="K118" s="579"/>
      <c r="L118" s="580"/>
      <c r="M118" s="581"/>
      <c r="N118" s="1147"/>
      <c r="O118" s="1147"/>
      <c r="P118" s="43"/>
      <c r="Q118" s="499"/>
    </row>
    <row r="119" spans="1:17" ht="14.5" thickBot="1">
      <c r="A119" s="529"/>
      <c r="B119" s="538"/>
      <c r="C119" s="555"/>
      <c r="D119" s="555"/>
      <c r="E119" s="555"/>
      <c r="F119" s="555"/>
      <c r="G119" s="531"/>
      <c r="H119" s="531"/>
      <c r="I119" s="531"/>
      <c r="J119" s="531"/>
      <c r="K119" s="531"/>
      <c r="L119" s="531"/>
      <c r="M119" s="532"/>
      <c r="N119" s="1148"/>
      <c r="O119" s="1148"/>
      <c r="P119" s="43"/>
      <c r="Q119" s="499"/>
    </row>
    <row r="120" spans="1:17" s="466" customFormat="1" ht="14.5" thickTop="1">
      <c r="A120" s="588"/>
      <c r="B120" s="533">
        <f>B40</f>
        <v>111</v>
      </c>
      <c r="C120" s="518"/>
      <c r="D120" s="518"/>
      <c r="E120" s="518"/>
      <c r="F120" s="518"/>
      <c r="G120" s="550"/>
      <c r="H120" s="550"/>
      <c r="I120" s="550"/>
      <c r="J120" s="550"/>
      <c r="K120" s="550"/>
      <c r="L120" s="551"/>
      <c r="M120" s="552"/>
      <c r="N120" s="1149"/>
      <c r="O120" s="1149"/>
      <c r="P120" s="553"/>
      <c r="Q120" s="554"/>
    </row>
    <row r="121" spans="1:17" s="466" customFormat="1" ht="14.5" thickBot="1">
      <c r="A121" s="563"/>
      <c r="B121" s="695"/>
      <c r="C121" s="565"/>
      <c r="D121" s="565"/>
      <c r="E121" s="565"/>
      <c r="F121" s="565"/>
      <c r="G121" s="586"/>
      <c r="H121" s="586"/>
      <c r="I121" s="586"/>
      <c r="J121" s="586"/>
      <c r="K121" s="586"/>
      <c r="L121" s="586"/>
      <c r="M121" s="587"/>
      <c r="N121" s="1149"/>
      <c r="O121" s="1149"/>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4" customWidth="1"/>
    <col min="2" max="2" width="37.08984375" style="1954" customWidth="1"/>
    <col min="3" max="3" width="11.36328125" style="1954" customWidth="1"/>
    <col min="4" max="4" width="31.90625" style="1954" customWidth="1"/>
    <col min="5" max="5" width="0.453125" style="1954" customWidth="1"/>
    <col min="6" max="7" width="13" style="1954" customWidth="1"/>
    <col min="8" max="16384" width="9" style="1954"/>
  </cols>
  <sheetData>
    <row r="1" spans="1:5" ht="18">
      <c r="A1" s="1952" t="s">
        <v>1615</v>
      </c>
      <c r="B1" s="1953"/>
      <c r="C1" s="1953"/>
      <c r="D1" s="1953"/>
      <c r="E1" s="1953"/>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v>
      </c>
      <c r="B3" s="3047"/>
      <c r="C3" s="3047"/>
      <c r="D3" s="3047"/>
      <c r="E3" s="3047"/>
    </row>
    <row r="4" spans="1:5" ht="18.5" thickBot="1">
      <c r="A4" s="1955"/>
      <c r="B4" s="3045" t="s">
        <v>1624</v>
      </c>
      <c r="C4" s="3045"/>
      <c r="D4" s="3045"/>
      <c r="E4" s="1955"/>
    </row>
    <row r="5" spans="1:5" ht="16" thickTop="1">
      <c r="A5" s="1953"/>
      <c r="B5" s="3043" t="s">
        <v>1616</v>
      </c>
      <c r="C5" s="1956" t="s">
        <v>1617</v>
      </c>
      <c r="D5" s="1035">
        <f ca="1">结果表!H101</f>
        <v>330898</v>
      </c>
      <c r="E5" s="1953"/>
    </row>
    <row r="6" spans="1:5" ht="15.5">
      <c r="A6" s="1953"/>
      <c r="B6" s="3043"/>
      <c r="C6" s="1956" t="s">
        <v>1618</v>
      </c>
      <c r="D6" s="1035" t="str">
        <f ca="1">NUMBERSTRING(INT(D5*10000),2)&amp;"元整"</f>
        <v>叁拾叁亿零捌佰玖拾捌万元整</v>
      </c>
      <c r="E6" s="1953"/>
    </row>
    <row r="7" spans="1:5" ht="15.5">
      <c r="A7" s="1953"/>
      <c r="B7" s="3048"/>
      <c r="C7" s="1957" t="s">
        <v>1619</v>
      </c>
      <c r="D7" s="1036">
        <f ca="1">结果表!H102</f>
        <v>15589</v>
      </c>
      <c r="E7" s="1953"/>
    </row>
    <row r="8" spans="1:5" ht="15.5">
      <c r="A8" s="1953"/>
      <c r="B8" s="3049" t="str">
        <f>结果表!E103</f>
        <v>2.估价师知悉的法定优先受偿款</v>
      </c>
      <c r="C8" s="1958" t="s">
        <v>1620</v>
      </c>
      <c r="D8" s="1036">
        <f>结果表!H103</f>
        <v>0</v>
      </c>
      <c r="E8" s="1953"/>
    </row>
    <row r="9" spans="1:5" ht="15.5">
      <c r="A9" s="1953"/>
      <c r="B9" s="3051"/>
      <c r="C9" s="1956" t="s">
        <v>1618</v>
      </c>
      <c r="D9" s="1035" t="str">
        <f>NUMBERSTRING(INT(D8*10000),2)&amp;"元整"</f>
        <v>零元整</v>
      </c>
      <c r="E9" s="1953"/>
    </row>
    <row r="10" spans="1:5" ht="16">
      <c r="A10" s="1953"/>
      <c r="B10" s="1959" t="s">
        <v>1623</v>
      </c>
      <c r="C10" s="1960" t="s">
        <v>1621</v>
      </c>
      <c r="D10" s="1037">
        <f>结果表!H104</f>
        <v>0</v>
      </c>
      <c r="E10" s="1953"/>
    </row>
    <row r="11" spans="1:5" ht="16">
      <c r="A11" s="1953"/>
      <c r="B11" s="1959" t="s">
        <v>1625</v>
      </c>
      <c r="C11" s="1960" t="s">
        <v>1626</v>
      </c>
      <c r="D11" s="1037">
        <f>结果表!H105</f>
        <v>0</v>
      </c>
      <c r="E11" s="1953"/>
    </row>
    <row r="12" spans="1:5" ht="16">
      <c r="A12" s="1953"/>
      <c r="B12" s="1959" t="s">
        <v>1627</v>
      </c>
      <c r="C12" s="1960" t="s">
        <v>1626</v>
      </c>
      <c r="D12" s="1037">
        <f>结果表!H106</f>
        <v>0</v>
      </c>
      <c r="E12" s="1953"/>
    </row>
    <row r="13" spans="1:5" ht="15.5">
      <c r="A13" s="1953"/>
      <c r="B13" s="3042" t="str">
        <f>结果表!E107</f>
        <v>——</v>
      </c>
      <c r="C13" s="1961" t="s">
        <v>1617</v>
      </c>
      <c r="D13" s="1038" t="str">
        <f>结果表!H107</f>
        <v>——</v>
      </c>
      <c r="E13" s="1953"/>
    </row>
    <row r="14" spans="1:5" ht="15.5">
      <c r="A14" s="1953"/>
      <c r="B14" s="3043"/>
      <c r="C14" s="1956" t="s">
        <v>1618</v>
      </c>
      <c r="D14" s="1035" t="e">
        <f>NUMBERSTRING(INT(D13*10000),2)&amp;"元整"</f>
        <v>#VALUE!</v>
      </c>
      <c r="E14" s="1953"/>
    </row>
    <row r="15" spans="1:5" ht="15.5">
      <c r="A15" s="1953"/>
      <c r="B15" s="3048"/>
      <c r="C15" s="1957" t="s">
        <v>1628</v>
      </c>
      <c r="D15" s="1047" t="e">
        <f>结果表!H108</f>
        <v>#VALUE!</v>
      </c>
      <c r="E15" s="1953"/>
    </row>
    <row r="16" spans="1:5" ht="15">
      <c r="A16" s="1953"/>
      <c r="B16" s="3049" t="str">
        <f>结果表!E109</f>
        <v>3.抵押担保权已注销时的房地产抵押价值</v>
      </c>
      <c r="C16" s="1961" t="s">
        <v>1629</v>
      </c>
      <c r="D16" s="1962">
        <f ca="1">结果表!H109</f>
        <v>330898</v>
      </c>
      <c r="E16" s="1953"/>
    </row>
    <row r="17" spans="1:5" ht="15.5">
      <c r="A17" s="1953"/>
      <c r="B17" s="3050"/>
      <c r="C17" s="1956" t="s">
        <v>1630</v>
      </c>
      <c r="D17" s="1035" t="str">
        <f ca="1">NUMBERSTRING(INT(D16*10000),2)&amp;"元整"</f>
        <v>叁拾叁亿零捌佰玖拾捌万元整</v>
      </c>
      <c r="E17" s="1953"/>
    </row>
    <row r="18" spans="1:5" ht="15.5">
      <c r="A18" s="1953"/>
      <c r="B18" s="3051"/>
      <c r="C18" s="1957" t="s">
        <v>1619</v>
      </c>
      <c r="D18" s="1047">
        <f ca="1">结果表!H110</f>
        <v>15589</v>
      </c>
      <c r="E18" s="1953"/>
    </row>
    <row r="19" spans="1:5" ht="15.5">
      <c r="A19" s="1953"/>
      <c r="B19" s="3042" t="str">
        <f>结果表!E111</f>
        <v>4.抵押净值</v>
      </c>
      <c r="C19" s="1961" t="s">
        <v>1617</v>
      </c>
      <c r="D19" s="1036">
        <f ca="1">结果表!H111</f>
        <v>260226</v>
      </c>
      <c r="E19" s="1953"/>
    </row>
    <row r="20" spans="1:5" ht="15.5">
      <c r="A20" s="1953"/>
      <c r="B20" s="3043"/>
      <c r="C20" s="1956" t="s">
        <v>1630</v>
      </c>
      <c r="D20" s="1035" t="str">
        <f ca="1">NUMBERSTRING(INT(D19*10000),2)&amp;"元整"</f>
        <v>贰拾陆亿零贰佰贰拾陆万元整</v>
      </c>
      <c r="E20" s="1953"/>
    </row>
    <row r="21" spans="1:5" ht="16" thickBot="1">
      <c r="A21" s="1953"/>
      <c r="B21" s="3044"/>
      <c r="C21" s="1963" t="s">
        <v>1628</v>
      </c>
      <c r="D21" s="1048">
        <f ca="1">结果表!H112</f>
        <v>12259</v>
      </c>
      <c r="E21" s="1953"/>
    </row>
    <row r="22" spans="1:5" ht="14.5" thickTop="1">
      <c r="A22" s="1953"/>
      <c r="B22" s="1964" t="s">
        <v>1631</v>
      </c>
      <c r="C22" s="1953"/>
      <c r="D22" s="1953"/>
      <c r="E22" s="1953"/>
    </row>
    <row r="23" spans="1:5">
      <c r="A23" s="1953"/>
      <c r="B23" s="1953"/>
      <c r="C23" s="1953"/>
      <c r="D23" s="1953"/>
      <c r="E23" s="1953"/>
    </row>
    <row r="24" spans="1:5" ht="17.5">
      <c r="A24" s="1965"/>
      <c r="B24" s="1966" t="s">
        <v>1622</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zoomScale="80" zoomScaleNormal="80" zoomScaleSheetLayoutView="96" workbookViewId="0">
      <selection activeCell="H19" sqref="H19"/>
    </sheetView>
  </sheetViews>
  <sheetFormatPr defaultColWidth="12" defaultRowHeight="12.5"/>
  <cols>
    <col min="1" max="1" width="9.90625" style="2774" customWidth="1"/>
    <col min="2" max="2" width="19.08984375" style="2880" customWidth="1"/>
    <col min="3" max="4" width="12" style="2706"/>
    <col min="5" max="5" width="14.6328125" style="2706" customWidth="1"/>
    <col min="6" max="8" width="12" style="2706"/>
    <col min="9" max="9" width="12.08984375" style="2706" bestFit="1" customWidth="1"/>
    <col min="10" max="10" width="12" style="2706"/>
    <col min="11" max="11" width="8.08984375" style="2769" customWidth="1"/>
    <col min="12" max="12" width="12" style="2706"/>
    <col min="13" max="13" width="8.453125" style="2706" customWidth="1"/>
    <col min="14" max="14" width="9.90625" style="2706" customWidth="1"/>
    <col min="15" max="25" width="12" style="2706"/>
    <col min="26" max="26" width="9.36328125" style="2774" customWidth="1"/>
    <col min="27" max="32" width="9.36328125" style="1367" customWidth="1"/>
    <col min="33" max="36" width="9.36328125" style="2774" customWidth="1"/>
    <col min="37" max="38" width="9.36328125" style="2706" customWidth="1"/>
    <col min="39" max="16384" width="12" style="2706"/>
  </cols>
  <sheetData>
    <row r="1" spans="1:36" ht="30">
      <c r="A1" s="235" t="s">
        <v>2797</v>
      </c>
      <c r="B1" s="236"/>
      <c r="C1" s="240" t="s">
        <v>2798</v>
      </c>
      <c r="D1" s="383">
        <f>SUM(D29:D30,D33:D39)</f>
        <v>0</v>
      </c>
      <c r="E1" s="2703"/>
      <c r="F1" s="2703"/>
      <c r="G1" s="2703"/>
      <c r="H1" s="2703"/>
      <c r="I1" s="2703"/>
      <c r="J1" s="2703"/>
      <c r="K1" s="1365"/>
      <c r="L1" s="2704" t="s">
        <v>2799</v>
      </c>
      <c r="M1" s="1075">
        <f>SUMPRODUCT((区片价!B5:B9=I2)*(区片价!C3:F3=E2)*(区片价!C5:F9))</f>
        <v>0</v>
      </c>
      <c r="N1" s="1078">
        <f>SUMPRODUCT((因素修正幅度!B5:B9=I2)*(因素修正幅度!C3:F3=E2)*(因素修正幅度!C5:F9))</f>
        <v>0</v>
      </c>
      <c r="O1" s="2705"/>
      <c r="P1" s="2705"/>
      <c r="Q1" s="1365"/>
      <c r="R1" s="1597" t="s">
        <v>2800</v>
      </c>
      <c r="S1" s="1597" t="s">
        <v>2801</v>
      </c>
      <c r="T1" s="1597" t="s">
        <v>2802</v>
      </c>
      <c r="U1" s="1597" t="s">
        <v>2803</v>
      </c>
      <c r="V1" s="1597" t="s">
        <v>2804</v>
      </c>
      <c r="W1" s="1601"/>
      <c r="X1" s="1601"/>
      <c r="Y1" s="1601"/>
      <c r="Z1" s="1601"/>
      <c r="AA1" s="1601"/>
      <c r="AB1" s="1601"/>
      <c r="AC1" s="1602"/>
      <c r="AD1" s="1603"/>
      <c r="AE1" s="1603"/>
      <c r="AF1" s="1603"/>
      <c r="AG1" s="1603"/>
      <c r="AH1" s="1603"/>
      <c r="AI1" s="1603"/>
      <c r="AJ1" s="1604"/>
    </row>
    <row r="2" spans="1:36" ht="15.5">
      <c r="A2" s="240" t="s">
        <v>2805</v>
      </c>
      <c r="B2" s="243" t="e">
        <f>C26</f>
        <v>#DIV/0!</v>
      </c>
      <c r="C2" s="2707" t="s">
        <v>2806</v>
      </c>
      <c r="D2" s="2708" t="s">
        <v>2807</v>
      </c>
      <c r="E2" s="2709"/>
      <c r="F2" s="2708" t="s">
        <v>2808</v>
      </c>
      <c r="G2" s="2710">
        <f>IF(E2="商业",项目基本情况!B37,IF(E2="办公",项目基本情况!C37,IF(E2="住宅",项目基本情况!D37,项目基本情况!E37)))</f>
        <v>0</v>
      </c>
      <c r="H2" s="2708" t="s">
        <v>2809</v>
      </c>
      <c r="I2" s="2710">
        <f>IF(E2="商业",项目基本情况!B38,IF(E2="办公",项目基本情况!C38,IF(E2="住宅",项目基本情况!D38,项目基本情况!E38)))</f>
        <v>0</v>
      </c>
      <c r="J2" s="2711"/>
      <c r="K2" s="1365"/>
      <c r="L2" s="2712" t="s">
        <v>2810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5">
      <c r="A3" s="242" t="s">
        <v>2811</v>
      </c>
      <c r="B3" s="243" t="e">
        <f>ROUND(B2*10000/D1,0)</f>
        <v>#DIV/0!</v>
      </c>
      <c r="C3" s="2707" t="s">
        <v>2812</v>
      </c>
      <c r="D3" s="2708" t="s">
        <v>2813</v>
      </c>
      <c r="E3" s="2713"/>
      <c r="F3" s="2714" t="s">
        <v>2814</v>
      </c>
      <c r="G3" s="911">
        <f>IF(F3="宗地容积率",'数据-汇总表'!I4,IF(F3="估价对象容积率",'数据-汇总表'!I6,'数据-汇总表'!I7))</f>
        <v>1.18</v>
      </c>
      <c r="H3" s="193" t="s">
        <v>2815</v>
      </c>
      <c r="I3" s="939"/>
      <c r="J3" s="2711" t="s">
        <v>2816</v>
      </c>
      <c r="K3" s="1365"/>
      <c r="L3" s="2712" t="s">
        <v>2817</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5">
      <c r="A4" s="3336"/>
      <c r="B4" s="3337"/>
      <c r="C4" s="3337"/>
      <c r="D4" s="3338"/>
      <c r="E4" s="3338"/>
      <c r="F4" s="3338"/>
      <c r="G4" s="3338"/>
      <c r="H4" s="3338"/>
      <c r="I4" s="3338"/>
      <c r="J4" s="3339"/>
      <c r="K4" s="1365"/>
      <c r="L4" s="2712" t="s">
        <v>2818</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4" customFormat="1" ht="16" thickBot="1">
      <c r="A5" s="2715" t="s">
        <v>807</v>
      </c>
      <c r="B5" s="2716" t="s">
        <v>2819</v>
      </c>
      <c r="C5" s="912" t="e">
        <f>ROUND(IF(E2="商业",C6*C7+C16,(IF(E2="住宅",C6*C12+C16,C6+C16))),0)</f>
        <v>#DIV/0!</v>
      </c>
      <c r="D5" s="1782" t="e">
        <f>ROUND(C6+C16,0)</f>
        <v>#DIV/0!</v>
      </c>
      <c r="E5" s="1782"/>
      <c r="F5" s="2717"/>
      <c r="G5" s="2718"/>
      <c r="H5" s="2718"/>
      <c r="I5" s="2718"/>
      <c r="J5" s="2719"/>
      <c r="K5" s="2720"/>
      <c r="L5" s="2712" t="s">
        <v>2820</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1"/>
      <c r="AD5" s="2722"/>
      <c r="AE5" s="2722"/>
      <c r="AF5" s="2722"/>
      <c r="AG5" s="2722"/>
      <c r="AH5" s="2722"/>
      <c r="AI5" s="2722"/>
      <c r="AJ5" s="2723"/>
    </row>
    <row r="6" spans="1:36" ht="16" thickBot="1">
      <c r="A6" s="2725" t="s">
        <v>2821</v>
      </c>
      <c r="B6" s="2726" t="s">
        <v>2822</v>
      </c>
      <c r="C6" s="913">
        <f>SUMIF(L1:L12,G2,M1:M12)</f>
        <v>0</v>
      </c>
      <c r="D6" s="2727" t="s">
        <v>2823</v>
      </c>
      <c r="E6" s="2728"/>
      <c r="F6" s="2728"/>
      <c r="G6" s="2729"/>
      <c r="H6" s="2729"/>
      <c r="I6" s="2729"/>
      <c r="J6" s="2730"/>
      <c r="K6" s="1837"/>
      <c r="L6" s="2712" t="s">
        <v>2824</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1"/>
      <c r="AD6" s="2722"/>
      <c r="AE6" s="2722"/>
      <c r="AF6" s="2722"/>
      <c r="AG6" s="2722"/>
      <c r="AH6" s="2722"/>
      <c r="AI6" s="2722"/>
      <c r="AJ6" s="2723"/>
    </row>
    <row r="7" spans="1:36" ht="26">
      <c r="A7" s="3340" t="str">
        <f>IF(E2="商业",IF(C8="不临58条商业街","",2),"")</f>
        <v/>
      </c>
      <c r="B7" s="2731" t="s">
        <v>2825</v>
      </c>
      <c r="C7" s="914" t="e">
        <f>IF(C8="不临58条商业街",1,ROUND(1+(1.6*E8+1.2*E9+0.8*E10+0.4*E11)*C9,4))</f>
        <v>#DIV/0!</v>
      </c>
      <c r="D7" s="2732" t="s">
        <v>2826</v>
      </c>
      <c r="E7" s="940"/>
      <c r="F7" s="2733"/>
      <c r="G7" s="2734"/>
      <c r="H7" s="2734"/>
      <c r="I7" s="2734"/>
      <c r="J7" s="2735"/>
      <c r="K7" s="1837"/>
      <c r="L7" s="2712" t="s">
        <v>2827</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2828</v>
      </c>
      <c r="X7" s="1599">
        <f>G2</f>
        <v>0</v>
      </c>
      <c r="Y7" s="1599" t="s">
        <v>2829</v>
      </c>
      <c r="Z7" s="1600">
        <f>G3</f>
        <v>1.18</v>
      </c>
      <c r="AA7" s="1601"/>
      <c r="AB7" s="1601"/>
      <c r="AC7" s="1602"/>
      <c r="AD7" s="1603"/>
      <c r="AE7" s="1603"/>
      <c r="AF7" s="1603"/>
      <c r="AG7" s="1603"/>
      <c r="AH7" s="1603"/>
      <c r="AI7" s="1603"/>
      <c r="AJ7" s="1604"/>
    </row>
    <row r="8" spans="1:36" ht="15.5">
      <c r="A8" s="3341"/>
      <c r="B8" s="193" t="s">
        <v>2830</v>
      </c>
      <c r="C8" s="2736"/>
      <c r="D8" s="915" t="s">
        <v>139</v>
      </c>
      <c r="E8" s="916" t="e">
        <f>ROUND(C11/E7,4)</f>
        <v>#DIV/0!</v>
      </c>
      <c r="F8" s="2737" t="s">
        <v>2831</v>
      </c>
      <c r="G8" s="2738"/>
      <c r="H8" s="2738"/>
      <c r="I8" s="2738"/>
      <c r="J8" s="2739"/>
      <c r="K8" s="1365"/>
      <c r="L8" s="2712" t="s">
        <v>2832</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33" t="s">
        <v>2833</v>
      </c>
      <c r="X8" s="3334"/>
      <c r="Y8" s="1605" t="s">
        <v>2834</v>
      </c>
      <c r="Z8" s="1605" t="s">
        <v>2835</v>
      </c>
      <c r="AA8" s="1605" t="s">
        <v>2836</v>
      </c>
      <c r="AB8" s="1605" t="s">
        <v>2837</v>
      </c>
      <c r="AC8" s="1605" t="s">
        <v>2838</v>
      </c>
      <c r="AD8" s="1605" t="s">
        <v>2839</v>
      </c>
      <c r="AE8" s="1605" t="s">
        <v>2840</v>
      </c>
      <c r="AF8" s="1605" t="s">
        <v>2841</v>
      </c>
      <c r="AG8" s="1605" t="s">
        <v>2842</v>
      </c>
      <c r="AH8" s="1605" t="s">
        <v>2843</v>
      </c>
      <c r="AI8" s="1605" t="s">
        <v>2844</v>
      </c>
      <c r="AJ8" s="1605" t="s">
        <v>2845</v>
      </c>
    </row>
    <row r="9" spans="1:36" ht="15.5">
      <c r="A9" s="3341"/>
      <c r="B9" s="193" t="s">
        <v>2846</v>
      </c>
      <c r="C9" s="917">
        <f>SUMIF(修正!C59:C119,C8,修正!E59:E119)</f>
        <v>0</v>
      </c>
      <c r="D9" s="195" t="s">
        <v>140</v>
      </c>
      <c r="E9" s="195" t="e">
        <f>ROUND(C11/E7,4)</f>
        <v>#DIV/0!</v>
      </c>
      <c r="F9" s="2737" t="s">
        <v>2847</v>
      </c>
      <c r="G9" s="2738"/>
      <c r="H9" s="2738"/>
      <c r="I9" s="2738"/>
      <c r="J9" s="2739"/>
      <c r="K9" s="1365"/>
      <c r="L9" s="2712" t="s">
        <v>2848</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35" t="s">
        <v>2849</v>
      </c>
      <c r="X9" s="1606" t="s">
        <v>2850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5">
      <c r="A10" s="3341"/>
      <c r="B10" s="193" t="s">
        <v>2851</v>
      </c>
      <c r="C10" s="195">
        <f>SUMIF(修正!C59:C119,C8,修正!F59:F119)</f>
        <v>0</v>
      </c>
      <c r="D10" s="195" t="s">
        <v>141</v>
      </c>
      <c r="E10" s="195" t="e">
        <f>ROUND(C11/E7,4)</f>
        <v>#DIV/0!</v>
      </c>
      <c r="F10" s="2737" t="s">
        <v>2852</v>
      </c>
      <c r="G10" s="2738"/>
      <c r="H10" s="2738"/>
      <c r="I10" s="2738"/>
      <c r="J10" s="2739"/>
      <c r="K10" s="1365"/>
      <c r="L10" s="2712" t="s">
        <v>2853</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35"/>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6" thickBot="1">
      <c r="A11" s="3341"/>
      <c r="B11" s="2740" t="s">
        <v>2854</v>
      </c>
      <c r="C11" s="918">
        <f>C10/4</f>
        <v>0</v>
      </c>
      <c r="D11" s="918" t="s">
        <v>142</v>
      </c>
      <c r="E11" s="918" t="e">
        <f>ROUND(C11/E7,4)</f>
        <v>#DIV/0!</v>
      </c>
      <c r="F11" s="2741" t="s">
        <v>2855</v>
      </c>
      <c r="G11" s="2742"/>
      <c r="H11" s="2742"/>
      <c r="I11" s="2742"/>
      <c r="J11" s="2743"/>
      <c r="K11" s="1365"/>
      <c r="L11" s="2712" t="s">
        <v>2856</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35" t="s">
        <v>2857</v>
      </c>
      <c r="X11" s="1609" t="s">
        <v>2858</v>
      </c>
      <c r="Y11" s="1610">
        <f>$G$3</f>
        <v>1.18</v>
      </c>
      <c r="Z11" s="1610">
        <f t="shared" ref="Z11:AJ11" si="3">$G$3</f>
        <v>1.18</v>
      </c>
      <c r="AA11" s="1610">
        <f t="shared" si="3"/>
        <v>1.18</v>
      </c>
      <c r="AB11" s="1610">
        <f t="shared" si="3"/>
        <v>1.18</v>
      </c>
      <c r="AC11" s="1610">
        <f t="shared" si="3"/>
        <v>1.18</v>
      </c>
      <c r="AD11" s="1610">
        <f t="shared" si="3"/>
        <v>1.18</v>
      </c>
      <c r="AE11" s="1610">
        <f t="shared" si="3"/>
        <v>1.18</v>
      </c>
      <c r="AF11" s="1610">
        <f t="shared" si="3"/>
        <v>1.18</v>
      </c>
      <c r="AG11" s="1610">
        <f t="shared" si="3"/>
        <v>1.18</v>
      </c>
      <c r="AH11" s="1610">
        <f t="shared" si="3"/>
        <v>1.18</v>
      </c>
      <c r="AI11" s="1610">
        <f t="shared" si="3"/>
        <v>1.18</v>
      </c>
      <c r="AJ11" s="1610">
        <f t="shared" si="3"/>
        <v>1.18</v>
      </c>
    </row>
    <row r="12" spans="1:36" ht="26.5" thickBot="1">
      <c r="A12" s="3340" t="s">
        <v>2859</v>
      </c>
      <c r="B12" s="2744" t="s">
        <v>2860</v>
      </c>
      <c r="C12" s="914">
        <f>ROUND(C15*D15*E15*F15*G15*H15*I15*J15,4)</f>
        <v>1</v>
      </c>
      <c r="D12" s="2745" t="s">
        <v>2861</v>
      </c>
      <c r="E12" s="2746"/>
      <c r="F12" s="2746"/>
      <c r="G12" s="2747"/>
      <c r="H12" s="2747"/>
      <c r="I12" s="2747"/>
      <c r="J12" s="2748"/>
      <c r="K12" s="1365"/>
      <c r="L12" s="2749" t="s">
        <v>2862</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35"/>
      <c r="X12" s="1611" t="s">
        <v>2863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6">
      <c r="A13" s="3342"/>
      <c r="B13" s="2750" t="s">
        <v>2864</v>
      </c>
      <c r="C13" s="2751" t="s">
        <v>2865</v>
      </c>
      <c r="D13" s="1803" t="s">
        <v>2866</v>
      </c>
      <c r="E13" s="1803" t="s">
        <v>2867</v>
      </c>
      <c r="F13" s="30" t="s">
        <v>2868</v>
      </c>
      <c r="G13" s="2752" t="s">
        <v>2869</v>
      </c>
      <c r="H13" s="2752" t="s">
        <v>2869</v>
      </c>
      <c r="I13" s="2752" t="s">
        <v>2869</v>
      </c>
      <c r="J13" s="2753" t="s">
        <v>2869</v>
      </c>
      <c r="K13" s="1365"/>
      <c r="L13" s="1365"/>
      <c r="M13" s="1365"/>
      <c r="N13" s="1365"/>
      <c r="O13" s="1365"/>
      <c r="P13" s="1365"/>
      <c r="Q13" s="1365"/>
      <c r="R13" s="1597">
        <v>12</v>
      </c>
      <c r="S13" s="1598"/>
      <c r="T13" s="1597" t="e">
        <f t="shared" si="0"/>
        <v>#DIV/0!</v>
      </c>
      <c r="U13" s="1598"/>
      <c r="V13" s="1597" t="e">
        <f t="shared" si="1"/>
        <v>#DIV/0!</v>
      </c>
      <c r="W13" s="3335"/>
      <c r="X13" s="1611"/>
      <c r="Y13" s="1608">
        <f>(-0.163*(Y12^2)-0.59*Y12+7617)*(10^(-4))/Y11</f>
        <v>0.64550847457627125</v>
      </c>
      <c r="Z13" s="1608">
        <f t="shared" ref="Z13:AJ13" si="5">(-0.163*(Z12^2)-0.59*Z12+7617)*(10^(-4))/Z11</f>
        <v>0.64550847457627125</v>
      </c>
      <c r="AA13" s="1608">
        <f t="shared" si="5"/>
        <v>0.64550847457627125</v>
      </c>
      <c r="AB13" s="1608">
        <f t="shared" si="5"/>
        <v>0.64550847457627125</v>
      </c>
      <c r="AC13" s="1608">
        <f t="shared" si="5"/>
        <v>0.64550847457627125</v>
      </c>
      <c r="AD13" s="1608">
        <f t="shared" si="5"/>
        <v>0.64550847457627125</v>
      </c>
      <c r="AE13" s="1608">
        <f t="shared" si="5"/>
        <v>0.64550847457627125</v>
      </c>
      <c r="AF13" s="1608">
        <f t="shared" si="5"/>
        <v>0.64550847457627125</v>
      </c>
      <c r="AG13" s="1608">
        <f t="shared" si="5"/>
        <v>0.64550847457627125</v>
      </c>
      <c r="AH13" s="1608">
        <f t="shared" si="5"/>
        <v>0.64550847457627125</v>
      </c>
      <c r="AI13" s="1608">
        <f t="shared" si="5"/>
        <v>0.64550847457627125</v>
      </c>
      <c r="AJ13" s="1608">
        <f t="shared" si="5"/>
        <v>0.64550847457627125</v>
      </c>
    </row>
    <row r="14" spans="1:36" ht="15.5">
      <c r="A14" s="3342"/>
      <c r="B14" s="2754"/>
      <c r="C14" s="2755"/>
      <c r="D14" s="2756"/>
      <c r="E14" s="2756"/>
      <c r="F14" s="2757"/>
      <c r="G14" s="2758" t="s">
        <v>2870</v>
      </c>
      <c r="H14" s="2759"/>
      <c r="I14" s="2760"/>
      <c r="J14" s="2761"/>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6" thickBot="1">
      <c r="A15" s="3343"/>
      <c r="B15" s="2762" t="s">
        <v>2871</v>
      </c>
      <c r="C15" s="224">
        <f>IF(C14="有",1.1,1)</f>
        <v>1</v>
      </c>
      <c r="D15" s="224">
        <f>IF(D14="有",1.1,1)</f>
        <v>1</v>
      </c>
      <c r="E15" s="224">
        <f>IF(E14="有",1.1,1)</f>
        <v>1</v>
      </c>
      <c r="F15" s="224">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5" customHeight="1">
      <c r="A16" s="3340" t="s">
        <v>2876</v>
      </c>
      <c r="B16" s="2731" t="s">
        <v>2877</v>
      </c>
      <c r="C16" s="2918" t="e">
        <f>ROUND(IF(F17="与级别开发程度一致",0,(G17-E17)/C17),0)</f>
        <v>#DIV/0!</v>
      </c>
      <c r="D16" s="3354" t="s">
        <v>2881</v>
      </c>
      <c r="E16" s="3355"/>
      <c r="F16" s="3354" t="s">
        <v>2878</v>
      </c>
      <c r="G16" s="3355"/>
      <c r="H16" s="2765"/>
      <c r="I16" s="2765"/>
      <c r="J16" s="2922"/>
      <c r="K16" s="2765"/>
      <c r="L16" s="2765"/>
      <c r="M16" s="2765"/>
      <c r="N16" s="2765"/>
      <c r="O16" s="2766"/>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44"/>
      <c r="B17" s="2929" t="s">
        <v>2880</v>
      </c>
      <c r="C17" s="2930">
        <f>SUMPRODUCT((修正!A2:A5=E2)*(修正!B1:M1=G2)*(修正!B2:M5))</f>
        <v>0</v>
      </c>
      <c r="D17" s="224" t="str">
        <f>IF(OR(G2="八级",G2="九级",G2="十级",G2="十一级",G2="十二级"),"五通一平","七通一平")</f>
        <v>七通一平</v>
      </c>
      <c r="E17" s="2919">
        <f>SUMPRODUCT((修正!B1:M1=G2)*(修正!B15:M15))</f>
        <v>0</v>
      </c>
      <c r="F17" s="2920"/>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5"/>
      <c r="R17" s="1365"/>
      <c r="S17" s="1365"/>
      <c r="T17" s="1365"/>
      <c r="U17" s="1365"/>
      <c r="V17" s="1365"/>
      <c r="W17" s="1365"/>
      <c r="X17" s="1365"/>
      <c r="Y17" s="1365"/>
      <c r="Z17" s="1366"/>
      <c r="AE17" s="2769"/>
      <c r="AF17" s="2769"/>
      <c r="AG17" s="2706"/>
      <c r="AH17" s="2706"/>
      <c r="AI17" s="2706"/>
      <c r="AJ17" s="2706"/>
    </row>
    <row r="18" spans="1:37" s="2724" customFormat="1" ht="14.5" thickBot="1">
      <c r="A18" s="2923" t="s">
        <v>808</v>
      </c>
      <c r="B18" s="2924" t="s">
        <v>2883</v>
      </c>
      <c r="C18" s="2925">
        <f>SUMIF(修正!C18:C39,E3,修正!E18:E39)</f>
        <v>0</v>
      </c>
      <c r="D18" s="2926"/>
      <c r="E18" s="2927"/>
      <c r="F18" s="2927"/>
      <c r="G18" s="2927"/>
      <c r="H18" s="2927"/>
      <c r="I18" s="2927"/>
      <c r="J18" s="2928"/>
      <c r="K18" s="1372"/>
      <c r="O18" s="1370"/>
      <c r="P18" s="1370"/>
      <c r="Q18" s="1371"/>
      <c r="R18" s="1371"/>
      <c r="S18" s="1371"/>
      <c r="T18" s="1366"/>
      <c r="U18" s="1366"/>
      <c r="V18" s="1366"/>
      <c r="W18" s="1365"/>
      <c r="X18" s="1365"/>
      <c r="Y18" s="1365"/>
      <c r="Z18" s="1372"/>
      <c r="AA18" s="1373"/>
      <c r="AB18" s="1373"/>
      <c r="AC18" s="1373"/>
      <c r="AD18" s="1373"/>
      <c r="AE18" s="1367"/>
      <c r="AF18" s="1367"/>
      <c r="AG18" s="2774"/>
      <c r="AH18" s="2774"/>
      <c r="AI18" s="2774"/>
    </row>
    <row r="19" spans="1:37" s="2724" customFormat="1" ht="28.5" thickBot="1">
      <c r="A19" s="2770" t="s">
        <v>809</v>
      </c>
      <c r="B19" s="2771" t="s">
        <v>2884</v>
      </c>
      <c r="C19" s="919" t="e">
        <f>ROUND(IF(H19="按公示增长率计算",SUMPRODUCT((地价!A3:A29=YEAR(G19)&amp;"-"&amp;ROUNDUP(MONTH(G19)/3,0))*(地价!X2:AB2=E2)*(地价!X3:AB29)),IF(H19="地价指数",M20/M19,(1+I19)^O19)),4)</f>
        <v>#VALUE!</v>
      </c>
      <c r="D19" s="2775" t="s">
        <v>2885</v>
      </c>
      <c r="E19" s="920">
        <v>41640</v>
      </c>
      <c r="F19" s="2775" t="s">
        <v>2886</v>
      </c>
      <c r="G19" s="921">
        <f>'数据-取费表'!B2</f>
        <v>43903</v>
      </c>
      <c r="H19" s="2776"/>
      <c r="I19" s="922" t="str">
        <f>IF(H19="季度增幅（自定义）",SUMIF(N21:N24,E2,O21:O24),"")</f>
        <v/>
      </c>
      <c r="J19" s="2773"/>
      <c r="K19" s="1372"/>
      <c r="L19" s="2777" t="s">
        <v>2887</v>
      </c>
      <c r="M19" s="1729">
        <f>ROUND(SUMIF(地价!B2:F2,E2,地价!B29:F29),0)</f>
        <v>0</v>
      </c>
      <c r="N19" s="2778" t="s">
        <v>2888</v>
      </c>
      <c r="O19" s="923">
        <f>ROUNDDOWN(DATEDIF(E19,G19,"M")/3,0)</f>
        <v>24</v>
      </c>
      <c r="P19" s="1369"/>
      <c r="Q19" s="1371"/>
      <c r="R19" s="1371"/>
      <c r="S19" s="1371"/>
      <c r="T19" s="1366"/>
      <c r="U19" s="1366"/>
      <c r="V19" s="1366"/>
      <c r="W19" s="1365"/>
      <c r="X19" s="1365"/>
      <c r="Y19" s="1365"/>
      <c r="Z19" s="1372"/>
      <c r="AA19" s="1373"/>
      <c r="AB19" s="1373"/>
      <c r="AC19" s="1373"/>
      <c r="AD19" s="1373"/>
      <c r="AE19" s="1373"/>
      <c r="AF19" s="2779"/>
      <c r="AG19" s="2780"/>
      <c r="AH19" s="2774"/>
      <c r="AI19" s="2781"/>
      <c r="AJ19" s="2781"/>
      <c r="AK19" s="2781"/>
    </row>
    <row r="20" spans="1:37" s="2724" customFormat="1" ht="28.5" thickBot="1">
      <c r="A20" s="2782" t="s">
        <v>810</v>
      </c>
      <c r="B20" s="2783" t="s">
        <v>2889</v>
      </c>
      <c r="C20" s="924" t="e">
        <f>ROUND(POWER(1+G20,J20-I20)*(POWER(1+G20,I20)-1)/(POWER(1+G20,J20)-1),4)</f>
        <v>#DIV/0!</v>
      </c>
      <c r="D20" s="2784" t="s">
        <v>2890</v>
      </c>
      <c r="E20" s="1763">
        <f ca="1">存贷款利率!D4/100</f>
        <v>4.3499999999999997E-2</v>
      </c>
      <c r="F20" s="2784" t="s">
        <v>2882</v>
      </c>
      <c r="G20" s="929">
        <f>SUMIF(M26:P26,E2,M28:P28)</f>
        <v>0</v>
      </c>
      <c r="H20" s="2784" t="s">
        <v>2891</v>
      </c>
      <c r="I20" s="930" t="e">
        <f>SUMIF('数据-取费表'!C6:C15,E2,'数据-取费表'!F6:F15)/COUNTIF('数据-取费表'!C6:C15,E2)</f>
        <v>#DIV/0!</v>
      </c>
      <c r="J20" s="931">
        <f>IF(E2="住宅",70,IF(E2="商业",40,50))</f>
        <v>50</v>
      </c>
      <c r="K20" s="1372"/>
      <c r="L20" s="2785" t="s">
        <v>2892</v>
      </c>
      <c r="M20" s="1730">
        <f>ROUND(SUMPRODUCT((地价!A4:A29=YEAR(G19)&amp;"-"&amp;ROUNDUP(MONTH(G19)/3,0))*(地价!B2:F2=E2)*(地价!B4:F29)),0)</f>
        <v>0</v>
      </c>
      <c r="N20" s="2786" t="s">
        <v>2893</v>
      </c>
      <c r="O20" s="2787" t="s">
        <v>2894</v>
      </c>
      <c r="P20" s="2788" t="s">
        <v>2895</v>
      </c>
      <c r="R20" s="1371"/>
      <c r="S20" s="1371"/>
      <c r="T20" s="1366"/>
      <c r="U20" s="1366"/>
      <c r="V20" s="1366"/>
      <c r="W20" s="1365"/>
      <c r="X20" s="1365"/>
      <c r="Y20" s="1365"/>
      <c r="Z20" s="1372"/>
      <c r="AA20" s="1373"/>
      <c r="AB20" s="1373"/>
      <c r="AC20" s="1373"/>
      <c r="AD20" s="1373"/>
      <c r="AE20" s="1373"/>
      <c r="AF20" s="1373"/>
    </row>
    <row r="21" spans="1:37" s="2724" customFormat="1" ht="14">
      <c r="A21" s="2789" t="s">
        <v>811</v>
      </c>
      <c r="B21" s="2790" t="s">
        <v>2896</v>
      </c>
      <c r="C21" s="932">
        <f>IF(B21="容积率修正",IF(G3&lt;=10,D22,J22),C23)</f>
        <v>0</v>
      </c>
      <c r="D21" s="2791"/>
      <c r="E21" s="2791"/>
      <c r="F21" s="2791"/>
      <c r="G21" s="2791"/>
      <c r="H21" s="2791"/>
      <c r="I21" s="2791"/>
      <c r="J21" s="2792"/>
      <c r="K21" s="1372"/>
      <c r="N21" s="2793" t="s">
        <v>2897</v>
      </c>
      <c r="O21" s="1556"/>
      <c r="P21" s="1557">
        <f>SUMPRODUCT((地价!A3:A29=YEAR(G19)&amp;"-"&amp;ROUNDUP(MONTH(G19)/3,0))*(地价!AD2:AH2=N21)*(地价!AD3:AH29))</f>
        <v>1.35E-2</v>
      </c>
      <c r="R21" s="1371"/>
      <c r="S21" s="1371"/>
      <c r="T21" s="1366"/>
      <c r="U21" s="1366"/>
      <c r="V21" s="1366"/>
      <c r="W21" s="1365"/>
      <c r="X21" s="1365"/>
      <c r="Y21" s="1365"/>
      <c r="Z21" s="1372"/>
      <c r="AA21" s="1373"/>
      <c r="AB21" s="1373"/>
      <c r="AC21" s="1373"/>
      <c r="AD21" s="1373"/>
      <c r="AE21" s="1373"/>
      <c r="AF21" s="1373"/>
    </row>
    <row r="22" spans="1:37" s="2724" customFormat="1" ht="14.5">
      <c r="A22" s="2650" t="s">
        <v>2898</v>
      </c>
      <c r="B22" s="2794" t="s">
        <v>2899</v>
      </c>
      <c r="C22" s="1805" t="s">
        <v>2900</v>
      </c>
      <c r="D22" s="1805">
        <f>IF(E22=G22,F22,IF(G3&lt;=10,ROUND(F22+(H22-F22)*(G3-E22)/(G22-E22),4),"——"))</f>
        <v>0</v>
      </c>
      <c r="E22" s="911">
        <f>ROUNDDOWN(G3,1)</f>
        <v>1.1000000000000001</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793" t="s">
        <v>2901</v>
      </c>
      <c r="O22" s="1556"/>
      <c r="P22" s="1557">
        <f>SUMPRODUCT((地价!A3:A29=YEAR(G19)&amp;"-"&amp;ROUNDUP(MONTH(G19)/3,0))*(地价!AD2:AH2=N22)*(地价!AD3:AH29))</f>
        <v>1.35E-2</v>
      </c>
      <c r="R22" s="1371"/>
      <c r="S22" s="1371"/>
      <c r="T22" s="1366"/>
      <c r="U22" s="1366"/>
      <c r="V22" s="1366"/>
      <c r="W22" s="1365"/>
      <c r="X22" s="1365"/>
      <c r="Y22" s="1365"/>
      <c r="Z22" s="1372"/>
      <c r="AA22" s="1373"/>
      <c r="AB22" s="1373"/>
      <c r="AC22" s="1373"/>
      <c r="AD22" s="1373"/>
      <c r="AE22" s="1373"/>
      <c r="AF22" s="1373"/>
    </row>
    <row r="23" spans="1:37" ht="28.5" thickBot="1">
      <c r="A23" s="2650" t="s">
        <v>2902</v>
      </c>
      <c r="B23" s="2795" t="s">
        <v>2903</v>
      </c>
      <c r="C23" s="1008">
        <f>ROUND(IF(G3&gt;1,IF(I3&lt;7,SUMPRODUCT((B93:B98=I3)*(C92:N92=G2)*(C93:N98)),SUMIF(C92:N92,G2,C100:N100)),IF(I3&lt;7,SUMPRODUCT((B102:B107=I3)*(C92:N92=G2)*(C102:N107)),SUMIF(C92:N92,G2,C109:N109))),4)</f>
        <v>0</v>
      </c>
      <c r="D23" s="2759"/>
      <c r="E23" s="2759"/>
      <c r="F23" s="2796"/>
      <c r="G23" s="2797"/>
      <c r="H23" s="2798"/>
      <c r="I23" s="2799"/>
      <c r="J23" s="2800"/>
      <c r="K23" s="1365"/>
      <c r="N23" s="2793" t="s">
        <v>2904</v>
      </c>
      <c r="O23" s="1556"/>
      <c r="P23" s="1557">
        <f>SUMPRODUCT((地价!A3:A29=YEAR(G19)&amp;"-"&amp;ROUNDUP(MONTH(G19)/3,0))*(地价!AD2:AH2=N23)*(地价!AD3:AH29))</f>
        <v>2.0799999999999999E-2</v>
      </c>
      <c r="R23" s="1371"/>
      <c r="S23" s="1371"/>
      <c r="T23" s="1366"/>
      <c r="U23" s="1366"/>
      <c r="V23" s="1366"/>
      <c r="W23" s="1365"/>
      <c r="X23" s="1365"/>
      <c r="Y23" s="1365"/>
      <c r="Z23" s="1372"/>
      <c r="AA23" s="1373"/>
      <c r="AB23" s="1373"/>
      <c r="AC23" s="1373"/>
      <c r="AD23" s="1373"/>
      <c r="AK23" s="2774"/>
    </row>
    <row r="24" spans="1:37" s="2724" customFormat="1" ht="14.5" thickBot="1">
      <c r="A24" s="2782" t="s">
        <v>812</v>
      </c>
      <c r="B24" s="2771" t="s">
        <v>2905</v>
      </c>
      <c r="C24" s="919">
        <f>SUMIF(A45:A88,E2,B45:B88)</f>
        <v>0</v>
      </c>
      <c r="D24" s="2772"/>
      <c r="E24" s="2801"/>
      <c r="F24" s="2801"/>
      <c r="G24" s="2801"/>
      <c r="H24" s="2801"/>
      <c r="I24" s="2801"/>
      <c r="J24" s="2802"/>
      <c r="K24" s="1372"/>
      <c r="N24" s="2803" t="s">
        <v>2906</v>
      </c>
      <c r="O24" s="1558"/>
      <c r="P24" s="1559">
        <f>SUMPRODUCT((地价!A3:A29=YEAR(G19)&amp;"-"&amp;ROUNDUP(MONTH(G19)/3,0))*(地价!AD2:AH2=N24)*(地价!AD3:AH29))</f>
        <v>1.3299999999999999E-2</v>
      </c>
      <c r="R24" s="1371"/>
      <c r="S24" s="1371"/>
      <c r="T24" s="1366"/>
      <c r="U24" s="1366"/>
      <c r="V24" s="1366"/>
      <c r="W24" s="1365"/>
      <c r="X24" s="1365"/>
      <c r="Y24" s="1365"/>
      <c r="Z24" s="1372"/>
      <c r="AA24" s="1373"/>
      <c r="AB24" s="1373"/>
      <c r="AC24" s="1373"/>
      <c r="AD24" s="1373"/>
      <c r="AE24" s="1373"/>
      <c r="AF24" s="1373"/>
    </row>
    <row r="25" spans="1:37" ht="14.5" thickBot="1">
      <c r="A25" s="2782" t="s">
        <v>813</v>
      </c>
      <c r="B25" s="2804" t="s">
        <v>2907</v>
      </c>
      <c r="C25" s="925"/>
      <c r="D25" s="2734"/>
      <c r="E25" s="2734"/>
      <c r="F25" s="2805"/>
      <c r="G25" s="2734"/>
      <c r="H25" s="2734"/>
      <c r="I25" s="2734"/>
      <c r="J25" s="2735"/>
      <c r="K25" s="1365"/>
      <c r="N25" s="2806" t="s">
        <v>2908</v>
      </c>
      <c r="O25" s="1560"/>
      <c r="P25" s="1559">
        <f>SUMPRODUCT((地价!A3:A29=YEAR(G19)&amp;"-"&amp;ROUNDUP(MONTH(G19)/3,0))*(地价!AD2:AH2=N25)*(地价!AD3:AH29))</f>
        <v>1.9E-2</v>
      </c>
      <c r="R25" s="1371"/>
      <c r="S25" s="1371"/>
      <c r="T25" s="1366"/>
      <c r="U25" s="1366"/>
      <c r="V25" s="1366"/>
      <c r="W25" s="1365"/>
      <c r="X25" s="1365"/>
      <c r="Y25" s="1365"/>
      <c r="Z25" s="1372"/>
      <c r="AA25" s="1373"/>
      <c r="AB25" s="1373"/>
      <c r="AC25" s="1373"/>
      <c r="AD25" s="1373"/>
    </row>
    <row r="26" spans="1:37" ht="14">
      <c r="A26" s="2807"/>
      <c r="B26" s="2794" t="s">
        <v>2909</v>
      </c>
      <c r="C26" s="201" t="e">
        <f>E29+SUM(E33:E39)</f>
        <v>#DIV/0!</v>
      </c>
      <c r="D26" s="2808"/>
      <c r="E26" s="2759"/>
      <c r="F26" s="2809"/>
      <c r="G26" s="2759"/>
      <c r="H26" s="2759"/>
      <c r="I26" s="2759"/>
      <c r="J26" s="2810"/>
      <c r="K26" s="1365"/>
      <c r="L26" s="2763" t="s">
        <v>2807</v>
      </c>
      <c r="M26" s="915" t="s">
        <v>2872</v>
      </c>
      <c r="N26" s="915" t="s">
        <v>2873</v>
      </c>
      <c r="O26" s="915" t="s">
        <v>2874</v>
      </c>
      <c r="P26" s="2764" t="s">
        <v>2875</v>
      </c>
      <c r="R26" s="1371"/>
      <c r="S26" s="1371"/>
      <c r="T26" s="1366"/>
      <c r="U26" s="1366"/>
      <c r="V26" s="1366"/>
      <c r="W26" s="1365"/>
      <c r="X26" s="1365"/>
      <c r="Y26" s="1365"/>
      <c r="Z26" s="1372"/>
      <c r="AA26" s="1373"/>
      <c r="AB26" s="1373"/>
      <c r="AC26" s="1373"/>
      <c r="AD26" s="1373"/>
    </row>
    <row r="27" spans="1:37" ht="14.5" thickBot="1">
      <c r="A27" s="2807"/>
      <c r="B27" s="2811" t="s">
        <v>2910</v>
      </c>
      <c r="C27" s="926" t="e">
        <f>E30+SUM(I33:I39)</f>
        <v>#DIV/0!</v>
      </c>
      <c r="D27" s="2812"/>
      <c r="E27" s="2813"/>
      <c r="F27" s="2814"/>
      <c r="G27" s="2813"/>
      <c r="H27" s="2813"/>
      <c r="I27" s="2813"/>
      <c r="J27" s="2815"/>
      <c r="K27" s="1365"/>
      <c r="L27" s="2767" t="s">
        <v>2879</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4.5" thickBot="1">
      <c r="A28" s="2816"/>
      <c r="B28" s="2817" t="s">
        <v>2911</v>
      </c>
      <c r="C28" s="2818" t="s">
        <v>2912</v>
      </c>
      <c r="D28" s="2818" t="s">
        <v>2913</v>
      </c>
      <c r="E28" s="2819" t="s">
        <v>2914</v>
      </c>
      <c r="F28" s="2820"/>
      <c r="G28" s="2747"/>
      <c r="H28" s="2747"/>
      <c r="I28" s="2747"/>
      <c r="J28" s="2748"/>
      <c r="K28" s="1365"/>
      <c r="L28" s="2768" t="s">
        <v>2882</v>
      </c>
      <c r="M28" s="206">
        <f ca="1">ROUND($E$20*(1+M27),3)</f>
        <v>5.3999999999999999E-2</v>
      </c>
      <c r="N28" s="206">
        <f ca="1">ROUND($E$20*(1+N27),3)</f>
        <v>5.1999999999999998E-2</v>
      </c>
      <c r="O28" s="206">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1"/>
      <c r="B29" s="2822" t="s">
        <v>2915</v>
      </c>
      <c r="C29" s="201" t="e">
        <f>ROUND(C5*C18*C19*C20*C21*C24,0)</f>
        <v>#DIV/0!</v>
      </c>
      <c r="D29" s="2823"/>
      <c r="E29" s="937" t="e">
        <f>ROUND(C29*D29/10000,0)</f>
        <v>#DIV/0!</v>
      </c>
      <c r="F29" s="2824" t="s">
        <v>2916</v>
      </c>
      <c r="G29" s="2825"/>
      <c r="H29" s="2825"/>
      <c r="I29" s="2825"/>
      <c r="J29" s="2826"/>
      <c r="K29" s="1365"/>
      <c r="L29" s="1365"/>
      <c r="M29" s="1365"/>
      <c r="N29" s="1365"/>
      <c r="O29" s="1370"/>
      <c r="P29" s="1370"/>
      <c r="Q29" s="1371"/>
      <c r="R29" s="1371"/>
      <c r="S29" s="1371"/>
      <c r="T29" s="1366"/>
      <c r="U29" s="1366"/>
      <c r="V29" s="1366"/>
      <c r="W29" s="1365"/>
      <c r="X29" s="1365"/>
      <c r="Y29" s="1365"/>
      <c r="Z29" s="1372"/>
      <c r="AA29" s="1373"/>
      <c r="AB29" s="1373"/>
      <c r="AC29" s="1373"/>
      <c r="AD29" s="1373"/>
      <c r="AE29" s="2769"/>
      <c r="AF29" s="2769"/>
      <c r="AG29" s="2706"/>
      <c r="AH29" s="2706"/>
      <c r="AI29" s="2706"/>
      <c r="AJ29" s="2706"/>
    </row>
    <row r="30" spans="1:37" ht="26.5" thickBot="1">
      <c r="A30" s="2827"/>
      <c r="B30" s="2828" t="s">
        <v>2917</v>
      </c>
      <c r="C30" s="224" t="e">
        <f>ROUND(IF(E2="工业",C29*M39,C29*M38),0)</f>
        <v>#DIV/0!</v>
      </c>
      <c r="D30" s="2829"/>
      <c r="E30" s="937" t="e">
        <f>ROUND(C30*D30/10000,0)</f>
        <v>#DIV/0!</v>
      </c>
      <c r="F30" s="2830" t="s">
        <v>2918</v>
      </c>
      <c r="G30" s="2831"/>
      <c r="H30" s="2831"/>
      <c r="I30" s="2831"/>
      <c r="J30" s="2832"/>
      <c r="K30" s="1365"/>
      <c r="L30" s="1365"/>
      <c r="M30" s="1365"/>
      <c r="N30" s="1365"/>
      <c r="O30" s="1370"/>
      <c r="P30" s="1370"/>
      <c r="Q30" s="1371"/>
      <c r="R30" s="1371"/>
      <c r="S30" s="1371"/>
      <c r="T30" s="1366"/>
      <c r="U30" s="1366"/>
      <c r="V30" s="1366"/>
      <c r="W30" s="1365"/>
      <c r="X30" s="1365"/>
      <c r="Y30" s="1365"/>
      <c r="Z30" s="1372"/>
      <c r="AA30" s="1373"/>
      <c r="AB30" s="1373"/>
      <c r="AC30" s="1373"/>
      <c r="AD30" s="1373"/>
      <c r="AE30" s="2769"/>
      <c r="AF30" s="2769"/>
      <c r="AG30" s="2706"/>
      <c r="AH30" s="2706"/>
      <c r="AI30" s="2706"/>
      <c r="AJ30" s="2706"/>
    </row>
    <row r="31" spans="1:37" ht="14">
      <c r="A31" s="2833"/>
      <c r="B31" s="2834" t="s">
        <v>2919</v>
      </c>
      <c r="C31" s="2835" t="s">
        <v>2920</v>
      </c>
      <c r="D31" s="2747"/>
      <c r="E31" s="2835"/>
      <c r="F31" s="2835"/>
      <c r="G31" s="2745" t="s">
        <v>2921</v>
      </c>
      <c r="H31" s="2747"/>
      <c r="I31" s="2836"/>
      <c r="J31" s="2748"/>
      <c r="K31" s="1365"/>
      <c r="L31" s="1365"/>
      <c r="M31" s="1365"/>
      <c r="N31" s="1365"/>
      <c r="O31" s="1370"/>
      <c r="P31" s="1370"/>
      <c r="Q31" s="1371"/>
      <c r="R31" s="1371"/>
      <c r="S31" s="1371"/>
      <c r="T31" s="1366"/>
      <c r="U31" s="1366"/>
      <c r="V31" s="1366"/>
      <c r="W31" s="1365"/>
      <c r="X31" s="1365"/>
      <c r="Y31" s="1365"/>
      <c r="Z31" s="1372"/>
      <c r="AA31" s="1373"/>
      <c r="AB31" s="1373"/>
      <c r="AC31" s="1373"/>
      <c r="AD31" s="1373"/>
      <c r="AE31" s="2769"/>
      <c r="AF31" s="2769"/>
      <c r="AG31" s="2706"/>
      <c r="AH31" s="2706"/>
      <c r="AI31" s="2706"/>
      <c r="AJ31" s="2706"/>
    </row>
    <row r="32" spans="1:37" ht="26">
      <c r="A32" s="2821"/>
      <c r="B32" s="2837"/>
      <c r="C32" s="496" t="s">
        <v>2912</v>
      </c>
      <c r="D32" s="493" t="s">
        <v>2913</v>
      </c>
      <c r="E32" s="493" t="s">
        <v>2914</v>
      </c>
      <c r="F32" s="383" t="s">
        <v>2922</v>
      </c>
      <c r="G32" s="2838" t="s">
        <v>2912</v>
      </c>
      <c r="H32" s="2838" t="s">
        <v>2913</v>
      </c>
      <c r="I32" s="2838" t="s">
        <v>2914</v>
      </c>
      <c r="J32" s="282"/>
      <c r="K32" s="1365"/>
      <c r="L32" s="1365"/>
      <c r="M32" s="1365"/>
      <c r="N32" s="1365"/>
      <c r="O32" s="1370"/>
      <c r="P32" s="1370"/>
      <c r="Q32" s="1371"/>
      <c r="R32" s="1371"/>
      <c r="S32" s="1371"/>
      <c r="T32" s="1366"/>
      <c r="U32" s="1366"/>
      <c r="V32" s="1366"/>
      <c r="W32" s="1365"/>
      <c r="X32" s="1365"/>
      <c r="Y32" s="1365"/>
      <c r="Z32" s="1372"/>
      <c r="AA32" s="1373"/>
      <c r="AB32" s="1373"/>
      <c r="AC32" s="1373"/>
      <c r="AD32" s="1373"/>
      <c r="AE32" s="2769"/>
      <c r="AF32" s="2769"/>
      <c r="AG32" s="2706"/>
      <c r="AH32" s="2706"/>
      <c r="AI32" s="2706"/>
      <c r="AJ32" s="2706"/>
    </row>
    <row r="33" spans="1:37" ht="36" customHeight="1">
      <c r="A33" s="3351" t="s">
        <v>2923</v>
      </c>
      <c r="B33" s="2839" t="s">
        <v>2924</v>
      </c>
      <c r="C33" s="201" t="e">
        <f>ROUND(D5*C19*C20*C24*F33,0)</f>
        <v>#DIV/0!</v>
      </c>
      <c r="D33" s="2823"/>
      <c r="E33" s="195" t="e">
        <f>ROUND(C33*D33/10000,0)</f>
        <v>#DIV/0!</v>
      </c>
      <c r="F33" s="195">
        <f>SUMIF(修正!A45:A56,G2,修正!B45:B56)</f>
        <v>0</v>
      </c>
      <c r="G33" s="195" t="e">
        <f t="shared" ref="G33" si="6">ROUND(IF(E2="工业",C33*$M$39,C33*$M$38),0)</f>
        <v>#DIV/0!</v>
      </c>
      <c r="H33" s="195">
        <f>D33</f>
        <v>0</v>
      </c>
      <c r="I33" s="195" t="e">
        <f>ROUND(G33*H33/10000,0)</f>
        <v>#DIV/0!</v>
      </c>
      <c r="J33" s="284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
      <c r="A34" s="3352"/>
      <c r="B34" s="2751" t="s">
        <v>2925</v>
      </c>
      <c r="C34" s="201" t="e">
        <f>ROUND(D5*C19*C20*C24*F34,0)</f>
        <v>#DIV/0!</v>
      </c>
      <c r="D34" s="2823"/>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4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ht="13">
      <c r="A35" s="3352"/>
      <c r="B35" s="2751" t="s">
        <v>2926</v>
      </c>
      <c r="C35" s="201" t="e">
        <f>ROUND(D5*C19*C20*C24*F35,0)</f>
        <v>#DIV/0!</v>
      </c>
      <c r="D35" s="2823"/>
      <c r="E35" s="195" t="e">
        <f t="shared" si="7"/>
        <v>#DIV/0!</v>
      </c>
      <c r="F35" s="195">
        <f>SUMIF(修正!A45:A56,G2,修正!D45:D56)</f>
        <v>0</v>
      </c>
      <c r="G35" s="195" t="e">
        <f>ROUND(IF(E2="工业",C35*$M$39,C35*$M$38),0)</f>
        <v>#DIV/0!</v>
      </c>
      <c r="H35" s="195">
        <f t="shared" si="8"/>
        <v>0</v>
      </c>
      <c r="I35" s="195" t="e">
        <f t="shared" si="9"/>
        <v>#DIV/0!</v>
      </c>
      <c r="J35" s="2840"/>
      <c r="K35" s="1365"/>
      <c r="L35" s="1365"/>
      <c r="M35" s="1365"/>
      <c r="N35" s="1365"/>
      <c r="O35" s="1365"/>
      <c r="P35" s="1365"/>
      <c r="Q35" s="1365"/>
      <c r="R35" s="1365"/>
      <c r="S35" s="1365"/>
      <c r="T35" s="1365"/>
      <c r="U35" s="1365"/>
      <c r="V35" s="1365"/>
      <c r="W35" s="1365"/>
      <c r="X35" s="1365"/>
      <c r="Y35" s="1365"/>
      <c r="Z35" s="1366"/>
    </row>
    <row r="36" spans="1:37" ht="13.5" thickBot="1">
      <c r="A36" s="3353"/>
      <c r="B36" s="2751" t="s">
        <v>2927</v>
      </c>
      <c r="C36" s="201" t="e">
        <f>ROUND(D5*C19*C20*C24*F36,0)</f>
        <v>#DIV/0!</v>
      </c>
      <c r="D36" s="2823"/>
      <c r="E36" s="195" t="e">
        <f t="shared" si="7"/>
        <v>#DIV/0!</v>
      </c>
      <c r="F36" s="195">
        <f>SUMIF(修正!A45:A56,G2,修正!E45:E56)</f>
        <v>0</v>
      </c>
      <c r="G36" s="195" t="e">
        <f>ROUND(IF(E2="工业",C36*$M$39,C36*$M$38),0)</f>
        <v>#DIV/0!</v>
      </c>
      <c r="H36" s="195">
        <f t="shared" si="8"/>
        <v>0</v>
      </c>
      <c r="I36" s="195" t="e">
        <f t="shared" si="9"/>
        <v>#DIV/0!</v>
      </c>
      <c r="J36" s="2840"/>
      <c r="K36" s="1365"/>
      <c r="L36" s="2705"/>
      <c r="M36" s="2705"/>
      <c r="N36" s="1365"/>
      <c r="O36" s="1365"/>
      <c r="P36" s="1365"/>
      <c r="Q36" s="1365"/>
      <c r="R36" s="1365"/>
      <c r="S36" s="1365"/>
      <c r="T36" s="1365"/>
      <c r="U36" s="1365"/>
      <c r="V36" s="1365"/>
      <c r="W36" s="1365"/>
      <c r="X36" s="1365"/>
      <c r="Y36" s="1365"/>
      <c r="Z36" s="1366"/>
    </row>
    <row r="37" spans="1:37" ht="13">
      <c r="A37" s="2841"/>
      <c r="B37" s="2751" t="s">
        <v>2928</v>
      </c>
      <c r="C37" s="195" t="e">
        <f>ROUND(D5*C19*C20*C24*F37,0)</f>
        <v>#DIV/0!</v>
      </c>
      <c r="D37" s="2823"/>
      <c r="E37" s="195" t="e">
        <f t="shared" si="7"/>
        <v>#DIV/0!</v>
      </c>
      <c r="F37" s="201">
        <f>SUMIF(修正!A45:A56,G2,修正!F45:F56)</f>
        <v>0</v>
      </c>
      <c r="G37" s="195" t="e">
        <f>ROUND(IF(E2="工业",C37*$M$39,C37*$M$38),0)</f>
        <v>#DIV/0!</v>
      </c>
      <c r="H37" s="195">
        <f t="shared" si="8"/>
        <v>0</v>
      </c>
      <c r="I37" s="195" t="e">
        <f t="shared" si="9"/>
        <v>#DIV/0!</v>
      </c>
      <c r="J37" s="2840"/>
      <c r="K37" s="1365"/>
      <c r="L37" s="2842" t="s">
        <v>2929</v>
      </c>
      <c r="M37" s="2843"/>
      <c r="N37" s="1365"/>
      <c r="O37" s="1365"/>
      <c r="P37" s="1365"/>
      <c r="Q37" s="1365"/>
      <c r="R37" s="1365"/>
      <c r="S37" s="1365"/>
      <c r="T37" s="1365"/>
      <c r="U37" s="1365"/>
      <c r="V37" s="1365"/>
      <c r="W37" s="1365"/>
      <c r="X37" s="1365"/>
      <c r="Y37" s="1365"/>
      <c r="Z37" s="1366"/>
    </row>
    <row r="38" spans="1:37" ht="13">
      <c r="A38" s="2841"/>
      <c r="B38" s="2751" t="s">
        <v>2930</v>
      </c>
      <c r="C38" s="195" t="e">
        <f>ROUND(D5*C19*C41*C24*F38,0)</f>
        <v>#DIV/0!</v>
      </c>
      <c r="D38" s="2823"/>
      <c r="E38" s="195" t="e">
        <f t="shared" si="7"/>
        <v>#DIV/0!</v>
      </c>
      <c r="F38" s="201">
        <f>SUMIF(修正!A45:A56,G2,修正!G45:G56)</f>
        <v>0</v>
      </c>
      <c r="G38" s="195" t="e">
        <f>ROUND(IF(E2="工业",C38*$M$39,C38*$M$38),0)</f>
        <v>#DIV/0!</v>
      </c>
      <c r="H38" s="195">
        <f t="shared" si="8"/>
        <v>0</v>
      </c>
      <c r="I38" s="195" t="e">
        <f t="shared" si="9"/>
        <v>#DIV/0!</v>
      </c>
      <c r="J38" s="2840"/>
      <c r="K38" s="1365"/>
      <c r="L38" s="1882" t="s">
        <v>2931</v>
      </c>
      <c r="M38" s="2844">
        <v>0.25</v>
      </c>
      <c r="N38" s="1365"/>
      <c r="O38" s="1365"/>
      <c r="P38" s="1365"/>
      <c r="Q38" s="1365"/>
      <c r="R38" s="1365"/>
      <c r="S38" s="1365"/>
      <c r="T38" s="1365"/>
      <c r="U38" s="1365"/>
      <c r="V38" s="1365"/>
      <c r="W38" s="1365"/>
      <c r="X38" s="1365"/>
      <c r="Y38" s="1365"/>
      <c r="Z38" s="1366"/>
    </row>
    <row r="39" spans="1:37" ht="13.5" thickBot="1">
      <c r="A39" s="2827"/>
      <c r="B39" s="2845" t="s">
        <v>2932</v>
      </c>
      <c r="C39" s="224" t="e">
        <f>ROUND(D5*C19*C41*C24*F39,0)</f>
        <v>#DIV/0!</v>
      </c>
      <c r="D39" s="2829"/>
      <c r="E39" s="224" t="e">
        <f t="shared" si="7"/>
        <v>#DIV/0!</v>
      </c>
      <c r="F39" s="927">
        <f>SUMIF(修正!A45:A56,G2,修正!H45:H56)</f>
        <v>0</v>
      </c>
      <c r="G39" s="224" t="e">
        <f>ROUND(IF(E2="工业",C39*$M$39,C39*$M$38),0)</f>
        <v>#DIV/0!</v>
      </c>
      <c r="H39" s="224">
        <f t="shared" si="8"/>
        <v>0</v>
      </c>
      <c r="I39" s="224" t="e">
        <f t="shared" si="9"/>
        <v>#DIV/0!</v>
      </c>
      <c r="J39" s="2846"/>
      <c r="K39" s="1365"/>
      <c r="L39" s="2847" t="s">
        <v>2875</v>
      </c>
      <c r="M39" s="284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ht="26">
      <c r="A41" s="1366"/>
      <c r="B41" s="2916" t="s">
        <v>3036</v>
      </c>
      <c r="C41" s="383" t="e">
        <f>ROUND(POWER(1+E41,H41-G41)*(POWER(1+E41,G41)-1)/(POWER(1+E41,H41)-1),4)</f>
        <v>#DIV/0!</v>
      </c>
      <c r="D41" s="195" t="s">
        <v>2882</v>
      </c>
      <c r="E41" s="2915">
        <f>G20</f>
        <v>0</v>
      </c>
      <c r="F41" s="195" t="s">
        <v>2891</v>
      </c>
      <c r="G41" s="213"/>
      <c r="H41" s="195">
        <v>50</v>
      </c>
      <c r="Z41" s="1366"/>
      <c r="AA41" s="1366"/>
      <c r="AB41" s="1366"/>
      <c r="AC41" s="1366"/>
      <c r="AD41" s="1366"/>
      <c r="AE41" s="1366"/>
      <c r="AF41" s="1366"/>
      <c r="AG41" s="1366"/>
      <c r="AH41" s="1366"/>
      <c r="AI41" s="1366"/>
      <c r="AJ41" s="1366"/>
    </row>
    <row r="42" spans="1:37" s="1365" customFormat="1">
      <c r="A42" s="1366"/>
      <c r="B42" s="2849"/>
      <c r="Z42" s="1366"/>
      <c r="AA42" s="1366"/>
      <c r="AB42" s="1366"/>
      <c r="AC42" s="1366"/>
      <c r="AD42" s="1366"/>
      <c r="AE42" s="1366"/>
      <c r="AF42" s="1366"/>
      <c r="AG42" s="1366"/>
      <c r="AH42" s="1366"/>
      <c r="AI42" s="1366"/>
      <c r="AJ42" s="1366"/>
    </row>
    <row r="43" spans="1:37" s="1365" customFormat="1">
      <c r="A43" s="1366"/>
      <c r="B43" s="2849"/>
      <c r="Z43" s="1366"/>
      <c r="AA43" s="1366"/>
      <c r="AB43" s="1366"/>
      <c r="AC43" s="1366"/>
      <c r="AD43" s="1366"/>
      <c r="AE43" s="1366"/>
      <c r="AF43" s="1366"/>
      <c r="AG43" s="1366"/>
      <c r="AH43" s="1366"/>
      <c r="AI43" s="1366"/>
      <c r="AJ43" s="1366"/>
    </row>
    <row r="44" spans="1:37" s="1365" customFormat="1">
      <c r="A44" s="1366"/>
      <c r="B44" s="2849"/>
      <c r="Z44" s="1366"/>
      <c r="AA44" s="1366"/>
      <c r="AB44" s="1366"/>
      <c r="AC44" s="1366"/>
      <c r="AD44" s="1366"/>
      <c r="AE44" s="1366"/>
      <c r="AF44" s="1366"/>
      <c r="AG44" s="1366"/>
      <c r="AH44" s="1366"/>
      <c r="AI44" s="1366"/>
      <c r="AJ44" s="1366"/>
    </row>
    <row r="45" spans="1:37" s="1365" customFormat="1" ht="14.5" thickBot="1">
      <c r="A45" s="2850" t="s">
        <v>2933</v>
      </c>
      <c r="B45" s="2851"/>
      <c r="C45" s="7"/>
      <c r="D45" s="7"/>
      <c r="E45" s="7"/>
      <c r="F45" s="6"/>
      <c r="G45" s="6"/>
      <c r="H45" s="6"/>
      <c r="I45" s="7"/>
      <c r="J45" s="7"/>
      <c r="K45" s="7"/>
      <c r="L45" s="7"/>
      <c r="M45" s="7"/>
      <c r="N45" s="2769"/>
      <c r="Z45" s="1366"/>
      <c r="AA45" s="1366"/>
      <c r="AB45" s="1366"/>
      <c r="AC45" s="1366"/>
      <c r="AD45" s="1366"/>
      <c r="AE45" s="1366"/>
      <c r="AF45" s="1366"/>
      <c r="AG45" s="1366"/>
      <c r="AH45" s="1366"/>
      <c r="AI45" s="1366"/>
      <c r="AJ45" s="1366"/>
    </row>
    <row r="46" spans="1:37" s="1365" customFormat="1" ht="14">
      <c r="A46" s="2852" t="s">
        <v>2934</v>
      </c>
      <c r="B46" s="2853">
        <f>1+E48</f>
        <v>1</v>
      </c>
      <c r="C46" s="2854"/>
      <c r="D46" s="809"/>
      <c r="E46" s="810"/>
      <c r="F46" s="2855"/>
      <c r="G46" s="6"/>
      <c r="H46" s="7"/>
      <c r="I46" s="7"/>
      <c r="J46" s="7"/>
      <c r="K46" s="7"/>
      <c r="L46" s="7"/>
      <c r="M46" s="7"/>
      <c r="N46" s="2769"/>
      <c r="Z46" s="1366"/>
      <c r="AA46" s="1366"/>
      <c r="AB46" s="1366"/>
      <c r="AC46" s="1366"/>
      <c r="AD46" s="1366"/>
      <c r="AE46" s="1366"/>
      <c r="AF46" s="1366"/>
      <c r="AG46" s="1366"/>
      <c r="AH46" s="1366"/>
      <c r="AI46" s="1366"/>
      <c r="AJ46" s="1366"/>
    </row>
    <row r="47" spans="1:37" s="1365" customFormat="1" ht="26">
      <c r="A47" s="2856" t="s">
        <v>2935</v>
      </c>
      <c r="B47" s="1804" t="s">
        <v>2936</v>
      </c>
      <c r="C47" s="1804" t="s">
        <v>2937</v>
      </c>
      <c r="D47" s="1804" t="s">
        <v>2938</v>
      </c>
      <c r="E47" s="814" t="s">
        <v>2939</v>
      </c>
      <c r="F47" s="2857" t="s">
        <v>2940</v>
      </c>
      <c r="G47" s="1804" t="s">
        <v>754</v>
      </c>
      <c r="H47" s="2858" t="s">
        <v>2941</v>
      </c>
      <c r="I47" s="1804" t="s">
        <v>2942</v>
      </c>
      <c r="J47" s="598" t="s">
        <v>2591</v>
      </c>
      <c r="K47" s="598" t="s">
        <v>2592</v>
      </c>
      <c r="L47" s="598" t="s">
        <v>2593</v>
      </c>
      <c r="M47" s="598" t="s">
        <v>2594</v>
      </c>
      <c r="N47" s="598" t="s">
        <v>2595</v>
      </c>
      <c r="AA47" s="1366"/>
      <c r="AB47" s="1366"/>
      <c r="AC47" s="1366"/>
      <c r="AD47" s="1366"/>
      <c r="AE47" s="1366"/>
      <c r="AF47" s="1366"/>
      <c r="AG47" s="1366"/>
      <c r="AH47" s="1366"/>
      <c r="AI47" s="1366"/>
      <c r="AJ47" s="1366"/>
      <c r="AK47" s="1366"/>
    </row>
    <row r="48" spans="1:37" s="1365" customFormat="1" ht="50">
      <c r="A48" s="2856" t="s">
        <v>2943</v>
      </c>
      <c r="B48" s="2859" t="str">
        <f>估价对象房地状况!C4</f>
        <v>估价对象位于XX商圈，周边商业氛围成熟，人流量大，商业繁华度好</v>
      </c>
      <c r="C48" s="2756"/>
      <c r="D48" s="1281">
        <f t="shared" ref="D48:D56" si="10">SUMIF($J$47:$N$47,C48,J48:N48)</f>
        <v>0</v>
      </c>
      <c r="E48" s="816">
        <f>ROUND(SUM(D48:D56),4)</f>
        <v>0</v>
      </c>
      <c r="F48" s="2488"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0">
      <c r="A49" s="2856" t="s">
        <v>2944</v>
      </c>
      <c r="B49" s="2860" t="str">
        <f>估价对象房地状况!C18</f>
        <v>估价对象周边道路状况、公共交通通达情况、停车便捷程度，综合评价交通便捷度较好</v>
      </c>
      <c r="C49" s="2756"/>
      <c r="D49" s="1281">
        <f t="shared" si="10"/>
        <v>0</v>
      </c>
      <c r="E49" s="817"/>
      <c r="F49" s="2488"/>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6">
      <c r="A50" s="2856" t="s">
        <v>2945</v>
      </c>
      <c r="B50" s="2860">
        <f>估价对象房地状况!C19</f>
        <v>0</v>
      </c>
      <c r="C50" s="2756"/>
      <c r="D50" s="1281">
        <f t="shared" si="10"/>
        <v>0</v>
      </c>
      <c r="E50" s="817"/>
      <c r="F50" s="2488"/>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52">
      <c r="A51" s="2856" t="s">
        <v>2946</v>
      </c>
      <c r="B51" s="2861" t="s">
        <v>2947</v>
      </c>
      <c r="C51" s="2756"/>
      <c r="D51" s="1281">
        <f t="shared" si="10"/>
        <v>0</v>
      </c>
      <c r="E51" s="817"/>
      <c r="F51" s="2488"/>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6">
      <c r="A52" s="2856" t="s">
        <v>2948</v>
      </c>
      <c r="B52" s="2860">
        <f>估价对象房地状况!C24</f>
        <v>0</v>
      </c>
      <c r="C52" s="2756"/>
      <c r="D52" s="1281">
        <f t="shared" si="10"/>
        <v>0</v>
      </c>
      <c r="E52" s="817"/>
      <c r="F52" s="2488"/>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6">
      <c r="A53" s="2856" t="s">
        <v>2949</v>
      </c>
      <c r="B53" s="2862" t="s">
        <v>2950</v>
      </c>
      <c r="C53" s="2756"/>
      <c r="D53" s="1281">
        <f t="shared" si="10"/>
        <v>0</v>
      </c>
      <c r="E53" s="817"/>
      <c r="F53" s="2488"/>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6">
      <c r="A54" s="2863" t="s">
        <v>2951</v>
      </c>
      <c r="B54" s="1720" t="str">
        <f>估价对象房地状况!C21</f>
        <v>估价对象所在区域公共配套设施齐备情况</v>
      </c>
      <c r="C54" s="2756"/>
      <c r="D54" s="1281">
        <f t="shared" si="10"/>
        <v>0</v>
      </c>
      <c r="E54" s="817"/>
      <c r="F54" s="2488"/>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6">
      <c r="A55" s="2863" t="s">
        <v>2952</v>
      </c>
      <c r="B55" s="2860" t="str">
        <f>估价对象房地状况!C22</f>
        <v>估价对象所在区域基础设施水平</v>
      </c>
      <c r="C55" s="2756"/>
      <c r="D55" s="1281">
        <f t="shared" si="10"/>
        <v>0</v>
      </c>
      <c r="E55" s="817"/>
      <c r="F55" s="2488"/>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8" thickBot="1">
      <c r="A56" s="2864" t="s">
        <v>2953</v>
      </c>
      <c r="B56" s="2865" t="str">
        <f>估价对象房地状况!C20</f>
        <v>区域自然环境：；人文环境；综合评价环境状况一般</v>
      </c>
      <c r="C56" s="2756"/>
      <c r="D56" s="1281">
        <f t="shared" si="10"/>
        <v>0</v>
      </c>
      <c r="E56" s="820"/>
      <c r="F56" s="2488"/>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4">
      <c r="A57" s="2852" t="s">
        <v>2954</v>
      </c>
      <c r="B57" s="2853">
        <f>1+E59</f>
        <v>1</v>
      </c>
      <c r="C57" s="809"/>
      <c r="D57" s="809"/>
      <c r="E57" s="810"/>
      <c r="F57" s="285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6">
      <c r="A58" s="2856" t="s">
        <v>2935</v>
      </c>
      <c r="B58" s="1804"/>
      <c r="C58" s="1804" t="s">
        <v>2937</v>
      </c>
      <c r="D58" s="1804" t="s">
        <v>2938</v>
      </c>
      <c r="E58" s="814" t="s">
        <v>2939</v>
      </c>
      <c r="F58" s="2857" t="s">
        <v>2955</v>
      </c>
      <c r="G58" s="1804" t="s">
        <v>754</v>
      </c>
      <c r="H58" s="2858" t="s">
        <v>2941</v>
      </c>
      <c r="I58" s="1804" t="s">
        <v>2942</v>
      </c>
      <c r="J58" s="598" t="s">
        <v>2591</v>
      </c>
      <c r="K58" s="598" t="s">
        <v>2592</v>
      </c>
      <c r="L58" s="598" t="s">
        <v>2593</v>
      </c>
      <c r="M58" s="598" t="s">
        <v>2594</v>
      </c>
      <c r="N58" s="598" t="s">
        <v>2595</v>
      </c>
      <c r="AA58" s="1366"/>
      <c r="AB58" s="1366"/>
      <c r="AC58" s="1366"/>
      <c r="AD58" s="1366"/>
      <c r="AE58" s="1366"/>
      <c r="AF58" s="1366"/>
      <c r="AG58" s="1366"/>
      <c r="AH58" s="1366"/>
      <c r="AI58" s="1366"/>
      <c r="AJ58" s="1366"/>
      <c r="AK58" s="1366"/>
    </row>
    <row r="59" spans="1:37" s="1365" customFormat="1" ht="50">
      <c r="A59" s="2856" t="s">
        <v>2956</v>
      </c>
      <c r="B59" s="2859" t="str">
        <f>估价对象房地状况!C17</f>
        <v>估价对象位于XX商圈，周边办公楼项目较多，入驻率高，办公集聚程度较好</v>
      </c>
      <c r="C59" s="2756"/>
      <c r="D59" s="1281">
        <f t="shared" ref="D59:D67" si="15">SUMIF($J$58:$N$58,C59,J59:N59)</f>
        <v>0</v>
      </c>
      <c r="E59" s="816">
        <f>ROUND(SUM(D59:D67),4)</f>
        <v>0</v>
      </c>
      <c r="F59" s="2488"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0">
      <c r="A60" s="2856" t="s">
        <v>2944</v>
      </c>
      <c r="B60" s="2860" t="str">
        <f>估价对象房地状况!C18</f>
        <v>估价对象周边道路状况、公共交通通达情况、停车便捷程度，综合评价交通便捷度较好</v>
      </c>
      <c r="C60" s="2756"/>
      <c r="D60" s="1281">
        <f t="shared" si="15"/>
        <v>0</v>
      </c>
      <c r="E60" s="817"/>
      <c r="F60" s="2488"/>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6">
      <c r="A61" s="2856" t="s">
        <v>2945</v>
      </c>
      <c r="B61" s="2860">
        <f>估价对象房地状况!C19</f>
        <v>0</v>
      </c>
      <c r="C61" s="2756"/>
      <c r="D61" s="1281">
        <f t="shared" si="15"/>
        <v>0</v>
      </c>
      <c r="E61" s="817"/>
      <c r="F61" s="2488"/>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52">
      <c r="A62" s="2856" t="s">
        <v>2946</v>
      </c>
      <c r="B62" s="2861" t="s">
        <v>2947</v>
      </c>
      <c r="C62" s="2756"/>
      <c r="D62" s="1281">
        <f t="shared" si="15"/>
        <v>0</v>
      </c>
      <c r="E62" s="817"/>
      <c r="F62" s="2488"/>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6">
      <c r="A63" s="2856" t="s">
        <v>2948</v>
      </c>
      <c r="B63" s="2860">
        <f>估价对象房地状况!C24</f>
        <v>0</v>
      </c>
      <c r="C63" s="2756"/>
      <c r="D63" s="1281">
        <f t="shared" si="15"/>
        <v>0</v>
      </c>
      <c r="E63" s="817"/>
      <c r="F63" s="2488"/>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6">
      <c r="A64" s="2856" t="s">
        <v>2949</v>
      </c>
      <c r="B64" s="2862" t="s">
        <v>2950</v>
      </c>
      <c r="C64" s="2756"/>
      <c r="D64" s="1281">
        <f t="shared" si="15"/>
        <v>0</v>
      </c>
      <c r="E64" s="817"/>
      <c r="F64" s="2488"/>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6">
      <c r="A65" s="2856" t="s">
        <v>2951</v>
      </c>
      <c r="B65" s="1720" t="str">
        <f>估价对象房地状况!C21</f>
        <v>估价对象所在区域公共配套设施齐备情况</v>
      </c>
      <c r="C65" s="2756"/>
      <c r="D65" s="1281">
        <f t="shared" si="15"/>
        <v>0</v>
      </c>
      <c r="E65" s="817"/>
      <c r="F65" s="2488"/>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6">
      <c r="A66" s="2856" t="s">
        <v>2952</v>
      </c>
      <c r="B66" s="1720" t="str">
        <f>估价对象房地状况!C22</f>
        <v>估价对象所在区域基础设施水平</v>
      </c>
      <c r="C66" s="2756"/>
      <c r="D66" s="1281">
        <f t="shared" si="15"/>
        <v>0</v>
      </c>
      <c r="E66" s="817"/>
      <c r="F66" s="2488"/>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8" thickBot="1">
      <c r="A67" s="2864" t="s">
        <v>2953</v>
      </c>
      <c r="B67" s="2866" t="str">
        <f>估价对象房地状况!C20</f>
        <v>区域自然环境：；人文环境；综合评价环境状况一般</v>
      </c>
      <c r="C67" s="2756"/>
      <c r="D67" s="1281">
        <f t="shared" si="15"/>
        <v>0</v>
      </c>
      <c r="E67" s="820"/>
      <c r="F67" s="2488"/>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4">
      <c r="A68" s="2852" t="s">
        <v>2957</v>
      </c>
      <c r="B68" s="2853">
        <f>1+E70</f>
        <v>1</v>
      </c>
      <c r="C68" s="809"/>
      <c r="D68" s="809"/>
      <c r="E68" s="810"/>
      <c r="F68" s="285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6">
      <c r="A69" s="2856" t="s">
        <v>2935</v>
      </c>
      <c r="B69" s="1804"/>
      <c r="C69" s="1804" t="s">
        <v>2937</v>
      </c>
      <c r="D69" s="1804" t="s">
        <v>2938</v>
      </c>
      <c r="E69" s="814" t="s">
        <v>2939</v>
      </c>
      <c r="F69" s="2857" t="s">
        <v>2955</v>
      </c>
      <c r="G69" s="1804" t="s">
        <v>754</v>
      </c>
      <c r="H69" s="2858" t="s">
        <v>2941</v>
      </c>
      <c r="I69" s="1804" t="s">
        <v>2942</v>
      </c>
      <c r="J69" s="598" t="s">
        <v>2591</v>
      </c>
      <c r="K69" s="598" t="s">
        <v>2592</v>
      </c>
      <c r="L69" s="598" t="s">
        <v>2593</v>
      </c>
      <c r="M69" s="598" t="s">
        <v>2594</v>
      </c>
      <c r="N69" s="598" t="s">
        <v>2595</v>
      </c>
      <c r="AA69" s="1366"/>
      <c r="AB69" s="1366"/>
      <c r="AC69" s="1366"/>
      <c r="AD69" s="1366"/>
      <c r="AE69" s="1366"/>
      <c r="AF69" s="1366"/>
      <c r="AG69" s="1366"/>
      <c r="AH69" s="1366"/>
      <c r="AI69" s="1366"/>
      <c r="AJ69" s="1366"/>
      <c r="AK69" s="1366"/>
    </row>
    <row r="70" spans="1:37" s="1365" customFormat="1" ht="62.5">
      <c r="A70" s="2856" t="s">
        <v>2958</v>
      </c>
      <c r="B70" s="2859" t="str">
        <f>估价对象房地状况!C15</f>
        <v>估价对象周边居住用地比例、居住小区规模和社区发展完善程度，综合评价居住社区成熟度一般</v>
      </c>
      <c r="C70" s="2756"/>
      <c r="D70" s="1281">
        <f t="shared" ref="D70:D78" si="20">SUMIF($J$69:$N$69,C70,J70:N70)</f>
        <v>0</v>
      </c>
      <c r="E70" s="816">
        <f>ROUND(SUM(D70:D78),4)</f>
        <v>0</v>
      </c>
      <c r="F70" s="2488"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0">
      <c r="A71" s="2856" t="s">
        <v>2944</v>
      </c>
      <c r="B71" s="2860" t="str">
        <f>估价对象房地状况!C18</f>
        <v>估价对象周边道路状况、公共交通通达情况、停车便捷程度，综合评价交通便捷度较好</v>
      </c>
      <c r="C71" s="2756"/>
      <c r="D71" s="1281">
        <f t="shared" si="20"/>
        <v>0</v>
      </c>
      <c r="E71" s="821"/>
      <c r="F71" s="2488"/>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6">
      <c r="A72" s="2856" t="s">
        <v>2945</v>
      </c>
      <c r="B72" s="2860">
        <f>估价对象房地状况!C19</f>
        <v>0</v>
      </c>
      <c r="C72" s="2756"/>
      <c r="D72" s="1281">
        <f t="shared" si="20"/>
        <v>0</v>
      </c>
      <c r="E72" s="821"/>
      <c r="F72" s="2488"/>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
      <c r="A73" s="2856" t="s">
        <v>2959</v>
      </c>
      <c r="B73" s="2860">
        <f>估价对象房地状况!C24</f>
        <v>0</v>
      </c>
      <c r="C73" s="2756"/>
      <c r="D73" s="1281">
        <f t="shared" si="20"/>
        <v>0</v>
      </c>
      <c r="E73" s="821"/>
      <c r="F73" s="2488"/>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6">
      <c r="A74" s="2856" t="s">
        <v>2951</v>
      </c>
      <c r="B74" s="1720" t="str">
        <f>估价对象房地状况!C21</f>
        <v>估价对象所在区域公共配套设施齐备情况</v>
      </c>
      <c r="C74" s="2756"/>
      <c r="D74" s="1281">
        <f t="shared" si="20"/>
        <v>0</v>
      </c>
      <c r="E74" s="821"/>
      <c r="F74" s="2488"/>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6">
      <c r="A75" s="2856" t="s">
        <v>2952</v>
      </c>
      <c r="B75" s="1720" t="str">
        <f>估价对象房地状况!C22</f>
        <v>估价对象所在区域基础设施水平</v>
      </c>
      <c r="C75" s="2756"/>
      <c r="D75" s="1281">
        <f t="shared" si="20"/>
        <v>0</v>
      </c>
      <c r="E75" s="821"/>
      <c r="F75" s="2488"/>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5" customFormat="1" ht="26">
      <c r="A76" s="2856" t="s">
        <v>2949</v>
      </c>
      <c r="B76" s="2862" t="s">
        <v>2950</v>
      </c>
      <c r="C76" s="2756"/>
      <c r="D76" s="1281">
        <f t="shared" si="20"/>
        <v>0</v>
      </c>
      <c r="E76" s="821"/>
      <c r="F76" s="2488"/>
      <c r="G76" s="1279"/>
      <c r="H76" s="1283" t="str">
        <f t="shared" si="21"/>
        <v>——</v>
      </c>
      <c r="I76" s="815">
        <v>0.05</v>
      </c>
      <c r="J76" s="1280">
        <f t="shared" si="22"/>
        <v>0</v>
      </c>
      <c r="K76" s="1280">
        <f t="shared" si="23"/>
        <v>0</v>
      </c>
      <c r="L76" s="1280">
        <v>0</v>
      </c>
      <c r="M76" s="1280">
        <f t="shared" si="24"/>
        <v>0</v>
      </c>
      <c r="N76" s="1280">
        <f t="shared" si="24"/>
        <v>0</v>
      </c>
      <c r="AA76" s="2867"/>
      <c r="AB76" s="1366"/>
      <c r="AC76" s="1366"/>
      <c r="AD76" s="1366"/>
      <c r="AE76" s="1366"/>
      <c r="AF76" s="1366"/>
      <c r="AG76" s="1366"/>
      <c r="AH76" s="2867"/>
      <c r="AI76" s="2867"/>
      <c r="AJ76" s="2867"/>
      <c r="AK76" s="2867"/>
    </row>
    <row r="77" spans="1:37" ht="37.5">
      <c r="A77" s="2856" t="s">
        <v>2953</v>
      </c>
      <c r="B77" s="2859" t="str">
        <f>估价对象房地状况!C20</f>
        <v>区域自然环境：；人文环境；综合评价环境状况一般</v>
      </c>
      <c r="C77" s="2756"/>
      <c r="D77" s="1281">
        <f t="shared" si="20"/>
        <v>0</v>
      </c>
      <c r="E77" s="821"/>
      <c r="F77" s="2488"/>
      <c r="G77" s="1279"/>
      <c r="H77" s="1283" t="str">
        <f t="shared" si="21"/>
        <v>——</v>
      </c>
      <c r="I77" s="815">
        <v>0.15</v>
      </c>
      <c r="J77" s="1280">
        <f t="shared" si="22"/>
        <v>0</v>
      </c>
      <c r="K77" s="1280">
        <f t="shared" si="23"/>
        <v>0</v>
      </c>
      <c r="L77" s="1280">
        <v>0</v>
      </c>
      <c r="M77" s="1280">
        <f t="shared" si="24"/>
        <v>0</v>
      </c>
      <c r="N77" s="1280">
        <f t="shared" si="24"/>
        <v>0</v>
      </c>
      <c r="Z77" s="2706"/>
      <c r="AA77" s="2774"/>
      <c r="AG77" s="1367"/>
      <c r="AK77" s="2774"/>
    </row>
    <row r="78" spans="1:37" ht="26.5" thickBot="1">
      <c r="A78" s="2864" t="s">
        <v>2960</v>
      </c>
      <c r="B78" s="2868"/>
      <c r="C78" s="2756"/>
      <c r="D78" s="1281">
        <f t="shared" si="20"/>
        <v>0</v>
      </c>
      <c r="E78" s="822"/>
      <c r="F78" s="2488"/>
      <c r="G78" s="1279"/>
      <c r="H78" s="1283" t="str">
        <f t="shared" si="21"/>
        <v>——</v>
      </c>
      <c r="I78" s="819">
        <v>0.04</v>
      </c>
      <c r="J78" s="1280">
        <f t="shared" si="22"/>
        <v>0</v>
      </c>
      <c r="K78" s="1280">
        <f t="shared" si="23"/>
        <v>0</v>
      </c>
      <c r="L78" s="1280">
        <v>0</v>
      </c>
      <c r="M78" s="1280">
        <f t="shared" si="24"/>
        <v>0</v>
      </c>
      <c r="N78" s="1280">
        <f t="shared" si="24"/>
        <v>0</v>
      </c>
      <c r="Z78" s="2706"/>
      <c r="AA78" s="2774"/>
      <c r="AG78" s="1367"/>
      <c r="AK78" s="2774"/>
    </row>
    <row r="79" spans="1:37" ht="14">
      <c r="A79" s="2852" t="s">
        <v>2961</v>
      </c>
      <c r="B79" s="2853">
        <f>1+E81</f>
        <v>1</v>
      </c>
      <c r="C79" s="809"/>
      <c r="D79" s="809"/>
      <c r="E79" s="810"/>
      <c r="F79" s="2855"/>
      <c r="G79" s="6"/>
      <c r="H79" s="6"/>
      <c r="I79" s="6"/>
      <c r="J79" s="7"/>
      <c r="K79" s="7"/>
      <c r="L79" s="7"/>
      <c r="M79" s="7"/>
      <c r="N79" s="7"/>
      <c r="Z79" s="2706"/>
      <c r="AA79" s="2774"/>
      <c r="AG79" s="1367"/>
      <c r="AK79" s="2774"/>
    </row>
    <row r="80" spans="1:37" ht="26">
      <c r="A80" s="2856" t="s">
        <v>2935</v>
      </c>
      <c r="B80" s="1804"/>
      <c r="C80" s="1804" t="s">
        <v>2937</v>
      </c>
      <c r="D80" s="1804" t="s">
        <v>2938</v>
      </c>
      <c r="E80" s="814" t="s">
        <v>2939</v>
      </c>
      <c r="F80" s="2857" t="s">
        <v>2955</v>
      </c>
      <c r="G80" s="1804" t="s">
        <v>754</v>
      </c>
      <c r="H80" s="2858" t="s">
        <v>2941</v>
      </c>
      <c r="I80" s="1804" t="s">
        <v>2942</v>
      </c>
      <c r="J80" s="598" t="s">
        <v>2591</v>
      </c>
      <c r="K80" s="598" t="s">
        <v>2592</v>
      </c>
      <c r="L80" s="598" t="s">
        <v>2593</v>
      </c>
      <c r="M80" s="598" t="s">
        <v>2594</v>
      </c>
      <c r="N80" s="598" t="s">
        <v>2595</v>
      </c>
      <c r="Z80" s="2706"/>
      <c r="AA80" s="2774"/>
      <c r="AG80" s="1367"/>
      <c r="AK80" s="2774"/>
    </row>
    <row r="81" spans="1:37" ht="37.5">
      <c r="A81" s="2856" t="s">
        <v>2962</v>
      </c>
      <c r="B81" s="2860" t="str">
        <f>估价对象房地状况!G15</f>
        <v>估价对象位于XX开发区，园区建设成熟度XX，产业集聚程度XX</v>
      </c>
      <c r="C81" s="2756"/>
      <c r="D81" s="1281">
        <f t="shared" ref="D81:D88" si="25">SUMIF($J$80:$N$80,C81,J81:N81)</f>
        <v>0</v>
      </c>
      <c r="E81" s="816">
        <f>ROUND(SUM(D81:D88),4)</f>
        <v>0</v>
      </c>
      <c r="F81" s="2488"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06"/>
      <c r="AA81" s="2774"/>
      <c r="AG81" s="1367"/>
      <c r="AK81" s="2774"/>
    </row>
    <row r="82" spans="1:37" ht="50">
      <c r="A82" s="2856" t="s">
        <v>2944</v>
      </c>
      <c r="B82" s="2860" t="str">
        <f>估价对象房地状况!G16</f>
        <v>估价对象周边道路状况、公共交通通达情况、停车便捷程度，综合评价交通便捷度较好</v>
      </c>
      <c r="C82" s="2756"/>
      <c r="D82" s="1281">
        <f t="shared" si="25"/>
        <v>0</v>
      </c>
      <c r="E82" s="821"/>
      <c r="F82" s="2488"/>
      <c r="G82" s="1279"/>
      <c r="H82" s="1283" t="str">
        <f t="shared" si="26"/>
        <v>——</v>
      </c>
      <c r="I82" s="815">
        <v>0.33</v>
      </c>
      <c r="J82" s="1280">
        <f t="shared" si="27"/>
        <v>0</v>
      </c>
      <c r="K82" s="1280">
        <f t="shared" si="28"/>
        <v>0</v>
      </c>
      <c r="L82" s="1280">
        <v>0</v>
      </c>
      <c r="M82" s="1280">
        <f t="shared" si="29"/>
        <v>0</v>
      </c>
      <c r="N82" s="1280">
        <f t="shared" si="29"/>
        <v>0</v>
      </c>
      <c r="Z82" s="2706"/>
      <c r="AA82" s="2774"/>
      <c r="AG82" s="1367"/>
      <c r="AK82" s="2774"/>
    </row>
    <row r="83" spans="1:37" ht="26">
      <c r="A83" s="2856" t="s">
        <v>2945</v>
      </c>
      <c r="B83" s="2860">
        <f>估价对象房地状况!G17</f>
        <v>0</v>
      </c>
      <c r="C83" s="2756"/>
      <c r="D83" s="1281">
        <f t="shared" si="25"/>
        <v>0</v>
      </c>
      <c r="E83" s="821"/>
      <c r="F83" s="2488"/>
      <c r="G83" s="1279"/>
      <c r="H83" s="1283" t="str">
        <f t="shared" si="26"/>
        <v>——</v>
      </c>
      <c r="I83" s="815">
        <v>0.05</v>
      </c>
      <c r="J83" s="1280">
        <f t="shared" si="27"/>
        <v>0</v>
      </c>
      <c r="K83" s="1280">
        <f t="shared" si="28"/>
        <v>0</v>
      </c>
      <c r="L83" s="1280">
        <v>0</v>
      </c>
      <c r="M83" s="1280">
        <f t="shared" si="29"/>
        <v>0</v>
      </c>
      <c r="N83" s="1280">
        <f t="shared" si="29"/>
        <v>0</v>
      </c>
      <c r="Z83" s="2706"/>
      <c r="AA83" s="2774"/>
      <c r="AG83" s="1367"/>
      <c r="AK83" s="2774"/>
    </row>
    <row r="84" spans="1:37" ht="14">
      <c r="A84" s="2856" t="s">
        <v>2959</v>
      </c>
      <c r="B84" s="2860">
        <f>估价对象房地状况!G22</f>
        <v>0</v>
      </c>
      <c r="C84" s="2756"/>
      <c r="D84" s="1281">
        <f t="shared" si="25"/>
        <v>0</v>
      </c>
      <c r="E84" s="821"/>
      <c r="F84" s="2488"/>
      <c r="G84" s="1279"/>
      <c r="H84" s="1283" t="str">
        <f t="shared" si="26"/>
        <v>——</v>
      </c>
      <c r="I84" s="815">
        <v>0.04</v>
      </c>
      <c r="J84" s="1280">
        <f t="shared" si="27"/>
        <v>0</v>
      </c>
      <c r="K84" s="1280">
        <f t="shared" si="28"/>
        <v>0</v>
      </c>
      <c r="L84" s="1280">
        <v>0</v>
      </c>
      <c r="M84" s="1280">
        <f t="shared" si="29"/>
        <v>0</v>
      </c>
      <c r="N84" s="1280">
        <f t="shared" si="29"/>
        <v>0</v>
      </c>
      <c r="Z84" s="2706"/>
      <c r="AA84" s="2774"/>
      <c r="AG84" s="1367"/>
      <c r="AK84" s="2774"/>
    </row>
    <row r="85" spans="1:37" ht="26">
      <c r="A85" s="2856" t="s">
        <v>2951</v>
      </c>
      <c r="B85" s="1720" t="str">
        <f>估价对象房地状况!G19</f>
        <v>估价对象所在区域公共配套设施齐备情况</v>
      </c>
      <c r="C85" s="2756"/>
      <c r="D85" s="1281">
        <f t="shared" si="25"/>
        <v>0</v>
      </c>
      <c r="E85" s="821"/>
      <c r="F85" s="2488"/>
      <c r="G85" s="1279"/>
      <c r="H85" s="1283" t="str">
        <f t="shared" si="26"/>
        <v>——</v>
      </c>
      <c r="I85" s="815">
        <v>0.06</v>
      </c>
      <c r="J85" s="1280">
        <f t="shared" si="27"/>
        <v>0</v>
      </c>
      <c r="K85" s="1280">
        <f t="shared" si="28"/>
        <v>0</v>
      </c>
      <c r="L85" s="1280">
        <v>0</v>
      </c>
      <c r="M85" s="1280">
        <f t="shared" si="29"/>
        <v>0</v>
      </c>
      <c r="N85" s="1280">
        <f t="shared" si="29"/>
        <v>0</v>
      </c>
      <c r="Z85" s="2706"/>
      <c r="AA85" s="2774"/>
      <c r="AG85" s="1367"/>
      <c r="AK85" s="2774"/>
    </row>
    <row r="86" spans="1:37" ht="26">
      <c r="A86" s="2856" t="s">
        <v>2952</v>
      </c>
      <c r="B86" s="1720" t="str">
        <f>估价对象房地状况!G20</f>
        <v>估价对象所在区域基础设施水平</v>
      </c>
      <c r="C86" s="2756"/>
      <c r="D86" s="1281">
        <f t="shared" si="25"/>
        <v>0</v>
      </c>
      <c r="E86" s="821"/>
      <c r="F86" s="2488"/>
      <c r="G86" s="1279"/>
      <c r="H86" s="1283" t="str">
        <f t="shared" si="26"/>
        <v>——</v>
      </c>
      <c r="I86" s="815">
        <v>0.15</v>
      </c>
      <c r="J86" s="1280">
        <f t="shared" si="27"/>
        <v>0</v>
      </c>
      <c r="K86" s="1280">
        <f t="shared" si="28"/>
        <v>0</v>
      </c>
      <c r="L86" s="1280">
        <v>0</v>
      </c>
      <c r="M86" s="1280">
        <f t="shared" si="29"/>
        <v>0</v>
      </c>
      <c r="N86" s="1280">
        <f t="shared" si="29"/>
        <v>0</v>
      </c>
      <c r="Z86" s="2706"/>
      <c r="AA86" s="2774"/>
      <c r="AG86" s="1367"/>
      <c r="AK86" s="2774"/>
    </row>
    <row r="87" spans="1:37" ht="26">
      <c r="A87" s="2856" t="s">
        <v>2949</v>
      </c>
      <c r="B87" s="2862" t="s">
        <v>2963</v>
      </c>
      <c r="C87" s="2756"/>
      <c r="D87" s="1281">
        <f t="shared" si="25"/>
        <v>0</v>
      </c>
      <c r="E87" s="821"/>
      <c r="F87" s="2488"/>
      <c r="G87" s="1279"/>
      <c r="H87" s="1283" t="str">
        <f t="shared" si="26"/>
        <v>——</v>
      </c>
      <c r="I87" s="815">
        <v>0.05</v>
      </c>
      <c r="J87" s="1280">
        <f t="shared" si="27"/>
        <v>0</v>
      </c>
      <c r="K87" s="1280">
        <f t="shared" si="28"/>
        <v>0</v>
      </c>
      <c r="L87" s="1280">
        <v>0</v>
      </c>
      <c r="M87" s="1280">
        <f t="shared" si="29"/>
        <v>0</v>
      </c>
      <c r="N87" s="1280">
        <f t="shared" si="29"/>
        <v>0</v>
      </c>
      <c r="Z87" s="2706"/>
      <c r="AA87" s="2774"/>
      <c r="AG87" s="1367"/>
      <c r="AK87" s="2774"/>
    </row>
    <row r="88" spans="1:37" ht="50.5" thickBot="1">
      <c r="A88" s="2864" t="s">
        <v>2964</v>
      </c>
      <c r="B88" s="2869" t="str">
        <f>估价对象房地状况!G18</f>
        <v>该园区内是否有污染型企业，绿化情况，卫生条件，整体环境状况判断</v>
      </c>
      <c r="C88" s="2756"/>
      <c r="D88" s="1281">
        <f t="shared" si="25"/>
        <v>0</v>
      </c>
      <c r="E88" s="822"/>
      <c r="F88" s="2488"/>
      <c r="G88" s="1279"/>
      <c r="H88" s="1283" t="str">
        <f t="shared" si="26"/>
        <v>——</v>
      </c>
      <c r="I88" s="819">
        <v>0.06</v>
      </c>
      <c r="J88" s="1280">
        <f t="shared" si="27"/>
        <v>0</v>
      </c>
      <c r="K88" s="1280">
        <f t="shared" si="28"/>
        <v>0</v>
      </c>
      <c r="L88" s="1280">
        <v>0</v>
      </c>
      <c r="M88" s="1280">
        <f t="shared" si="29"/>
        <v>0</v>
      </c>
      <c r="N88" s="1280">
        <f t="shared" si="29"/>
        <v>0</v>
      </c>
      <c r="Z88" s="2706"/>
      <c r="AA88" s="2774"/>
      <c r="AG88" s="1367"/>
      <c r="AK88" s="2774"/>
    </row>
    <row r="90" spans="1:37" ht="13">
      <c r="A90" s="3345" t="s">
        <v>2965</v>
      </c>
      <c r="B90" s="3345"/>
      <c r="C90" s="3345"/>
      <c r="D90" s="3345"/>
      <c r="E90" s="3345"/>
      <c r="F90" s="3345"/>
      <c r="G90" s="3345"/>
      <c r="H90" s="3345"/>
      <c r="I90" s="3345"/>
      <c r="J90" s="3345"/>
      <c r="K90" s="2870"/>
      <c r="L90" s="2870"/>
      <c r="M90" s="2870"/>
      <c r="N90" s="2870"/>
    </row>
    <row r="91" spans="1:37" ht="13">
      <c r="A91" s="3347" t="s">
        <v>2966</v>
      </c>
      <c r="B91" s="3347" t="s">
        <v>2967</v>
      </c>
      <c r="C91" s="2824" t="s">
        <v>2968</v>
      </c>
      <c r="D91" s="2825"/>
      <c r="E91" s="2825"/>
      <c r="F91" s="2825"/>
      <c r="G91" s="2825"/>
      <c r="H91" s="2825"/>
      <c r="I91" s="2825"/>
      <c r="J91" s="2871"/>
      <c r="K91" s="2872"/>
      <c r="L91" s="2872"/>
      <c r="M91" s="2872"/>
      <c r="N91" s="2872"/>
    </row>
    <row r="92" spans="1:37" ht="13">
      <c r="A92" s="3347"/>
      <c r="B92" s="3347"/>
      <c r="C92" s="937" t="s">
        <v>2834</v>
      </c>
      <c r="D92" s="937" t="s">
        <v>2835</v>
      </c>
      <c r="E92" s="937" t="s">
        <v>2836</v>
      </c>
      <c r="F92" s="937" t="s">
        <v>2837</v>
      </c>
      <c r="G92" s="937" t="s">
        <v>2838</v>
      </c>
      <c r="H92" s="937" t="s">
        <v>2839</v>
      </c>
      <c r="I92" s="937" t="s">
        <v>2840</v>
      </c>
      <c r="J92" s="937" t="s">
        <v>2841</v>
      </c>
      <c r="K92" s="937" t="s">
        <v>2842</v>
      </c>
      <c r="L92" s="937" t="s">
        <v>2843</v>
      </c>
      <c r="M92" s="937" t="s">
        <v>2844</v>
      </c>
      <c r="N92" s="937" t="s">
        <v>2845</v>
      </c>
    </row>
    <row r="93" spans="1:37">
      <c r="A93" s="3348" t="s">
        <v>2969</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349"/>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349"/>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349"/>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349"/>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349"/>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ht="13">
      <c r="A99" s="3349"/>
      <c r="B99" s="2873" t="s">
        <v>2850</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350"/>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ht="13">
      <c r="A101" s="3348" t="s">
        <v>2970</v>
      </c>
      <c r="B101" s="2877" t="s">
        <v>2971</v>
      </c>
      <c r="C101" s="2878">
        <f>$G$3</f>
        <v>1.18</v>
      </c>
      <c r="D101" s="2878">
        <f t="shared" ref="D101:N101" si="31">$G$3</f>
        <v>1.18</v>
      </c>
      <c r="E101" s="2878">
        <f t="shared" si="31"/>
        <v>1.18</v>
      </c>
      <c r="F101" s="2878">
        <f t="shared" si="31"/>
        <v>1.18</v>
      </c>
      <c r="G101" s="2878">
        <f t="shared" si="31"/>
        <v>1.18</v>
      </c>
      <c r="H101" s="2878">
        <f t="shared" si="31"/>
        <v>1.18</v>
      </c>
      <c r="I101" s="2878">
        <f t="shared" si="31"/>
        <v>1.18</v>
      </c>
      <c r="J101" s="2878">
        <f t="shared" si="31"/>
        <v>1.18</v>
      </c>
      <c r="K101" s="2878">
        <f t="shared" si="31"/>
        <v>1.18</v>
      </c>
      <c r="L101" s="2878">
        <f t="shared" si="31"/>
        <v>1.18</v>
      </c>
      <c r="M101" s="2878">
        <f t="shared" si="31"/>
        <v>1.18</v>
      </c>
      <c r="N101" s="2878">
        <f t="shared" si="31"/>
        <v>1.18</v>
      </c>
    </row>
    <row r="102" spans="1:14">
      <c r="A102" s="3349"/>
      <c r="B102" s="2873">
        <v>1</v>
      </c>
      <c r="C102" s="2874">
        <f>1.9362/C101</f>
        <v>1.6408474576271186</v>
      </c>
      <c r="D102" s="2874">
        <f>1.9362/D101</f>
        <v>1.6408474576271186</v>
      </c>
      <c r="E102" s="2874">
        <f>1.8629/E101</f>
        <v>1.578728813559322</v>
      </c>
      <c r="F102" s="2874">
        <f>1.8629/F101</f>
        <v>1.578728813559322</v>
      </c>
      <c r="G102" s="2874">
        <f>1.8629/G101</f>
        <v>1.578728813559322</v>
      </c>
      <c r="H102" s="2874">
        <f>1.8629/H101</f>
        <v>1.578728813559322</v>
      </c>
      <c r="I102" s="2874">
        <f>1.8629/I101</f>
        <v>1.578728813559322</v>
      </c>
      <c r="J102" s="2874">
        <f>1.942/J101</f>
        <v>1.6457627118644069</v>
      </c>
      <c r="K102" s="2874">
        <f>1.942/K101</f>
        <v>1.6457627118644069</v>
      </c>
      <c r="L102" s="2874">
        <f>1.942/L101</f>
        <v>1.6457627118644069</v>
      </c>
      <c r="M102" s="2874">
        <f>1.942/M101</f>
        <v>1.6457627118644069</v>
      </c>
      <c r="N102" s="2874">
        <f>1.942/N101</f>
        <v>1.6457627118644069</v>
      </c>
    </row>
    <row r="103" spans="1:14">
      <c r="A103" s="3349"/>
      <c r="B103" s="2873">
        <v>2</v>
      </c>
      <c r="C103" s="2874">
        <f>1.4198/C101</f>
        <v>1.2032203389830509</v>
      </c>
      <c r="D103" s="2874">
        <f>1.4198/D101</f>
        <v>1.2032203389830509</v>
      </c>
      <c r="E103" s="2874">
        <f>1.3372/E101</f>
        <v>1.1332203389830509</v>
      </c>
      <c r="F103" s="2874">
        <f>1.3372/F101</f>
        <v>1.1332203389830509</v>
      </c>
      <c r="G103" s="2874">
        <f>1.3372/G101</f>
        <v>1.1332203389830509</v>
      </c>
      <c r="H103" s="2874">
        <f>1.3372/H101</f>
        <v>1.1332203389830509</v>
      </c>
      <c r="I103" s="2874">
        <f>1.3372/I101</f>
        <v>1.1332203389830509</v>
      </c>
      <c r="J103" s="2874">
        <f>1.2799/J101</f>
        <v>1.0846610169491526</v>
      </c>
      <c r="K103" s="2874">
        <f>1.2799/K101</f>
        <v>1.0846610169491526</v>
      </c>
      <c r="L103" s="2874">
        <f>1.2799/L101</f>
        <v>1.0846610169491526</v>
      </c>
      <c r="M103" s="2874">
        <f>1.2799/M101</f>
        <v>1.0846610169491526</v>
      </c>
      <c r="N103" s="2874">
        <f>1.2799/N101</f>
        <v>1.0846610169491526</v>
      </c>
    </row>
    <row r="104" spans="1:14">
      <c r="A104" s="3349"/>
      <c r="B104" s="2873">
        <v>3</v>
      </c>
      <c r="C104" s="2874">
        <f>1.1594/C101</f>
        <v>0.98254237288135593</v>
      </c>
      <c r="D104" s="2874">
        <f>1.1594/D101</f>
        <v>0.98254237288135593</v>
      </c>
      <c r="E104" s="2874">
        <f>1.0788/E101</f>
        <v>0.91423728813559324</v>
      </c>
      <c r="F104" s="2874">
        <f>1.0788/F101</f>
        <v>0.91423728813559324</v>
      </c>
      <c r="G104" s="2874">
        <f>1.0788/G101</f>
        <v>0.91423728813559324</v>
      </c>
      <c r="H104" s="2874">
        <f>1.0788/H101</f>
        <v>0.91423728813559324</v>
      </c>
      <c r="I104" s="2874">
        <f>1.0788/I101</f>
        <v>0.91423728813559324</v>
      </c>
      <c r="J104" s="2874">
        <f>1.0072/J101</f>
        <v>0.85355932203389839</v>
      </c>
      <c r="K104" s="2874">
        <f>1.0072/K101</f>
        <v>0.85355932203389839</v>
      </c>
      <c r="L104" s="2874">
        <f>1.0072/L101</f>
        <v>0.85355932203389839</v>
      </c>
      <c r="M104" s="2874">
        <f>1.0072/M101</f>
        <v>0.85355932203389839</v>
      </c>
      <c r="N104" s="2874">
        <f>1.0072/N101</f>
        <v>0.85355932203389839</v>
      </c>
    </row>
    <row r="105" spans="1:14">
      <c r="A105" s="3349"/>
      <c r="B105" s="2873">
        <v>4</v>
      </c>
      <c r="C105" s="2874">
        <f>0.9622/C101</f>
        <v>0.8154237288135594</v>
      </c>
      <c r="D105" s="2874">
        <f>0.9622/D101</f>
        <v>0.8154237288135594</v>
      </c>
      <c r="E105" s="2874">
        <f>0.8656/E101</f>
        <v>0.7335593220338984</v>
      </c>
      <c r="F105" s="2874">
        <f>0.8656/F101</f>
        <v>0.7335593220338984</v>
      </c>
      <c r="G105" s="2874">
        <f>0.8656/G101</f>
        <v>0.7335593220338984</v>
      </c>
      <c r="H105" s="2874">
        <f>0.8656/H101</f>
        <v>0.7335593220338984</v>
      </c>
      <c r="I105" s="2874">
        <f>0.8656/I101</f>
        <v>0.7335593220338984</v>
      </c>
      <c r="J105" s="2874">
        <f>0.7525/J101</f>
        <v>0.63771186440677963</v>
      </c>
      <c r="K105" s="2874">
        <f>0.7525/K101</f>
        <v>0.63771186440677963</v>
      </c>
      <c r="L105" s="2874">
        <f>0.7525/L101</f>
        <v>0.63771186440677963</v>
      </c>
      <c r="M105" s="2874">
        <f>0.7525/M101</f>
        <v>0.63771186440677963</v>
      </c>
      <c r="N105" s="2874">
        <f>0.7525/N101</f>
        <v>0.63771186440677963</v>
      </c>
    </row>
    <row r="106" spans="1:14">
      <c r="A106" s="3349"/>
      <c r="B106" s="2873">
        <v>5</v>
      </c>
      <c r="C106" s="2874">
        <f>0.8417/C101</f>
        <v>0.71330508474576271</v>
      </c>
      <c r="D106" s="2874">
        <f>0.8417/D101</f>
        <v>0.71330508474576271</v>
      </c>
      <c r="E106" s="2874">
        <f>0.7371/E101</f>
        <v>0.62466101694915255</v>
      </c>
      <c r="F106" s="2874">
        <f>0.7371/F101</f>
        <v>0.62466101694915255</v>
      </c>
      <c r="G106" s="2874">
        <f>0.7371/G101</f>
        <v>0.62466101694915255</v>
      </c>
      <c r="H106" s="2874">
        <f>0.7371/H101</f>
        <v>0.62466101694915255</v>
      </c>
      <c r="I106" s="2874">
        <f>0.7371/I101</f>
        <v>0.62466101694915255</v>
      </c>
      <c r="J106" s="2874">
        <f>0.5659/J101</f>
        <v>0.47957627118644069</v>
      </c>
      <c r="K106" s="2874">
        <f>0.5659/K101</f>
        <v>0.47957627118644069</v>
      </c>
      <c r="L106" s="2874">
        <f>0.5659/L101</f>
        <v>0.47957627118644069</v>
      </c>
      <c r="M106" s="2874">
        <f>0.5659/M101</f>
        <v>0.47957627118644069</v>
      </c>
      <c r="N106" s="2874">
        <f>0.5659/N101</f>
        <v>0.47957627118644069</v>
      </c>
    </row>
    <row r="107" spans="1:14">
      <c r="A107" s="3349"/>
      <c r="B107" s="2873">
        <v>6</v>
      </c>
      <c r="C107" s="2874">
        <f>0.7608/C101</f>
        <v>0.64474576271186446</v>
      </c>
      <c r="D107" s="2874">
        <f>0.7608/D101</f>
        <v>0.64474576271186446</v>
      </c>
      <c r="E107" s="2874">
        <f>0.6482/E101</f>
        <v>0.54932203389830514</v>
      </c>
      <c r="F107" s="2874">
        <f>0.6482/F101</f>
        <v>0.54932203389830514</v>
      </c>
      <c r="G107" s="2874">
        <f>0.6482/G101</f>
        <v>0.54932203389830514</v>
      </c>
      <c r="H107" s="2874">
        <f>0.6482/H101</f>
        <v>0.54932203389830514</v>
      </c>
      <c r="I107" s="2874">
        <f>0.6482/I101</f>
        <v>0.54932203389830514</v>
      </c>
      <c r="J107" s="2874">
        <f>0.4525/J101</f>
        <v>0.38347457627118647</v>
      </c>
      <c r="K107" s="2874">
        <f>0.4525/K101</f>
        <v>0.38347457627118647</v>
      </c>
      <c r="L107" s="2874">
        <f>0.4525/L101</f>
        <v>0.38347457627118647</v>
      </c>
      <c r="M107" s="2874">
        <f>0.4525/M101</f>
        <v>0.38347457627118647</v>
      </c>
      <c r="N107" s="2874">
        <f>0.4525/N101</f>
        <v>0.38347457627118647</v>
      </c>
    </row>
    <row r="108" spans="1:14">
      <c r="A108" s="3349"/>
      <c r="B108" s="3200" t="s">
        <v>2972</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350"/>
      <c r="B109" s="3201"/>
      <c r="C109" s="2876">
        <f>(-0.163*(C108^2)-0.59*C108+7617)*(10^(-4))/C101</f>
        <v>0.64550847457627125</v>
      </c>
      <c r="D109" s="2876">
        <f>(-0.163*(D108^2)-0.59*D108+7617)*(10^(-4))/D101</f>
        <v>0.64550847457627125</v>
      </c>
      <c r="E109" s="2876">
        <f>(-0.161*(E108^2)-7.509*E108+6533)*(10^(-4))/E101</f>
        <v>0.55364406779661024</v>
      </c>
      <c r="F109" s="2876">
        <f>(-0.161*(F108^2)-7.509*F108+6533)*(10^(-4))/F101</f>
        <v>0.55364406779661024</v>
      </c>
      <c r="G109" s="2876">
        <f>(-0.161*(G108^2)-7.509*G108+6533)*(10^(-4))/G101</f>
        <v>0.55364406779661024</v>
      </c>
      <c r="H109" s="2876">
        <f>(-0.161*(H108^2)-7.509*H108+6533)*(10^(-4))/H101</f>
        <v>0.55364406779661024</v>
      </c>
      <c r="I109" s="2876">
        <f>(-0.161*(I108^2)-7.509*I108+6533)*(10^(-4))/I101</f>
        <v>0.55364406779661024</v>
      </c>
      <c r="J109" s="2876">
        <f>(-0.214*(J108^2)-21.991*J108+4665)*(10^(-4))/J101</f>
        <v>0.39533898305084753</v>
      </c>
      <c r="K109" s="2876">
        <f>(-0.214*(K108^2)-21.991*K108+4665)*(10^(-4))/K101</f>
        <v>0.39533898305084753</v>
      </c>
      <c r="L109" s="2876">
        <f>(-0.214*(L108^2)-21.991*L108+4665)*(10^(-4))/L101</f>
        <v>0.39533898305084753</v>
      </c>
      <c r="M109" s="2876">
        <f>(-0.214*(M108^2)-21.991*M108+4665)*(10^(-4))/M101</f>
        <v>0.39533898305084753</v>
      </c>
      <c r="N109" s="2876">
        <f>(-0.214*(N108^2)-21.991*N108+4665)*(10^(-4))/N101</f>
        <v>0.39533898305084753</v>
      </c>
    </row>
    <row r="110" spans="1:14" ht="13">
      <c r="A110" s="3346" t="s">
        <v>2973</v>
      </c>
      <c r="B110" s="3346"/>
      <c r="C110" s="3346"/>
      <c r="D110" s="3346"/>
      <c r="E110" s="3346"/>
      <c r="F110" s="3346"/>
      <c r="G110" s="3346"/>
      <c r="H110" s="3346"/>
      <c r="I110" s="3346"/>
      <c r="J110" s="3346"/>
      <c r="K110" s="2879"/>
      <c r="L110" s="2879"/>
      <c r="M110" s="2879"/>
      <c r="N110" s="2879"/>
    </row>
    <row r="112" spans="1:14" ht="13" thickBot="1"/>
    <row r="113" spans="1:13" ht="26" thickBot="1">
      <c r="A113" s="898" t="s">
        <v>2974</v>
      </c>
      <c r="B113" s="1282">
        <f>G3</f>
        <v>1.18</v>
      </c>
      <c r="C113" s="899" t="s">
        <v>2975</v>
      </c>
      <c r="D113" s="900">
        <f>SUMPRODUCT((A115:A118=F113)*(B114:M114=H113)*B115:M118)</f>
        <v>0</v>
      </c>
      <c r="E113" s="2710" t="s">
        <v>2807</v>
      </c>
      <c r="F113" s="2881">
        <f>E2</f>
        <v>0</v>
      </c>
      <c r="G113" s="2710" t="s">
        <v>2808</v>
      </c>
      <c r="H113" s="2881">
        <f>G2</f>
        <v>0</v>
      </c>
      <c r="I113" s="2710"/>
      <c r="J113" s="2882"/>
      <c r="K113" s="2882"/>
      <c r="L113" s="2882"/>
      <c r="M113" s="2882"/>
    </row>
    <row r="114" spans="1:13" ht="13">
      <c r="A114" s="903"/>
      <c r="B114" s="2883" t="s">
        <v>2976</v>
      </c>
      <c r="C114" s="2883" t="s">
        <v>2977</v>
      </c>
      <c r="D114" s="2883" t="s">
        <v>2978</v>
      </c>
      <c r="E114" s="2884" t="s">
        <v>2979</v>
      </c>
      <c r="F114" s="2884" t="s">
        <v>2980</v>
      </c>
      <c r="G114" s="2884" t="s">
        <v>2981</v>
      </c>
      <c r="H114" s="2885" t="s">
        <v>2982</v>
      </c>
      <c r="I114" s="2885" t="s">
        <v>2983</v>
      </c>
      <c r="J114" s="2886" t="s">
        <v>2984</v>
      </c>
      <c r="K114" s="2886" t="s">
        <v>2985</v>
      </c>
      <c r="L114" s="2886" t="s">
        <v>2986</v>
      </c>
      <c r="M114" s="2887" t="s">
        <v>2987</v>
      </c>
    </row>
    <row r="115" spans="1:13" ht="13">
      <c r="A115" s="904" t="s">
        <v>2872</v>
      </c>
      <c r="B115" s="905">
        <f>ROUND(0.9335-0.0094*B113,4)</f>
        <v>0.9224</v>
      </c>
      <c r="C115" s="905">
        <f>B115</f>
        <v>0.9224</v>
      </c>
      <c r="D115" s="905">
        <f>ROUND(0.8331-0.0109*B113,4)</f>
        <v>0.82020000000000004</v>
      </c>
      <c r="E115" s="905">
        <f>D115</f>
        <v>0.82020000000000004</v>
      </c>
      <c r="F115" s="905">
        <f>E115</f>
        <v>0.82020000000000004</v>
      </c>
      <c r="G115" s="905">
        <f>F115</f>
        <v>0.82020000000000004</v>
      </c>
      <c r="H115" s="905">
        <f>G115</f>
        <v>0.82020000000000004</v>
      </c>
      <c r="I115" s="905">
        <f>ROUND(0.689-0.0155*B113,4)</f>
        <v>0.67069999999999996</v>
      </c>
      <c r="J115" s="905">
        <f t="shared" ref="J115:M118" si="33">I115</f>
        <v>0.67069999999999996</v>
      </c>
      <c r="K115" s="905">
        <f t="shared" si="33"/>
        <v>0.67069999999999996</v>
      </c>
      <c r="L115" s="905">
        <f t="shared" si="33"/>
        <v>0.67069999999999996</v>
      </c>
      <c r="M115" s="906">
        <f t="shared" si="33"/>
        <v>0.67069999999999996</v>
      </c>
    </row>
    <row r="116" spans="1:13" ht="13">
      <c r="A116" s="904" t="s">
        <v>2873</v>
      </c>
      <c r="B116" s="905">
        <f>ROUND(0.949-0.012*B113,4)</f>
        <v>0.93479999999999996</v>
      </c>
      <c r="C116" s="905">
        <f>B116</f>
        <v>0.93479999999999996</v>
      </c>
      <c r="D116" s="905">
        <f>ROUND(0.8567-0.013*B113,4)</f>
        <v>0.84140000000000004</v>
      </c>
      <c r="E116" s="905">
        <f t="shared" ref="E116:H117" si="34">D116</f>
        <v>0.84140000000000004</v>
      </c>
      <c r="F116" s="905">
        <f t="shared" si="34"/>
        <v>0.84140000000000004</v>
      </c>
      <c r="G116" s="905">
        <f t="shared" si="34"/>
        <v>0.84140000000000004</v>
      </c>
      <c r="H116" s="905">
        <f t="shared" si="34"/>
        <v>0.84140000000000004</v>
      </c>
      <c r="I116" s="905">
        <f>ROUND(0.7694-0.014*B113,4)</f>
        <v>0.75290000000000001</v>
      </c>
      <c r="J116" s="905">
        <f t="shared" si="33"/>
        <v>0.75290000000000001</v>
      </c>
      <c r="K116" s="905">
        <f t="shared" si="33"/>
        <v>0.75290000000000001</v>
      </c>
      <c r="L116" s="905">
        <f t="shared" si="33"/>
        <v>0.75290000000000001</v>
      </c>
      <c r="M116" s="906">
        <f t="shared" si="33"/>
        <v>0.75290000000000001</v>
      </c>
    </row>
    <row r="117" spans="1:13" ht="13">
      <c r="A117" s="904" t="s">
        <v>2874</v>
      </c>
      <c r="B117" s="905">
        <f>ROUND(0.8808-0.006*B113,4)</f>
        <v>0.87370000000000003</v>
      </c>
      <c r="C117" s="905">
        <f>B117</f>
        <v>0.87370000000000003</v>
      </c>
      <c r="D117" s="905">
        <f>ROUND(0.8748-0.008*B113,4)</f>
        <v>0.86539999999999995</v>
      </c>
      <c r="E117" s="905">
        <f t="shared" si="34"/>
        <v>0.86539999999999995</v>
      </c>
      <c r="F117" s="905">
        <f t="shared" si="34"/>
        <v>0.86539999999999995</v>
      </c>
      <c r="G117" s="905">
        <f t="shared" si="34"/>
        <v>0.86539999999999995</v>
      </c>
      <c r="H117" s="905">
        <f t="shared" si="34"/>
        <v>0.86539999999999995</v>
      </c>
      <c r="I117" s="905">
        <f>ROUND(0.7412-0.0095*B113,4)</f>
        <v>0.73</v>
      </c>
      <c r="J117" s="905">
        <f t="shared" si="33"/>
        <v>0.73</v>
      </c>
      <c r="K117" s="905">
        <f t="shared" si="33"/>
        <v>0.73</v>
      </c>
      <c r="L117" s="905">
        <f t="shared" si="33"/>
        <v>0.73</v>
      </c>
      <c r="M117" s="906">
        <f t="shared" si="33"/>
        <v>0.73</v>
      </c>
    </row>
    <row r="118" spans="1:13" ht="13.5" thickBot="1">
      <c r="A118" s="709" t="s">
        <v>2875</v>
      </c>
      <c r="B118" s="907">
        <f>ROUND(0.7275-0.01*B113,4)</f>
        <v>0.7157</v>
      </c>
      <c r="C118" s="907">
        <f>B118</f>
        <v>0.7157</v>
      </c>
      <c r="D118" s="907">
        <f>ROUND(0.7043-0.012*B113,4)</f>
        <v>0.69010000000000005</v>
      </c>
      <c r="E118" s="907">
        <f>D118</f>
        <v>0.69010000000000005</v>
      </c>
      <c r="F118" s="907">
        <f>E118</f>
        <v>0.69010000000000005</v>
      </c>
      <c r="G118" s="907">
        <f>ROUND(0.6299-0.0122*B113,4)</f>
        <v>0.61550000000000005</v>
      </c>
      <c r="H118" s="907">
        <f>G118</f>
        <v>0.61550000000000005</v>
      </c>
      <c r="I118" s="907">
        <f>ROUND(0.5667-0.0136*B113,4)</f>
        <v>0.55069999999999997</v>
      </c>
      <c r="J118" s="907">
        <f t="shared" si="33"/>
        <v>0.55069999999999997</v>
      </c>
      <c r="K118" s="907">
        <f t="shared" si="33"/>
        <v>0.55069999999999997</v>
      </c>
      <c r="L118" s="907">
        <f t="shared" si="33"/>
        <v>0.55069999999999997</v>
      </c>
      <c r="M118" s="908">
        <f t="shared" si="33"/>
        <v>0.55069999999999997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19"/>
  <sheetViews>
    <sheetView workbookViewId="0">
      <selection activeCell="A15" sqref="A15:M15"/>
    </sheetView>
  </sheetViews>
  <sheetFormatPr defaultColWidth="8.08984375" defaultRowHeight="19.5" customHeight="1"/>
  <cols>
    <col min="1" max="1" width="13.6328125" style="811" customWidth="1"/>
    <col min="2" max="9" width="8.08984375" style="873" customWidth="1"/>
    <col min="10" max="13" width="8.08984375" style="811"/>
    <col min="14" max="14" width="10" style="811" customWidth="1"/>
    <col min="15" max="16" width="8.08984375" style="811"/>
    <col min="17" max="17" width="34.08984375" style="811" customWidth="1"/>
    <col min="18" max="18" width="8.08984375" style="811" customWidth="1"/>
    <col min="19" max="19" width="8.08984375" style="811"/>
    <col min="20" max="20" width="11.6328125" style="811" customWidth="1"/>
    <col min="21" max="16384" width="8.0898437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3038</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56" t="s">
        <v>183</v>
      </c>
      <c r="B18" s="877" t="s">
        <v>560</v>
      </c>
      <c r="C18" s="878" t="s">
        <v>561</v>
      </c>
      <c r="D18" s="879"/>
      <c r="E18" s="877">
        <v>1</v>
      </c>
      <c r="F18" s="880" t="s">
        <v>562</v>
      </c>
      <c r="G18" s="881"/>
      <c r="H18" s="873"/>
      <c r="I18" s="873"/>
    </row>
    <row r="19" spans="1:9" s="882" customFormat="1" ht="19.5" customHeight="1">
      <c r="A19" s="3356"/>
      <c r="B19" s="3356" t="s">
        <v>563</v>
      </c>
      <c r="C19" s="878" t="s">
        <v>564</v>
      </c>
      <c r="D19" s="879"/>
      <c r="E19" s="877">
        <v>0.9</v>
      </c>
      <c r="F19" s="880" t="s">
        <v>565</v>
      </c>
      <c r="G19" s="881"/>
      <c r="H19" s="873"/>
      <c r="I19" s="873"/>
    </row>
    <row r="20" spans="1:9" s="882" customFormat="1" ht="19.5" customHeight="1">
      <c r="A20" s="3356"/>
      <c r="B20" s="3356"/>
      <c r="C20" s="878" t="s">
        <v>566</v>
      </c>
      <c r="D20" s="879"/>
      <c r="E20" s="877">
        <v>1.1000000000000001</v>
      </c>
      <c r="F20" s="880" t="s">
        <v>567</v>
      </c>
      <c r="G20" s="881"/>
      <c r="H20" s="873"/>
      <c r="I20" s="873"/>
    </row>
    <row r="21" spans="1:9" s="882" customFormat="1" ht="19.5" customHeight="1">
      <c r="A21" s="3356"/>
      <c r="B21" s="3356"/>
      <c r="C21" s="878" t="s">
        <v>568</v>
      </c>
      <c r="D21" s="879"/>
      <c r="E21" s="877">
        <v>0.8</v>
      </c>
      <c r="F21" s="880" t="s">
        <v>569</v>
      </c>
      <c r="G21" s="881"/>
      <c r="H21" s="873"/>
      <c r="I21" s="873"/>
    </row>
    <row r="22" spans="1:9" s="882" customFormat="1" ht="19.5" customHeight="1">
      <c r="A22" s="3356"/>
      <c r="B22" s="3356"/>
      <c r="C22" s="878" t="s">
        <v>570</v>
      </c>
      <c r="D22" s="879"/>
      <c r="E22" s="877">
        <v>0.5</v>
      </c>
      <c r="F22" s="880"/>
      <c r="G22" s="881"/>
      <c r="H22" s="873"/>
      <c r="I22" s="873"/>
    </row>
    <row r="23" spans="1:9" s="882" customFormat="1" ht="19.5" customHeight="1">
      <c r="A23" s="3356" t="s">
        <v>184</v>
      </c>
      <c r="B23" s="877" t="s">
        <v>560</v>
      </c>
      <c r="C23" s="878" t="s">
        <v>571</v>
      </c>
      <c r="D23" s="879"/>
      <c r="E23" s="877">
        <v>1</v>
      </c>
      <c r="F23" s="880" t="s">
        <v>572</v>
      </c>
      <c r="G23" s="881"/>
      <c r="H23" s="873"/>
      <c r="I23" s="873"/>
    </row>
    <row r="24" spans="1:9" s="882" customFormat="1" ht="19.5" customHeight="1">
      <c r="A24" s="3356"/>
      <c r="B24" s="3356" t="s">
        <v>563</v>
      </c>
      <c r="C24" s="878" t="s">
        <v>573</v>
      </c>
      <c r="D24" s="879"/>
      <c r="E24" s="877">
        <v>0.5</v>
      </c>
      <c r="F24" s="880"/>
      <c r="G24" s="881"/>
      <c r="H24" s="873"/>
      <c r="I24" s="873"/>
    </row>
    <row r="25" spans="1:9" s="882" customFormat="1" ht="19.5" customHeight="1">
      <c r="A25" s="3356"/>
      <c r="B25" s="3356"/>
      <c r="C25" s="878" t="s">
        <v>574</v>
      </c>
      <c r="D25" s="879"/>
      <c r="E25" s="877">
        <v>1.1000000000000001</v>
      </c>
      <c r="F25" s="880"/>
      <c r="G25" s="881"/>
      <c r="H25" s="873"/>
      <c r="I25" s="873"/>
    </row>
    <row r="26" spans="1:9" s="882" customFormat="1" ht="19.5" customHeight="1">
      <c r="A26" s="3356"/>
      <c r="B26" s="3356"/>
      <c r="C26" s="878" t="s">
        <v>575</v>
      </c>
      <c r="D26" s="879"/>
      <c r="E26" s="877">
        <v>1.1000000000000001</v>
      </c>
      <c r="F26" s="880"/>
      <c r="G26" s="881"/>
      <c r="H26" s="873"/>
      <c r="I26" s="873"/>
    </row>
    <row r="27" spans="1:9" s="882" customFormat="1" ht="19.5" customHeight="1">
      <c r="A27" s="3356"/>
      <c r="B27" s="3356"/>
      <c r="C27" s="878" t="s">
        <v>576</v>
      </c>
      <c r="D27" s="879"/>
      <c r="E27" s="877">
        <v>0.9</v>
      </c>
      <c r="F27" s="880" t="s">
        <v>577</v>
      </c>
      <c r="G27" s="881"/>
      <c r="H27" s="873"/>
      <c r="I27" s="873"/>
    </row>
    <row r="28" spans="1:9" s="882" customFormat="1" ht="19.5" customHeight="1">
      <c r="A28" s="3356"/>
      <c r="B28" s="3356"/>
      <c r="C28" s="878" t="s">
        <v>578</v>
      </c>
      <c r="D28" s="879"/>
      <c r="E28" s="877">
        <v>0.9</v>
      </c>
      <c r="F28" s="880" t="s">
        <v>579</v>
      </c>
      <c r="G28" s="881"/>
      <c r="H28" s="873"/>
      <c r="I28" s="873"/>
    </row>
    <row r="29" spans="1:9" s="882" customFormat="1" ht="19.5" customHeight="1">
      <c r="A29" s="3356"/>
      <c r="B29" s="3356"/>
      <c r="C29" s="878" t="s">
        <v>580</v>
      </c>
      <c r="D29" s="879"/>
      <c r="E29" s="877">
        <v>0.9</v>
      </c>
      <c r="F29" s="880" t="s">
        <v>581</v>
      </c>
      <c r="G29" s="881"/>
      <c r="H29" s="873"/>
      <c r="I29" s="873"/>
    </row>
    <row r="30" spans="1:9" s="882" customFormat="1" ht="19.5" customHeight="1">
      <c r="A30" s="3356"/>
      <c r="B30" s="3356"/>
      <c r="C30" s="878" t="s">
        <v>582</v>
      </c>
      <c r="D30" s="879"/>
      <c r="E30" s="877">
        <v>0.9</v>
      </c>
      <c r="F30" s="880" t="s">
        <v>583</v>
      </c>
      <c r="G30" s="881"/>
      <c r="H30" s="873"/>
      <c r="I30" s="873"/>
    </row>
    <row r="31" spans="1:9" s="882" customFormat="1" ht="19.5" customHeight="1">
      <c r="A31" s="3356"/>
      <c r="B31" s="3356"/>
      <c r="C31" s="878" t="s">
        <v>584</v>
      </c>
      <c r="D31" s="879"/>
      <c r="E31" s="877">
        <v>0.8</v>
      </c>
      <c r="F31" s="880" t="s">
        <v>585</v>
      </c>
      <c r="G31" s="881"/>
      <c r="H31" s="873"/>
      <c r="I31" s="873"/>
    </row>
    <row r="32" spans="1:9" s="882" customFormat="1" ht="19.5" customHeight="1">
      <c r="A32" s="3356"/>
      <c r="B32" s="3356"/>
      <c r="C32" s="878" t="s">
        <v>586</v>
      </c>
      <c r="D32" s="879"/>
      <c r="E32" s="877">
        <v>0.8</v>
      </c>
      <c r="F32" s="880" t="s">
        <v>587</v>
      </c>
      <c r="G32" s="881"/>
      <c r="H32" s="873"/>
      <c r="I32" s="873"/>
    </row>
    <row r="33" spans="1:9" s="882" customFormat="1" ht="19.5" customHeight="1">
      <c r="A33" s="3356" t="s">
        <v>185</v>
      </c>
      <c r="B33" s="877" t="s">
        <v>560</v>
      </c>
      <c r="C33" s="878" t="s">
        <v>588</v>
      </c>
      <c r="D33" s="879"/>
      <c r="E33" s="877">
        <v>1</v>
      </c>
      <c r="F33" s="880" t="s">
        <v>589</v>
      </c>
      <c r="G33" s="881"/>
      <c r="H33" s="873"/>
      <c r="I33" s="873"/>
    </row>
    <row r="34" spans="1:9" s="882" customFormat="1" ht="19.5" customHeight="1">
      <c r="A34" s="3356"/>
      <c r="B34" s="877" t="s">
        <v>563</v>
      </c>
      <c r="C34" s="878" t="s">
        <v>590</v>
      </c>
      <c r="D34" s="879"/>
      <c r="E34" s="877">
        <v>1.5</v>
      </c>
      <c r="F34" s="880" t="s">
        <v>591</v>
      </c>
      <c r="G34" s="881"/>
      <c r="H34" s="873"/>
      <c r="I34" s="873"/>
    </row>
    <row r="35" spans="1:9" s="882" customFormat="1" ht="19.5" customHeight="1">
      <c r="A35" s="3356" t="s">
        <v>186</v>
      </c>
      <c r="B35" s="877" t="s">
        <v>560</v>
      </c>
      <c r="C35" s="878" t="s">
        <v>592</v>
      </c>
      <c r="D35" s="879"/>
      <c r="E35" s="877">
        <v>1</v>
      </c>
      <c r="F35" s="880" t="s">
        <v>593</v>
      </c>
      <c r="G35" s="881"/>
      <c r="H35" s="873"/>
      <c r="I35" s="873"/>
    </row>
    <row r="36" spans="1:9" s="882" customFormat="1" ht="19.5" customHeight="1">
      <c r="A36" s="3356"/>
      <c r="B36" s="3356" t="s">
        <v>563</v>
      </c>
      <c r="C36" s="878" t="s">
        <v>594</v>
      </c>
      <c r="D36" s="879"/>
      <c r="E36" s="877">
        <v>1</v>
      </c>
      <c r="F36" s="880" t="s">
        <v>595</v>
      </c>
      <c r="G36" s="881"/>
      <c r="H36" s="873"/>
      <c r="I36" s="873"/>
    </row>
    <row r="37" spans="1:9" s="882" customFormat="1" ht="19.5" customHeight="1">
      <c r="A37" s="3356"/>
      <c r="B37" s="3356"/>
      <c r="C37" s="878" t="s">
        <v>596</v>
      </c>
      <c r="D37" s="879"/>
      <c r="E37" s="877">
        <v>1.5</v>
      </c>
      <c r="F37" s="880" t="s">
        <v>597</v>
      </c>
      <c r="G37" s="881"/>
      <c r="H37" s="873"/>
      <c r="I37" s="873"/>
    </row>
    <row r="38" spans="1:9" s="882" customFormat="1" ht="19.5" customHeight="1">
      <c r="A38" s="3356"/>
      <c r="B38" s="3356"/>
      <c r="C38" s="878" t="s">
        <v>598</v>
      </c>
      <c r="D38" s="879"/>
      <c r="E38" s="877">
        <v>1</v>
      </c>
      <c r="F38" s="880" t="s">
        <v>599</v>
      </c>
      <c r="G38" s="881"/>
      <c r="H38" s="873"/>
      <c r="I38" s="873"/>
    </row>
    <row r="39" spans="1:9" s="882" customFormat="1" ht="19.5" customHeight="1">
      <c r="A39" s="3356"/>
      <c r="B39" s="3356"/>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4">
      <c r="A60" s="935"/>
      <c r="B60" s="935"/>
      <c r="C60" s="935" t="s">
        <v>745</v>
      </c>
      <c r="D60" s="935"/>
      <c r="E60" s="890" t="s">
        <v>1</v>
      </c>
      <c r="F60" s="935" t="s">
        <v>1</v>
      </c>
    </row>
    <row r="61" spans="1:8" s="873" customFormat="1" ht="26">
      <c r="A61" s="877">
        <v>1</v>
      </c>
      <c r="B61" s="3356" t="s">
        <v>614</v>
      </c>
      <c r="C61" s="813" t="s">
        <v>615</v>
      </c>
      <c r="D61" s="813" t="s">
        <v>616</v>
      </c>
      <c r="E61" s="890">
        <v>0.5</v>
      </c>
      <c r="F61" s="877">
        <v>80</v>
      </c>
    </row>
    <row r="62" spans="1:8" s="873" customFormat="1" ht="26">
      <c r="A62" s="877">
        <v>2</v>
      </c>
      <c r="B62" s="3356"/>
      <c r="C62" s="813" t="s">
        <v>617</v>
      </c>
      <c r="D62" s="813" t="s">
        <v>618</v>
      </c>
      <c r="E62" s="890">
        <v>0.5</v>
      </c>
      <c r="F62" s="877">
        <v>80</v>
      </c>
    </row>
    <row r="63" spans="1:8" s="873" customFormat="1" ht="39">
      <c r="A63" s="877">
        <v>3</v>
      </c>
      <c r="B63" s="3356"/>
      <c r="C63" s="813" t="s">
        <v>619</v>
      </c>
      <c r="D63" s="813" t="s">
        <v>620</v>
      </c>
      <c r="E63" s="890">
        <v>0.5</v>
      </c>
      <c r="F63" s="877">
        <v>80</v>
      </c>
    </row>
    <row r="64" spans="1:8" s="873" customFormat="1" ht="39">
      <c r="A64" s="877">
        <v>4</v>
      </c>
      <c r="B64" s="3356"/>
      <c r="C64" s="813" t="s">
        <v>621</v>
      </c>
      <c r="D64" s="813" t="s">
        <v>622</v>
      </c>
      <c r="E64" s="890">
        <v>0.4</v>
      </c>
      <c r="F64" s="877">
        <v>60</v>
      </c>
    </row>
    <row r="65" spans="1:6" s="873" customFormat="1" ht="39">
      <c r="A65" s="877">
        <v>5</v>
      </c>
      <c r="B65" s="3356"/>
      <c r="C65" s="813" t="s">
        <v>623</v>
      </c>
      <c r="D65" s="813" t="s">
        <v>624</v>
      </c>
      <c r="E65" s="890">
        <v>0.2</v>
      </c>
      <c r="F65" s="877">
        <v>30</v>
      </c>
    </row>
    <row r="66" spans="1:6" s="873" customFormat="1" ht="39">
      <c r="A66" s="877">
        <v>6</v>
      </c>
      <c r="B66" s="3356"/>
      <c r="C66" s="813" t="s">
        <v>625</v>
      </c>
      <c r="D66" s="813" t="s">
        <v>626</v>
      </c>
      <c r="E66" s="890">
        <v>0.3</v>
      </c>
      <c r="F66" s="877">
        <v>50</v>
      </c>
    </row>
    <row r="67" spans="1:6" s="873" customFormat="1" ht="39">
      <c r="A67" s="877">
        <v>7</v>
      </c>
      <c r="B67" s="3356"/>
      <c r="C67" s="813" t="s">
        <v>627</v>
      </c>
      <c r="D67" s="813" t="s">
        <v>628</v>
      </c>
      <c r="E67" s="890">
        <v>0.2</v>
      </c>
      <c r="F67" s="877">
        <v>30</v>
      </c>
    </row>
    <row r="68" spans="1:6" s="873" customFormat="1" ht="39">
      <c r="A68" s="877">
        <v>8</v>
      </c>
      <c r="B68" s="3356"/>
      <c r="C68" s="813" t="s">
        <v>629</v>
      </c>
      <c r="D68" s="813" t="s">
        <v>630</v>
      </c>
      <c r="E68" s="890">
        <v>0.2</v>
      </c>
      <c r="F68" s="877">
        <v>30</v>
      </c>
    </row>
    <row r="69" spans="1:6" s="873" customFormat="1" ht="39">
      <c r="A69" s="877">
        <v>9</v>
      </c>
      <c r="B69" s="3356"/>
      <c r="C69" s="813" t="s">
        <v>631</v>
      </c>
      <c r="D69" s="813" t="s">
        <v>632</v>
      </c>
      <c r="E69" s="890">
        <v>0.2</v>
      </c>
      <c r="F69" s="877">
        <v>30</v>
      </c>
    </row>
    <row r="70" spans="1:6" s="873" customFormat="1" ht="52">
      <c r="A70" s="877">
        <v>10</v>
      </c>
      <c r="B70" s="3356"/>
      <c r="C70" s="813" t="s">
        <v>633</v>
      </c>
      <c r="D70" s="813" t="s">
        <v>634</v>
      </c>
      <c r="E70" s="890">
        <v>0.2</v>
      </c>
      <c r="F70" s="877">
        <v>30</v>
      </c>
    </row>
    <row r="71" spans="1:6" s="873" customFormat="1" ht="52">
      <c r="A71" s="877">
        <v>11</v>
      </c>
      <c r="B71" s="3356"/>
      <c r="C71" s="813" t="s">
        <v>635</v>
      </c>
      <c r="D71" s="813" t="s">
        <v>636</v>
      </c>
      <c r="E71" s="890">
        <v>0.2</v>
      </c>
      <c r="F71" s="877">
        <v>30</v>
      </c>
    </row>
    <row r="72" spans="1:6" s="873" customFormat="1" ht="39">
      <c r="A72" s="877">
        <v>12</v>
      </c>
      <c r="B72" s="3356"/>
      <c r="C72" s="813" t="s">
        <v>637</v>
      </c>
      <c r="D72" s="813" t="s">
        <v>638</v>
      </c>
      <c r="E72" s="890">
        <v>0.5</v>
      </c>
      <c r="F72" s="877">
        <v>80</v>
      </c>
    </row>
    <row r="73" spans="1:6" s="873" customFormat="1" ht="26">
      <c r="A73" s="877">
        <v>13</v>
      </c>
      <c r="B73" s="3356"/>
      <c r="C73" s="813" t="s">
        <v>639</v>
      </c>
      <c r="D73" s="813" t="s">
        <v>640</v>
      </c>
      <c r="E73" s="890">
        <v>0.4</v>
      </c>
      <c r="F73" s="877">
        <v>60</v>
      </c>
    </row>
    <row r="74" spans="1:6" s="873" customFormat="1" ht="26">
      <c r="A74" s="877">
        <v>14</v>
      </c>
      <c r="B74" s="3356"/>
      <c r="C74" s="813" t="s">
        <v>641</v>
      </c>
      <c r="D74" s="813" t="s">
        <v>642</v>
      </c>
      <c r="E74" s="890">
        <v>0.2</v>
      </c>
      <c r="F74" s="877">
        <v>30</v>
      </c>
    </row>
    <row r="75" spans="1:6" s="873" customFormat="1" ht="26">
      <c r="A75" s="877">
        <v>15</v>
      </c>
      <c r="B75" s="3356"/>
      <c r="C75" s="813" t="s">
        <v>643</v>
      </c>
      <c r="D75" s="813" t="s">
        <v>644</v>
      </c>
      <c r="E75" s="890">
        <v>0.2</v>
      </c>
      <c r="F75" s="877">
        <v>30</v>
      </c>
    </row>
    <row r="76" spans="1:6" s="873" customFormat="1" ht="26">
      <c r="A76" s="877">
        <v>16</v>
      </c>
      <c r="B76" s="3356" t="s">
        <v>645</v>
      </c>
      <c r="C76" s="813" t="s">
        <v>646</v>
      </c>
      <c r="D76" s="813" t="s">
        <v>647</v>
      </c>
      <c r="E76" s="890">
        <v>0.5</v>
      </c>
      <c r="F76" s="877">
        <v>80</v>
      </c>
    </row>
    <row r="77" spans="1:6" s="873" customFormat="1" ht="26">
      <c r="A77" s="877">
        <v>17</v>
      </c>
      <c r="B77" s="3356"/>
      <c r="C77" s="813" t="s">
        <v>648</v>
      </c>
      <c r="D77" s="813" t="s">
        <v>649</v>
      </c>
      <c r="E77" s="890">
        <v>0.5</v>
      </c>
      <c r="F77" s="877">
        <v>80</v>
      </c>
    </row>
    <row r="78" spans="1:6" s="873" customFormat="1" ht="26">
      <c r="A78" s="877">
        <v>18</v>
      </c>
      <c r="B78" s="3356"/>
      <c r="C78" s="813" t="s">
        <v>650</v>
      </c>
      <c r="D78" s="813" t="s">
        <v>651</v>
      </c>
      <c r="E78" s="890">
        <v>0.2</v>
      </c>
      <c r="F78" s="877">
        <v>30</v>
      </c>
    </row>
    <row r="79" spans="1:6" s="873" customFormat="1" ht="26">
      <c r="A79" s="877">
        <v>19</v>
      </c>
      <c r="B79" s="3356"/>
      <c r="C79" s="813" t="s">
        <v>652</v>
      </c>
      <c r="D79" s="813" t="s">
        <v>653</v>
      </c>
      <c r="E79" s="890">
        <v>0.5</v>
      </c>
      <c r="F79" s="877">
        <v>80</v>
      </c>
    </row>
    <row r="80" spans="1:6" s="873" customFormat="1" ht="39">
      <c r="A80" s="877">
        <v>20</v>
      </c>
      <c r="B80" s="3356"/>
      <c r="C80" s="813" t="s">
        <v>654</v>
      </c>
      <c r="D80" s="813" t="s">
        <v>655</v>
      </c>
      <c r="E80" s="890">
        <v>0.2</v>
      </c>
      <c r="F80" s="877">
        <v>30</v>
      </c>
    </row>
    <row r="81" spans="1:6" s="873" customFormat="1" ht="39">
      <c r="A81" s="877">
        <v>21</v>
      </c>
      <c r="B81" s="3356"/>
      <c r="C81" s="813" t="s">
        <v>656</v>
      </c>
      <c r="D81" s="813" t="s">
        <v>657</v>
      </c>
      <c r="E81" s="890">
        <v>0.2</v>
      </c>
      <c r="F81" s="877">
        <v>30</v>
      </c>
    </row>
    <row r="82" spans="1:6" s="873" customFormat="1" ht="52">
      <c r="A82" s="877">
        <v>22</v>
      </c>
      <c r="B82" s="3356"/>
      <c r="C82" s="813" t="s">
        <v>658</v>
      </c>
      <c r="D82" s="813" t="s">
        <v>659</v>
      </c>
      <c r="E82" s="890">
        <v>0.2</v>
      </c>
      <c r="F82" s="877">
        <v>30</v>
      </c>
    </row>
    <row r="83" spans="1:6" s="873" customFormat="1" ht="52">
      <c r="A83" s="877">
        <v>23</v>
      </c>
      <c r="B83" s="3356"/>
      <c r="C83" s="813" t="s">
        <v>660</v>
      </c>
      <c r="D83" s="813" t="s">
        <v>661</v>
      </c>
      <c r="E83" s="890">
        <v>0.2</v>
      </c>
      <c r="F83" s="877">
        <v>30</v>
      </c>
    </row>
    <row r="84" spans="1:6" s="873" customFormat="1" ht="39">
      <c r="A84" s="877">
        <v>24</v>
      </c>
      <c r="B84" s="3356"/>
      <c r="C84" s="813" t="s">
        <v>662</v>
      </c>
      <c r="D84" s="813" t="s">
        <v>663</v>
      </c>
      <c r="E84" s="890">
        <v>0.2</v>
      </c>
      <c r="F84" s="877">
        <v>30</v>
      </c>
    </row>
    <row r="85" spans="1:6" s="873" customFormat="1" ht="39">
      <c r="A85" s="877">
        <v>25</v>
      </c>
      <c r="B85" s="3356"/>
      <c r="C85" s="813" t="s">
        <v>664</v>
      </c>
      <c r="D85" s="813" t="s">
        <v>665</v>
      </c>
      <c r="E85" s="890">
        <v>0.5</v>
      </c>
      <c r="F85" s="877">
        <v>80</v>
      </c>
    </row>
    <row r="86" spans="1:6" s="873" customFormat="1" ht="39">
      <c r="A86" s="877">
        <v>26</v>
      </c>
      <c r="B86" s="3356"/>
      <c r="C86" s="813" t="s">
        <v>666</v>
      </c>
      <c r="D86" s="813" t="s">
        <v>667</v>
      </c>
      <c r="E86" s="890">
        <v>0.2</v>
      </c>
      <c r="F86" s="877">
        <v>30</v>
      </c>
    </row>
    <row r="87" spans="1:6" s="873" customFormat="1" ht="39">
      <c r="A87" s="877">
        <v>27</v>
      </c>
      <c r="B87" s="3356"/>
      <c r="C87" s="813" t="s">
        <v>668</v>
      </c>
      <c r="D87" s="813" t="s">
        <v>669</v>
      </c>
      <c r="E87" s="890">
        <v>0.2</v>
      </c>
      <c r="F87" s="877">
        <v>30</v>
      </c>
    </row>
    <row r="88" spans="1:6" s="873" customFormat="1" ht="39">
      <c r="A88" s="877">
        <v>28</v>
      </c>
      <c r="B88" s="3356"/>
      <c r="C88" s="813" t="s">
        <v>670</v>
      </c>
      <c r="D88" s="813" t="s">
        <v>671</v>
      </c>
      <c r="E88" s="890">
        <v>0.2</v>
      </c>
      <c r="F88" s="877">
        <v>30</v>
      </c>
    </row>
    <row r="89" spans="1:6" s="873" customFormat="1" ht="26">
      <c r="A89" s="877">
        <v>29</v>
      </c>
      <c r="B89" s="3356"/>
      <c r="C89" s="813" t="s">
        <v>672</v>
      </c>
      <c r="D89" s="813" t="s">
        <v>673</v>
      </c>
      <c r="E89" s="890">
        <v>0.2</v>
      </c>
      <c r="F89" s="877">
        <v>30</v>
      </c>
    </row>
    <row r="90" spans="1:6" s="873" customFormat="1" ht="26">
      <c r="A90" s="877">
        <v>30</v>
      </c>
      <c r="B90" s="3356"/>
      <c r="C90" s="813" t="s">
        <v>674</v>
      </c>
      <c r="D90" s="813" t="s">
        <v>675</v>
      </c>
      <c r="E90" s="890">
        <v>0.2</v>
      </c>
      <c r="F90" s="877">
        <v>30</v>
      </c>
    </row>
    <row r="91" spans="1:6" s="873" customFormat="1" ht="39">
      <c r="A91" s="877">
        <v>31</v>
      </c>
      <c r="B91" s="3356"/>
      <c r="C91" s="813" t="s">
        <v>676</v>
      </c>
      <c r="D91" s="813" t="s">
        <v>677</v>
      </c>
      <c r="E91" s="890">
        <v>0.2</v>
      </c>
      <c r="F91" s="877">
        <v>30</v>
      </c>
    </row>
    <row r="92" spans="1:6" s="873" customFormat="1" ht="26">
      <c r="A92" s="877">
        <v>32</v>
      </c>
      <c r="B92" s="3356" t="s">
        <v>678</v>
      </c>
      <c r="C92" s="877" t="s">
        <v>679</v>
      </c>
      <c r="D92" s="813" t="s">
        <v>680</v>
      </c>
      <c r="E92" s="890">
        <v>0.2</v>
      </c>
      <c r="F92" s="877">
        <v>30</v>
      </c>
    </row>
    <row r="93" spans="1:6" s="873" customFormat="1" ht="39">
      <c r="A93" s="877">
        <v>33</v>
      </c>
      <c r="B93" s="3356"/>
      <c r="C93" s="877" t="s">
        <v>681</v>
      </c>
      <c r="D93" s="813" t="s">
        <v>682</v>
      </c>
      <c r="E93" s="890">
        <v>0.2</v>
      </c>
      <c r="F93" s="877">
        <v>30</v>
      </c>
    </row>
    <row r="94" spans="1:6" s="873" customFormat="1" ht="52">
      <c r="A94" s="877">
        <v>34</v>
      </c>
      <c r="B94" s="3356"/>
      <c r="C94" s="877" t="s">
        <v>683</v>
      </c>
      <c r="D94" s="813" t="s">
        <v>684</v>
      </c>
      <c r="E94" s="890">
        <v>0.2</v>
      </c>
      <c r="F94" s="877">
        <v>30</v>
      </c>
    </row>
    <row r="95" spans="1:6" s="873" customFormat="1" ht="39">
      <c r="A95" s="877">
        <v>35</v>
      </c>
      <c r="B95" s="3356"/>
      <c r="C95" s="877" t="s">
        <v>685</v>
      </c>
      <c r="D95" s="813" t="s">
        <v>686</v>
      </c>
      <c r="E95" s="890">
        <v>0.2</v>
      </c>
      <c r="F95" s="877">
        <v>30</v>
      </c>
    </row>
    <row r="96" spans="1:6" s="873" customFormat="1" ht="52">
      <c r="A96" s="877">
        <v>36</v>
      </c>
      <c r="B96" s="3356"/>
      <c r="C96" s="813" t="s">
        <v>687</v>
      </c>
      <c r="D96" s="813" t="s">
        <v>688</v>
      </c>
      <c r="E96" s="890">
        <v>0.2</v>
      </c>
      <c r="F96" s="877">
        <v>30</v>
      </c>
    </row>
    <row r="97" spans="1:6" s="873" customFormat="1" ht="39">
      <c r="A97" s="877">
        <v>37</v>
      </c>
      <c r="B97" s="3356"/>
      <c r="C97" s="877" t="s">
        <v>689</v>
      </c>
      <c r="D97" s="813" t="s">
        <v>690</v>
      </c>
      <c r="E97" s="890">
        <v>0.2</v>
      </c>
      <c r="F97" s="877">
        <v>30</v>
      </c>
    </row>
    <row r="98" spans="1:6" s="873" customFormat="1" ht="39">
      <c r="A98" s="877">
        <v>38</v>
      </c>
      <c r="B98" s="3356"/>
      <c r="C98" s="877" t="s">
        <v>691</v>
      </c>
      <c r="D98" s="813" t="s">
        <v>692</v>
      </c>
      <c r="E98" s="890">
        <v>0.2</v>
      </c>
      <c r="F98" s="877">
        <v>30</v>
      </c>
    </row>
    <row r="99" spans="1:6" s="873" customFormat="1" ht="39">
      <c r="A99" s="877">
        <v>39</v>
      </c>
      <c r="B99" s="3356" t="s">
        <v>693</v>
      </c>
      <c r="C99" s="877" t="s">
        <v>694</v>
      </c>
      <c r="D99" s="813" t="s">
        <v>695</v>
      </c>
      <c r="E99" s="890">
        <v>0.3</v>
      </c>
      <c r="F99" s="877">
        <v>50</v>
      </c>
    </row>
    <row r="100" spans="1:6" s="873" customFormat="1" ht="26">
      <c r="A100" s="877">
        <v>40</v>
      </c>
      <c r="B100" s="3356"/>
      <c r="C100" s="877" t="s">
        <v>696</v>
      </c>
      <c r="D100" s="813" t="s">
        <v>697</v>
      </c>
      <c r="E100" s="890">
        <v>0.2</v>
      </c>
      <c r="F100" s="877">
        <v>30</v>
      </c>
    </row>
    <row r="101" spans="1:6" s="873" customFormat="1" ht="39">
      <c r="A101" s="877">
        <v>41</v>
      </c>
      <c r="B101" s="3356"/>
      <c r="C101" s="877" t="s">
        <v>698</v>
      </c>
      <c r="D101" s="813" t="s">
        <v>695</v>
      </c>
      <c r="E101" s="890">
        <v>0.2</v>
      </c>
      <c r="F101" s="877">
        <v>30</v>
      </c>
    </row>
    <row r="102" spans="1:6" s="873" customFormat="1" ht="52">
      <c r="A102" s="877">
        <v>42</v>
      </c>
      <c r="B102" s="877" t="s">
        <v>699</v>
      </c>
      <c r="C102" s="813" t="s">
        <v>700</v>
      </c>
      <c r="D102" s="813" t="s">
        <v>701</v>
      </c>
      <c r="E102" s="890">
        <v>0.2</v>
      </c>
      <c r="F102" s="877">
        <v>30</v>
      </c>
    </row>
    <row r="103" spans="1:6" s="873" customFormat="1" ht="26">
      <c r="A103" s="877">
        <v>43</v>
      </c>
      <c r="B103" s="877" t="s">
        <v>702</v>
      </c>
      <c r="C103" s="877" t="s">
        <v>703</v>
      </c>
      <c r="D103" s="813" t="s">
        <v>704</v>
      </c>
      <c r="E103" s="890">
        <v>0.2</v>
      </c>
      <c r="F103" s="877">
        <v>30</v>
      </c>
    </row>
    <row r="104" spans="1:6" s="873" customFormat="1" ht="39">
      <c r="A104" s="877">
        <v>44</v>
      </c>
      <c r="B104" s="877" t="s">
        <v>705</v>
      </c>
      <c r="C104" s="877" t="s">
        <v>706</v>
      </c>
      <c r="D104" s="813" t="s">
        <v>707</v>
      </c>
      <c r="E104" s="890">
        <v>0.2</v>
      </c>
      <c r="F104" s="877">
        <v>30</v>
      </c>
    </row>
    <row r="105" spans="1:6" s="873" customFormat="1" ht="39">
      <c r="A105" s="877">
        <v>45</v>
      </c>
      <c r="B105" s="3356" t="s">
        <v>708</v>
      </c>
      <c r="C105" s="877" t="s">
        <v>709</v>
      </c>
      <c r="D105" s="813" t="s">
        <v>710</v>
      </c>
      <c r="E105" s="890">
        <v>0.2</v>
      </c>
      <c r="F105" s="877">
        <v>30</v>
      </c>
    </row>
    <row r="106" spans="1:6" s="873" customFormat="1" ht="39">
      <c r="A106" s="877">
        <v>46</v>
      </c>
      <c r="B106" s="3356"/>
      <c r="C106" s="877" t="s">
        <v>711</v>
      </c>
      <c r="D106" s="813" t="s">
        <v>712</v>
      </c>
      <c r="E106" s="890">
        <v>0.2</v>
      </c>
      <c r="F106" s="877">
        <v>30</v>
      </c>
    </row>
    <row r="107" spans="1:6" s="873" customFormat="1" ht="39">
      <c r="A107" s="877">
        <v>47</v>
      </c>
      <c r="B107" s="3356" t="s">
        <v>713</v>
      </c>
      <c r="C107" s="877" t="s">
        <v>714</v>
      </c>
      <c r="D107" s="813" t="s">
        <v>715</v>
      </c>
      <c r="E107" s="890">
        <v>0.3</v>
      </c>
      <c r="F107" s="877">
        <v>50</v>
      </c>
    </row>
    <row r="108" spans="1:6" s="873" customFormat="1" ht="39">
      <c r="A108" s="877">
        <v>48</v>
      </c>
      <c r="B108" s="3356"/>
      <c r="C108" s="877" t="s">
        <v>716</v>
      </c>
      <c r="D108" s="813" t="s">
        <v>717</v>
      </c>
      <c r="E108" s="890">
        <v>0.2</v>
      </c>
      <c r="F108" s="877">
        <v>30</v>
      </c>
    </row>
    <row r="109" spans="1:6" s="873" customFormat="1" ht="39">
      <c r="A109" s="877">
        <v>49</v>
      </c>
      <c r="B109" s="877" t="s">
        <v>718</v>
      </c>
      <c r="C109" s="877" t="s">
        <v>719</v>
      </c>
      <c r="D109" s="813" t="s">
        <v>720</v>
      </c>
      <c r="E109" s="890">
        <v>0.2</v>
      </c>
      <c r="F109" s="877">
        <v>30</v>
      </c>
    </row>
    <row r="110" spans="1:6" s="873" customFormat="1" ht="39">
      <c r="A110" s="877">
        <v>50</v>
      </c>
      <c r="B110" s="877" t="s">
        <v>721</v>
      </c>
      <c r="C110" s="877" t="s">
        <v>722</v>
      </c>
      <c r="D110" s="813" t="s">
        <v>723</v>
      </c>
      <c r="E110" s="890">
        <v>0.2</v>
      </c>
      <c r="F110" s="877">
        <v>30</v>
      </c>
    </row>
    <row r="111" spans="1:6" s="873" customFormat="1" ht="39">
      <c r="A111" s="877">
        <v>51</v>
      </c>
      <c r="B111" s="3356" t="s">
        <v>724</v>
      </c>
      <c r="C111" s="877" t="s">
        <v>725</v>
      </c>
      <c r="D111" s="813" t="s">
        <v>726</v>
      </c>
      <c r="E111" s="890">
        <v>0.2</v>
      </c>
      <c r="F111" s="877">
        <v>30</v>
      </c>
    </row>
    <row r="112" spans="1:6" s="873" customFormat="1" ht="26">
      <c r="A112" s="877">
        <v>52</v>
      </c>
      <c r="B112" s="3356"/>
      <c r="C112" s="877" t="s">
        <v>727</v>
      </c>
      <c r="D112" s="813" t="s">
        <v>728</v>
      </c>
      <c r="E112" s="890">
        <v>0.2</v>
      </c>
      <c r="F112" s="877">
        <v>30</v>
      </c>
    </row>
    <row r="113" spans="1:6" s="873" customFormat="1" ht="26">
      <c r="A113" s="877">
        <v>53</v>
      </c>
      <c r="B113" s="3356"/>
      <c r="C113" s="877" t="s">
        <v>729</v>
      </c>
      <c r="D113" s="813" t="s">
        <v>730</v>
      </c>
      <c r="E113" s="890">
        <v>0.2</v>
      </c>
      <c r="F113" s="877">
        <v>30</v>
      </c>
    </row>
    <row r="114" spans="1:6" ht="39">
      <c r="A114" s="877">
        <v>54</v>
      </c>
      <c r="B114" s="877" t="s">
        <v>731</v>
      </c>
      <c r="C114" s="877" t="s">
        <v>732</v>
      </c>
      <c r="D114" s="813" t="s">
        <v>733</v>
      </c>
      <c r="E114" s="890">
        <v>0.2</v>
      </c>
      <c r="F114" s="877">
        <v>30</v>
      </c>
    </row>
    <row r="115" spans="1:6" ht="26">
      <c r="A115" s="877">
        <v>55</v>
      </c>
      <c r="B115" s="877" t="s">
        <v>734</v>
      </c>
      <c r="C115" s="877" t="s">
        <v>735</v>
      </c>
      <c r="D115" s="813" t="s">
        <v>736</v>
      </c>
      <c r="E115" s="890">
        <v>0.2</v>
      </c>
      <c r="F115" s="877">
        <v>30</v>
      </c>
    </row>
    <row r="116" spans="1:6" ht="26">
      <c r="A116" s="877">
        <v>56</v>
      </c>
      <c r="B116" s="3356" t="s">
        <v>737</v>
      </c>
      <c r="C116" s="877" t="s">
        <v>738</v>
      </c>
      <c r="D116" s="813" t="s">
        <v>739</v>
      </c>
      <c r="E116" s="890">
        <v>0.2</v>
      </c>
      <c r="F116" s="877">
        <v>30</v>
      </c>
    </row>
    <row r="117" spans="1:6" ht="39">
      <c r="A117" s="877">
        <v>57</v>
      </c>
      <c r="B117" s="3356"/>
      <c r="C117" s="877" t="s">
        <v>740</v>
      </c>
      <c r="D117" s="813" t="s">
        <v>741</v>
      </c>
      <c r="E117" s="890">
        <v>0.2</v>
      </c>
      <c r="F117" s="877">
        <v>30</v>
      </c>
    </row>
    <row r="118" spans="1:6" ht="39">
      <c r="A118" s="877">
        <v>58</v>
      </c>
      <c r="B118" s="877" t="s">
        <v>742</v>
      </c>
      <c r="C118" s="877" t="s">
        <v>743</v>
      </c>
      <c r="D118" s="813" t="s">
        <v>744</v>
      </c>
      <c r="E118" s="890">
        <v>0.2</v>
      </c>
      <c r="F118" s="877">
        <v>30</v>
      </c>
    </row>
    <row r="119" spans="1:6" ht="14">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4"/>
  <cols>
    <col min="1" max="1" width="9" style="910"/>
    <col min="2" max="16384" width="9" style="893"/>
  </cols>
  <sheetData>
    <row r="1" spans="1:14" ht="1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5">
      <c r="A103" s="891" t="s">
        <v>748</v>
      </c>
      <c r="B103" s="892"/>
      <c r="C103" s="892"/>
      <c r="D103" s="892"/>
      <c r="E103" s="892"/>
      <c r="F103" s="892"/>
      <c r="G103" s="892"/>
      <c r="H103" s="892"/>
      <c r="I103" s="892"/>
      <c r="J103" s="892"/>
      <c r="K103" s="892"/>
      <c r="L103" s="892"/>
      <c r="M103" s="892"/>
      <c r="N103" s="892"/>
    </row>
    <row r="104" spans="1:14" ht="1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E13"/>
  <sheetViews>
    <sheetView workbookViewId="0">
      <selection activeCell="B3" sqref="B3"/>
    </sheetView>
  </sheetViews>
  <sheetFormatPr defaultColWidth="9" defaultRowHeight="14"/>
  <cols>
    <col min="1" max="1" width="23.36328125" style="1939" customWidth="1"/>
    <col min="2" max="2" width="12.453125" style="1939" customWidth="1"/>
    <col min="3" max="3" width="12.08984375" style="1939" customWidth="1"/>
    <col min="4" max="4" width="14.08984375" style="1939" customWidth="1"/>
    <col min="5" max="5" width="12.453125" style="1939" customWidth="1"/>
    <col min="6" max="16384" width="9" style="1939"/>
  </cols>
  <sheetData>
    <row r="1" spans="1:5" ht="21">
      <c r="A1" s="2548" t="s">
        <v>2996</v>
      </c>
    </row>
    <row r="2" spans="1:5" ht="15.5">
      <c r="A2" s="2888" t="s">
        <v>2988</v>
      </c>
      <c r="B2" s="2889" t="e">
        <f ca="1">SUMIF(B6:B13,"&lt;&gt;#ref!",B6:B13)</f>
        <v>#DIV/0!</v>
      </c>
      <c r="C2" s="2888" t="s">
        <v>2989</v>
      </c>
      <c r="D2" s="2888" t="s">
        <v>2990</v>
      </c>
      <c r="E2" s="2889">
        <f ca="1">SUMIF(E6:E13,"&lt;&gt;#ref!",E6:E13)</f>
        <v>0</v>
      </c>
    </row>
    <row r="3" spans="1:5" ht="15.5">
      <c r="A3" s="2888" t="s">
        <v>2991</v>
      </c>
      <c r="B3" s="2889" t="e">
        <f ca="1">ROUND(B2*10000/E2,0)</f>
        <v>#DIV/0!</v>
      </c>
      <c r="C3" s="2888" t="s">
        <v>2997</v>
      </c>
      <c r="D3" s="2890"/>
      <c r="E3" s="2890"/>
    </row>
    <row r="4" spans="1:5" ht="15.5">
      <c r="A4" s="2891"/>
      <c r="B4" s="2890"/>
      <c r="C4" s="2890"/>
      <c r="D4" s="2890"/>
      <c r="E4" s="2890"/>
    </row>
    <row r="5" spans="1:5" ht="30">
      <c r="A5" s="2892" t="s">
        <v>2992</v>
      </c>
      <c r="B5" s="2888" t="s">
        <v>2993</v>
      </c>
      <c r="C5" s="2889"/>
      <c r="D5" s="2890"/>
      <c r="E5" s="2888" t="s">
        <v>2994</v>
      </c>
    </row>
    <row r="6" spans="1:5" ht="15.5">
      <c r="A6" s="2893" t="s">
        <v>2995</v>
      </c>
      <c r="B6" s="2889" t="e">
        <f ca="1">SUMIF(INDIRECT("'"&amp;A6&amp;"'"&amp;"!A:A"),"总价",INDIRECT("'"&amp;A6&amp;"'"&amp;"!B:B"))</f>
        <v>#DIV/0!</v>
      </c>
      <c r="C6" s="2888" t="s">
        <v>2989</v>
      </c>
      <c r="D6" s="2890"/>
      <c r="E6" s="2562">
        <f ca="1">SUMIF(INDIRECT("'"&amp;A6&amp;"'"&amp;"!C:C"),"建筑面积",INDIRECT("'"&amp;A6&amp;"'"&amp;"!D:D"))</f>
        <v>0</v>
      </c>
    </row>
    <row r="7" spans="1:5" ht="15.5">
      <c r="A7" s="2893"/>
      <c r="B7" s="2889" t="e">
        <f ca="1">SUMIF(INDIRECT("'"&amp;A7&amp;"'"&amp;"!A:A"),"总价",INDIRECT("'"&amp;A7&amp;"'"&amp;"!B:B"))</f>
        <v>#REF!</v>
      </c>
      <c r="C7" s="2888" t="s">
        <v>2989</v>
      </c>
      <c r="D7" s="2890"/>
      <c r="E7" s="2562" t="e">
        <f t="shared" ref="E7:E13" ca="1" si="0">SUMIF(INDIRECT("'"&amp;A7&amp;"'"&amp;"!C:C"),"建筑面积",INDIRECT("'"&amp;A7&amp;"'"&amp;"!D:D"))</f>
        <v>#REF!</v>
      </c>
    </row>
    <row r="8" spans="1:5" ht="15.5">
      <c r="A8" s="2893"/>
      <c r="B8" s="2889" t="e">
        <f t="shared" ref="B8:B13" ca="1" si="1">SUMIF(INDIRECT("'"&amp;A8&amp;"'"&amp;"!A:A"),"总价",INDIRECT("'"&amp;A8&amp;"'"&amp;"!B:B"))</f>
        <v>#REF!</v>
      </c>
      <c r="C8" s="2888" t="s">
        <v>2989</v>
      </c>
      <c r="D8" s="2890"/>
      <c r="E8" s="2562" t="e">
        <f t="shared" ca="1" si="0"/>
        <v>#REF!</v>
      </c>
    </row>
    <row r="9" spans="1:5" ht="15.5">
      <c r="A9" s="2893"/>
      <c r="B9" s="2889" t="e">
        <f t="shared" ca="1" si="1"/>
        <v>#REF!</v>
      </c>
      <c r="C9" s="2888" t="s">
        <v>2989</v>
      </c>
      <c r="D9" s="2890"/>
      <c r="E9" s="2562" t="e">
        <f t="shared" ca="1" si="0"/>
        <v>#REF!</v>
      </c>
    </row>
    <row r="10" spans="1:5" ht="15.5">
      <c r="A10" s="2893"/>
      <c r="B10" s="2889" t="e">
        <f t="shared" ca="1" si="1"/>
        <v>#REF!</v>
      </c>
      <c r="C10" s="2888" t="s">
        <v>2989</v>
      </c>
      <c r="D10" s="2890"/>
      <c r="E10" s="2562" t="e">
        <f t="shared" ca="1" si="0"/>
        <v>#REF!</v>
      </c>
    </row>
    <row r="11" spans="1:5" ht="15.5">
      <c r="A11" s="2893"/>
      <c r="B11" s="2889" t="e">
        <f t="shared" ca="1" si="1"/>
        <v>#REF!</v>
      </c>
      <c r="C11" s="2888" t="s">
        <v>2989</v>
      </c>
      <c r="D11" s="2890"/>
      <c r="E11" s="2562" t="e">
        <f t="shared" ca="1" si="0"/>
        <v>#REF!</v>
      </c>
    </row>
    <row r="12" spans="1:5" ht="15.5">
      <c r="A12" s="2893"/>
      <c r="B12" s="2889" t="e">
        <f t="shared" ca="1" si="1"/>
        <v>#REF!</v>
      </c>
      <c r="C12" s="2888" t="s">
        <v>2989</v>
      </c>
      <c r="D12" s="2890"/>
      <c r="E12" s="2562" t="e">
        <f t="shared" ca="1" si="0"/>
        <v>#REF!</v>
      </c>
    </row>
    <row r="13" spans="1:5" ht="15.5">
      <c r="A13" s="2893"/>
      <c r="B13" s="2889" t="e">
        <f t="shared" ca="1" si="1"/>
        <v>#REF!</v>
      </c>
      <c r="C13" s="2888" t="s">
        <v>2989</v>
      </c>
      <c r="D13" s="2890"/>
      <c r="E13" s="2562" t="e">
        <f t="shared" ca="1" si="0"/>
        <v>#REF!</v>
      </c>
    </row>
  </sheetData>
  <sheetProtection password="C66D" sheet="1" objects="1" scenarios="1" formatCells="0"/>
  <phoneticPr fontId="144"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12"/>
  <sheetViews>
    <sheetView zoomScale="80" zoomScaleNormal="80" workbookViewId="0">
      <selection activeCell="H6" sqref="H6"/>
    </sheetView>
  </sheetViews>
  <sheetFormatPr defaultColWidth="9" defaultRowHeight="12.5"/>
  <cols>
    <col min="1" max="1" width="9" style="1466"/>
    <col min="2" max="6" width="9" style="1466" customWidth="1"/>
    <col min="7" max="7" width="9" style="1481"/>
    <col min="8" max="8" width="9" style="1466"/>
    <col min="9" max="12" width="9" style="1466" customWidth="1"/>
    <col min="13" max="13" width="2.08984375" style="1466" customWidth="1"/>
    <col min="14" max="14" width="9" style="1481" customWidth="1"/>
    <col min="15" max="17" width="9" style="1466" customWidth="1"/>
    <col min="18" max="18" width="2.36328125" style="1466" customWidth="1"/>
    <col min="19" max="19" width="7.08984375" style="1481" customWidth="1"/>
    <col min="20" max="22" width="7.08984375" style="1466" customWidth="1"/>
    <col min="23" max="23" width="24.08984375" style="1466" customWidth="1"/>
    <col min="24" max="25" width="9" style="1466"/>
    <col min="26" max="27" width="11.6328125" style="1466" customWidth="1"/>
    <col min="28" max="28" width="9" style="1466"/>
    <col min="29" max="29" width="2" style="1466" customWidth="1"/>
    <col min="30" max="16384" width="9" style="1466"/>
  </cols>
  <sheetData>
    <row r="1" spans="1:34" s="1440" customFormat="1" ht="13">
      <c r="B1" s="3362" t="s">
        <v>1145</v>
      </c>
      <c r="C1" s="3362"/>
      <c r="D1" s="3362"/>
      <c r="E1" s="3362"/>
      <c r="F1" s="3362"/>
      <c r="G1" s="3361" t="s">
        <v>1146</v>
      </c>
      <c r="H1" s="3361"/>
      <c r="I1" s="3361"/>
      <c r="J1" s="3361"/>
      <c r="K1" s="3361"/>
      <c r="L1" s="3361"/>
      <c r="N1" s="3361" t="s">
        <v>1147</v>
      </c>
      <c r="O1" s="3361"/>
      <c r="P1" s="3361"/>
      <c r="Q1" s="3361"/>
      <c r="R1" s="1441"/>
      <c r="S1" s="3361" t="s">
        <v>1148</v>
      </c>
      <c r="T1" s="3361"/>
      <c r="U1" s="3361"/>
      <c r="V1" s="3361"/>
      <c r="X1" s="3360" t="s">
        <v>1149</v>
      </c>
      <c r="Y1" s="3361"/>
      <c r="Z1" s="3361"/>
      <c r="AA1" s="3361"/>
      <c r="AB1" s="3361"/>
      <c r="AD1" s="3360" t="s">
        <v>1150</v>
      </c>
      <c r="AE1" s="3361"/>
      <c r="AF1" s="3361"/>
      <c r="AG1" s="3361"/>
      <c r="AH1" s="3361"/>
    </row>
    <row r="2" spans="1:34" s="1442" customFormat="1" ht="14.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4" customFormat="1" ht="14">
      <c r="A3" s="2913" t="s">
        <v>3027</v>
      </c>
      <c r="B3" s="2905"/>
      <c r="C3" s="2905"/>
      <c r="D3" s="2906"/>
      <c r="E3" s="2906"/>
      <c r="F3" s="2905"/>
      <c r="G3" s="2907"/>
      <c r="H3" s="2908"/>
      <c r="I3" s="2909">
        <f>ROUND(AVERAGE($I4:$I29),2)</f>
        <v>1.9</v>
      </c>
      <c r="J3" s="2909">
        <f>ROUND(AVERAGE($J4:$J29),2)</f>
        <v>1.35</v>
      </c>
      <c r="K3" s="2909">
        <f>ROUND(AVERAGE($K4:$K29),2)</f>
        <v>2.08</v>
      </c>
      <c r="L3" s="2909">
        <f>ROUND(AVERAGE($L4:$L29),2)</f>
        <v>1.33</v>
      </c>
      <c r="N3" s="2907"/>
      <c r="O3" s="2910"/>
      <c r="P3" s="2910"/>
      <c r="Q3" s="2910"/>
      <c r="R3" s="2910"/>
      <c r="S3" s="2907"/>
      <c r="T3" s="2910"/>
      <c r="U3" s="2910"/>
      <c r="V3" s="2910"/>
      <c r="W3" s="2902"/>
      <c r="X3" s="2911">
        <f>ROUND(SUMPRODUCT(PRODUCT(1+N3:N$28)),4)</f>
        <v>1.5516000000000001</v>
      </c>
      <c r="Y3" s="2911">
        <f>ROUND(SUMPRODUCT(PRODUCT(1+O3:O$28)),4)</f>
        <v>1.3649</v>
      </c>
      <c r="Z3" s="2911">
        <f t="shared" ref="Z3:Z26" si="0">Y3</f>
        <v>1.3649</v>
      </c>
      <c r="AA3" s="2911">
        <f>ROUND(SUMPRODUCT(PRODUCT(1+P3:P$28)),4)</f>
        <v>1.6133999999999999</v>
      </c>
      <c r="AB3" s="2911">
        <f>ROUND(SUMPRODUCT(PRODUCT(1+Q3:Q$28)),4)</f>
        <v>1.3713</v>
      </c>
      <c r="AD3" s="2912">
        <f>ROUND(AVERAGE(I3:I$29)/100,4)</f>
        <v>1.9E-2</v>
      </c>
      <c r="AE3" s="2912">
        <f>ROUND(AVERAGE(J3:J$29)/100,4)</f>
        <v>1.35E-2</v>
      </c>
      <c r="AF3" s="2912">
        <f t="shared" ref="AF3:AF27" si="1">AE3</f>
        <v>1.35E-2</v>
      </c>
      <c r="AG3" s="2912">
        <f>ROUND(AVERAGE(K3:K$29)/100,4)</f>
        <v>2.0799999999999999E-2</v>
      </c>
      <c r="AH3" s="2912">
        <f>ROUND(AVERAGE(L3:L$29)/100,4)</f>
        <v>1.3299999999999999E-2</v>
      </c>
    </row>
    <row r="4" spans="1:34" s="1448" customFormat="1" ht="14">
      <c r="B4" s="1449"/>
      <c r="C4" s="1449"/>
      <c r="D4" s="1450"/>
      <c r="E4" s="1450"/>
      <c r="F4" s="1449"/>
      <c r="G4" s="1451"/>
      <c r="H4" s="1452"/>
      <c r="I4" s="2899"/>
      <c r="J4" s="2899"/>
      <c r="K4" s="2899"/>
      <c r="L4" s="2899"/>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
      <c r="A5" s="1724" t="s">
        <v>3046</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38">
        <v>2020</v>
      </c>
      <c r="H5" s="1725">
        <v>1</v>
      </c>
      <c r="I5" s="2900">
        <v>0</v>
      </c>
      <c r="J5" s="2900">
        <v>0</v>
      </c>
      <c r="K5" s="2900">
        <v>0</v>
      </c>
      <c r="L5" s="2900">
        <v>0</v>
      </c>
      <c r="N5" s="1462">
        <f t="shared" ref="N5" si="7">I5/100</f>
        <v>0</v>
      </c>
      <c r="O5" s="1462">
        <f t="shared" ref="O5" si="8">J5/100</f>
        <v>0</v>
      </c>
      <c r="P5" s="1462">
        <f t="shared" ref="P5" si="9">K5/100</f>
        <v>0</v>
      </c>
      <c r="Q5" s="1462">
        <f t="shared" ref="Q5" si="10">L5/100</f>
        <v>0</v>
      </c>
      <c r="R5" s="1727"/>
      <c r="S5" s="1728"/>
      <c r="T5" s="1727"/>
      <c r="U5" s="1727"/>
      <c r="V5" s="1727"/>
      <c r="W5" s="2903" t="s">
        <v>3028</v>
      </c>
      <c r="X5" s="1721">
        <f>ROUND(IF(项目基本情况!B8="出让",SUMPRODUCT(PRODUCT(1+N5:N$29)),SUMPRODUCT(PRODUCT(1+N5:N$28))),4)</f>
        <v>1.5516000000000001</v>
      </c>
      <c r="Y5" s="1721">
        <f>ROUND(IF(项目基本情况!B8="出让",SUMPRODUCT(PRODUCT(1+O5:O$29)),SUMPRODUCT(PRODUCT(1+O5:O$28))),4)</f>
        <v>1.3649</v>
      </c>
      <c r="Z5" s="1721">
        <f t="shared" ref="Z5" si="11">Y5</f>
        <v>1.3649</v>
      </c>
      <c r="AA5" s="1721">
        <f>ROUND(IF(项目基本情况!B8="出让",SUMPRODUCT(PRODUCT(1+P5:P$29)),SUMPRODUCT(PRODUCT(1+P5:P$28))),4)</f>
        <v>1.6133999999999999</v>
      </c>
      <c r="AB5" s="1721">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ht="13">
      <c r="A6" s="1456" t="s">
        <v>3045</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8">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5"/>
      <c r="X6" s="1783">
        <f>ROUND(IF(项目基本情况!B8="出让",SUMPRODUCT(PRODUCT(1+N6:N$29)),SUMPRODUCT(PRODUCT(1+N6:N$28))),4)</f>
        <v>1.5516000000000001</v>
      </c>
      <c r="Y6" s="1783">
        <f>ROUND(IF(项目基本情况!B8="出让",SUMPRODUCT(PRODUCT(1+O6:O$29)),SUMPRODUCT(PRODUCT(1+O6:O$28))),4)</f>
        <v>1.3649</v>
      </c>
      <c r="Z6" s="1783">
        <f t="shared" ref="Z6" si="22">Y6</f>
        <v>1.3649</v>
      </c>
      <c r="AA6" s="1783">
        <f>ROUND(IF(项目基本情况!B8="出让",SUMPRODUCT(PRODUCT(1+P6:P$29)),SUMPRODUCT(PRODUCT(1+P6:P$28))),4)</f>
        <v>1.6133999999999999</v>
      </c>
      <c r="AB6" s="1783">
        <f>ROUND(IF(项目基本情况!B8="出让",SUMPRODUCT(PRODUCT(1+Q6:Q$29)),SUMPRODUCT(PRODUCT(1+Q6:Q$28))),4)</f>
        <v>1.3713</v>
      </c>
      <c r="AC6" s="1785"/>
      <c r="AD6" s="1784">
        <f>ROUND(AVERAGE(I6:I$29)/100,4)</f>
        <v>1.9800000000000002E-2</v>
      </c>
      <c r="AE6" s="1784">
        <f>ROUND(AVERAGE(J6:J$29)/100,4)</f>
        <v>1.41E-2</v>
      </c>
      <c r="AF6" s="1784">
        <f t="shared" ref="AF6" si="23">AE6</f>
        <v>1.41E-2</v>
      </c>
      <c r="AG6" s="1784">
        <f>ROUND(AVERAGE(K6:K$29)/100,4)</f>
        <v>2.1600000000000001E-2</v>
      </c>
      <c r="AH6" s="1784">
        <f>ROUND(AVERAGE(L6:L$29)/100,4)</f>
        <v>1.38E-2</v>
      </c>
    </row>
    <row r="7" spans="1:34" s="1461" customFormat="1" ht="13.5" thickBot="1">
      <c r="A7" s="1456" t="s">
        <v>3041</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7">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5"/>
      <c r="X7" s="1783">
        <f>ROUND(IF(项目基本情况!B8="出让",SUMPRODUCT(PRODUCT(1+N7:N$29)),SUMPRODUCT(PRODUCT(1+N7:N$28))),4)</f>
        <v>1.5516000000000001</v>
      </c>
      <c r="Y7" s="1783">
        <f>ROUND(IF(项目基本情况!B8="出让",SUMPRODUCT(PRODUCT(1+O7:O$29)),SUMPRODUCT(PRODUCT(1+O7:O$28))),4)</f>
        <v>1.3649</v>
      </c>
      <c r="Z7" s="1783">
        <f t="shared" ref="Z7" si="32">Y7</f>
        <v>1.3649</v>
      </c>
      <c r="AA7" s="1783">
        <f>ROUND(IF(项目基本情况!B8="出让",SUMPRODUCT(PRODUCT(1+P7:P$29)),SUMPRODUCT(PRODUCT(1+P7:P$28))),4)</f>
        <v>1.6133999999999999</v>
      </c>
      <c r="AB7" s="1783">
        <f>ROUND(IF(项目基本情况!B8="出让",SUMPRODUCT(PRODUCT(1+Q7:Q$29)),SUMPRODUCT(PRODUCT(1+Q7:Q$28))),4)</f>
        <v>1.3713</v>
      </c>
      <c r="AC7" s="1785"/>
      <c r="AD7" s="1784">
        <f>ROUND(AVERAGE(I7:I$29)/100,4)</f>
        <v>2.07E-2</v>
      </c>
      <c r="AE7" s="1784">
        <f>ROUND(AVERAGE(J7:J$29)/100,4)</f>
        <v>1.47E-2</v>
      </c>
      <c r="AF7" s="1784">
        <f t="shared" ref="AF7" si="33">AE7</f>
        <v>1.47E-2</v>
      </c>
      <c r="AG7" s="1784">
        <f>ROUND(AVERAGE(K7:K$29)/100,4)</f>
        <v>2.2599999999999999E-2</v>
      </c>
      <c r="AH7" s="1784">
        <f>ROUND(AVERAGE(L7:L$29)/100,4)</f>
        <v>1.44E-2</v>
      </c>
    </row>
    <row r="8" spans="1:34" s="1461" customFormat="1" ht="13">
      <c r="A8" s="1456" t="s">
        <v>3039</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3">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5"/>
      <c r="X8" s="1783">
        <f>ROUND(IF(项目基本情况!B8="出让",SUMPRODUCT(PRODUCT(1+N8:N$29)),SUMPRODUCT(PRODUCT(1+N8:N$28))),4)</f>
        <v>1.5422</v>
      </c>
      <c r="Y8" s="1783">
        <f>ROUND(IF(项目基本情况!B8="出让",SUMPRODUCT(PRODUCT(1+O8:O$29)),SUMPRODUCT(PRODUCT(1+O8:O$28))),4)</f>
        <v>1.3557999999999999</v>
      </c>
      <c r="Z8" s="1783">
        <f t="shared" ref="Z8" si="42">Y8</f>
        <v>1.3557999999999999</v>
      </c>
      <c r="AA8" s="1783">
        <f>ROUND(IF(项目基本情况!B8="出让",SUMPRODUCT(PRODUCT(1+P8:P$29)),SUMPRODUCT(PRODUCT(1+P8:P$28))),4)</f>
        <v>1.6036999999999999</v>
      </c>
      <c r="AB8" s="1783">
        <f>ROUND(IF(项目基本情况!B8="出让",SUMPRODUCT(PRODUCT(1+Q8:Q$29)),SUMPRODUCT(PRODUCT(1+Q8:Q$28))),4)</f>
        <v>1.3573</v>
      </c>
      <c r="AC8" s="1785"/>
      <c r="AD8" s="1784">
        <f>ROUND(AVERAGE(I8:I$29)/100,4)</f>
        <v>2.1299999999999999E-2</v>
      </c>
      <c r="AE8" s="1784">
        <f>ROUND(AVERAGE(J8:J$29)/100,4)</f>
        <v>1.4999999999999999E-2</v>
      </c>
      <c r="AF8" s="1784">
        <f t="shared" ref="AF8" si="43">AE8</f>
        <v>1.4999999999999999E-2</v>
      </c>
      <c r="AG8" s="1784">
        <f>ROUND(AVERAGE(K8:K$29)/100,4)</f>
        <v>2.3300000000000001E-2</v>
      </c>
      <c r="AH8" s="1784">
        <f>ROUND(AVERAGE(L8:L$29)/100,4)</f>
        <v>1.46E-2</v>
      </c>
    </row>
    <row r="9" spans="1:34" s="1461" customFormat="1" ht="13.5" thickBot="1">
      <c r="A9" s="1456" t="s">
        <v>3037</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7">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5"/>
      <c r="X9" s="1783">
        <f>ROUND(IF(项目基本情况!B8="出让",SUMPRODUCT(PRODUCT(1+N9:N$29)),SUMPRODUCT(PRODUCT(1+N9:N$28))),4)</f>
        <v>1.5189999999999999</v>
      </c>
      <c r="Y9" s="1783">
        <f>ROUND(IF(项目基本情况!B8="出让",SUMPRODUCT(PRODUCT(1+O9:O$29)),SUMPRODUCT(PRODUCT(1+O9:O$28))),4)</f>
        <v>1.3423</v>
      </c>
      <c r="Z9" s="1783">
        <f t="shared" ref="Z9" si="55">Y9</f>
        <v>1.3423</v>
      </c>
      <c r="AA9" s="1783">
        <f>ROUND(IF(项目基本情况!B8="出让",SUMPRODUCT(PRODUCT(1+P9:P$29)),SUMPRODUCT(PRODUCT(1+P9:P$28))),4)</f>
        <v>1.5782</v>
      </c>
      <c r="AB9" s="1783">
        <f>ROUND(IF(项目基本情况!B8="出让",SUMPRODUCT(PRODUCT(1+Q9:Q$29)),SUMPRODUCT(PRODUCT(1+Q9:Q$28))),4)</f>
        <v>1.3405</v>
      </c>
      <c r="AC9" s="1785"/>
      <c r="AD9" s="1784">
        <f>ROUND(AVERAGE(I9:I$29)/100,4)</f>
        <v>2.1600000000000001E-2</v>
      </c>
      <c r="AE9" s="1784">
        <f>ROUND(AVERAGE(J9:J$29)/100,4)</f>
        <v>1.5299999999999999E-2</v>
      </c>
      <c r="AF9" s="1784">
        <f t="shared" ref="AF9" si="56">AE9</f>
        <v>1.5299999999999999E-2</v>
      </c>
      <c r="AG9" s="1784">
        <f>ROUND(AVERAGE(K9:K$29)/100,4)</f>
        <v>2.3699999999999999E-2</v>
      </c>
      <c r="AH9" s="1784">
        <f>ROUND(AVERAGE(L9:L$29)/100,4)</f>
        <v>1.47E-2</v>
      </c>
    </row>
    <row r="10" spans="1:34" s="1461" customFormat="1" ht="13">
      <c r="A10" s="1456" t="s">
        <v>3040</v>
      </c>
      <c r="B10" s="2934">
        <f t="shared" ref="B10" si="57">B11*(1+N10)</f>
        <v>464.37293017158942</v>
      </c>
      <c r="C10" s="2934">
        <f t="shared" ref="C10" si="58">C11*(1+O10)</f>
        <v>344.73679941385956</v>
      </c>
      <c r="D10" s="2934">
        <f t="shared" ref="D10" si="59">C10</f>
        <v>344.73679941385956</v>
      </c>
      <c r="E10" s="2934">
        <f t="shared" ref="E10" si="60">E11*(1+P10)</f>
        <v>663.2377795103107</v>
      </c>
      <c r="F10" s="2935">
        <f t="shared" ref="F10" si="61">F11*(1+Q10)</f>
        <v>304.75936311478398</v>
      </c>
      <c r="G10" s="3358">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5"/>
      <c r="X10" s="1783">
        <f>ROUND(SUMPRODUCT(PRODUCT(1+N10:N$28)),4)</f>
        <v>1.5099</v>
      </c>
      <c r="Y10" s="1783">
        <f>ROUND(SUMPRODUCT(PRODUCT(1+O10:O$28)),4)</f>
        <v>1.3372999999999999</v>
      </c>
      <c r="Z10" s="1783">
        <f t="shared" ref="Z10" si="65">Y10</f>
        <v>1.3372999999999999</v>
      </c>
      <c r="AA10" s="1783">
        <f>ROUND(SUMPRODUCT(PRODUCT(1+P10:P$28)),4)</f>
        <v>1.5683</v>
      </c>
      <c r="AB10" s="1783">
        <f>ROUND(SUMPRODUCT(PRODUCT(1+Q10:Q$28)),4)</f>
        <v>1.3255999999999999</v>
      </c>
      <c r="AC10" s="1785"/>
      <c r="AD10" s="1784">
        <f>ROUND(AVERAGE(I10:I$29)/100,4)</f>
        <v>2.24E-2</v>
      </c>
      <c r="AE10" s="1784">
        <f>ROUND(AVERAGE(J10:J$29)/100,4)</f>
        <v>1.5800000000000002E-2</v>
      </c>
      <c r="AF10" s="1784">
        <f t="shared" ref="AF10" si="66">AE10</f>
        <v>1.5800000000000002E-2</v>
      </c>
      <c r="AG10" s="1784">
        <f>ROUND(AVERAGE(K10:K$29)/100,4)</f>
        <v>2.4500000000000001E-2</v>
      </c>
      <c r="AH10" s="1784">
        <f>ROUND(AVERAGE(L10:L$29)/100,4)</f>
        <v>1.49E-2</v>
      </c>
    </row>
    <row r="11" spans="1:34" s="1461" customFormat="1" ht="14.5" customHeight="1">
      <c r="A11" s="1456" t="s">
        <v>3034</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358"/>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5"/>
      <c r="X11" s="1783">
        <f>ROUND(SUMPRODUCT(PRODUCT(1+N11:N$28)),4)</f>
        <v>1.4956</v>
      </c>
      <c r="Y11" s="1783">
        <f>ROUND(SUMPRODUCT(PRODUCT(1+O11:O$28)),4)</f>
        <v>1.3237000000000001</v>
      </c>
      <c r="Z11" s="1783">
        <f t="shared" ref="Z11" si="75">Y11</f>
        <v>1.3237000000000001</v>
      </c>
      <c r="AA11" s="1783">
        <f>ROUND(SUMPRODUCT(PRODUCT(1+P11:P$28)),4)</f>
        <v>1.554</v>
      </c>
      <c r="AB11" s="1783">
        <f>ROUND(SUMPRODUCT(PRODUCT(1+Q11:Q$28)),4)</f>
        <v>1.3087</v>
      </c>
      <c r="AC11" s="1785"/>
      <c r="AD11" s="1784">
        <f>ROUND(AVERAGE(I11:I$29)/100,4)</f>
        <v>2.3099999999999999E-2</v>
      </c>
      <c r="AE11" s="1784">
        <f>ROUND(AVERAGE(J11:J$29)/100,4)</f>
        <v>1.61E-2</v>
      </c>
      <c r="AF11" s="1784">
        <f t="shared" ref="AF11" si="76">AE11</f>
        <v>1.61E-2</v>
      </c>
      <c r="AG11" s="1784">
        <f>ROUND(AVERAGE(K11:K$29)/100,4)</f>
        <v>2.53E-2</v>
      </c>
      <c r="AH11" s="1784">
        <f>ROUND(AVERAGE(L11:L$29)/100,4)</f>
        <v>1.4999999999999999E-2</v>
      </c>
    </row>
    <row r="12" spans="1:34" s="1461" customFormat="1" ht="14.5" customHeight="1">
      <c r="A12" s="1456" t="s">
        <v>3033</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358"/>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5"/>
      <c r="X12" s="1783">
        <f>ROUND(SUMPRODUCT(PRODUCT(1+N12:N$28)),4)</f>
        <v>1.4733000000000001</v>
      </c>
      <c r="Y12" s="1783">
        <f>ROUND(SUMPRODUCT(PRODUCT(1+O12:O$28)),4)</f>
        <v>1.3052999999999999</v>
      </c>
      <c r="Z12" s="1783">
        <f t="shared" ref="Z12" si="86">Y12</f>
        <v>1.3052999999999999</v>
      </c>
      <c r="AA12" s="1783">
        <f>ROUND(SUMPRODUCT(PRODUCT(1+P12:P$28)),4)</f>
        <v>1.5306999999999999</v>
      </c>
      <c r="AB12" s="1783">
        <f>ROUND(SUMPRODUCT(PRODUCT(1+Q12:Q$28)),4)</f>
        <v>1.2863</v>
      </c>
      <c r="AC12" s="1785"/>
      <c r="AD12" s="1784">
        <f>ROUND(AVERAGE(I12:I$29)/100,4)</f>
        <v>2.35E-2</v>
      </c>
      <c r="AE12" s="1784">
        <f>ROUND(AVERAGE(J12:J$29)/100,4)</f>
        <v>1.6199999999999999E-2</v>
      </c>
      <c r="AF12" s="1784">
        <f t="shared" ref="AF12" si="87">AE12</f>
        <v>1.6199999999999999E-2</v>
      </c>
      <c r="AG12" s="1784">
        <f>ROUND(AVERAGE(K12:K$29)/100,4)</f>
        <v>2.5899999999999999E-2</v>
      </c>
      <c r="AH12" s="1784">
        <f>ROUND(AVERAGE(L12:L$29)/100,4)</f>
        <v>1.49E-2</v>
      </c>
    </row>
    <row r="13" spans="1:34" s="1461" customFormat="1" ht="15" customHeight="1" thickBot="1">
      <c r="A13" s="1456" t="s">
        <v>3026</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367"/>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5"/>
      <c r="X13" s="1783">
        <f>ROUND(SUMPRODUCT(PRODUCT(1+N13:N$28)),4)</f>
        <v>1.4517</v>
      </c>
      <c r="Y13" s="1783">
        <f>ROUND(SUMPRODUCT(PRODUCT(1+O13:O$28)),4)</f>
        <v>1.2928999999999999</v>
      </c>
      <c r="Z13" s="1783">
        <f t="shared" ref="Z13" si="100">Y13</f>
        <v>1.2928999999999999</v>
      </c>
      <c r="AA13" s="1783">
        <f>ROUND(SUMPRODUCT(PRODUCT(1+P13:P$28)),4)</f>
        <v>1.5068999999999999</v>
      </c>
      <c r="AB13" s="1783">
        <f>ROUND(SUMPRODUCT(PRODUCT(1+Q13:Q$28)),4)</f>
        <v>1.2557</v>
      </c>
      <c r="AC13" s="1785"/>
      <c r="AD13" s="1784">
        <f>ROUND(AVERAGE(I13:I$29)/100,4)</f>
        <v>2.4E-2</v>
      </c>
      <c r="AE13" s="1784">
        <f>ROUND(AVERAGE(J13:J$29)/100,4)</f>
        <v>1.66E-2</v>
      </c>
      <c r="AF13" s="1784">
        <f t="shared" ref="AF13" si="101">AE13</f>
        <v>1.66E-2</v>
      </c>
      <c r="AG13" s="1784">
        <f>ROUND(AVERAGE(K13:K$29)/100,4)</f>
        <v>2.6499999999999999E-2</v>
      </c>
      <c r="AH13" s="1784">
        <f>ROUND(AVERAGE(L13:L$29)/100,4)</f>
        <v>1.43E-2</v>
      </c>
    </row>
    <row r="14" spans="1:34" ht="13">
      <c r="A14" s="1456" t="s">
        <v>3023</v>
      </c>
      <c r="B14" s="1464">
        <v>439</v>
      </c>
      <c r="C14" s="1464">
        <v>327</v>
      </c>
      <c r="D14" s="1464">
        <f>C14</f>
        <v>327</v>
      </c>
      <c r="E14" s="1464">
        <v>627</v>
      </c>
      <c r="F14" s="1465">
        <v>283</v>
      </c>
      <c r="G14" s="3363">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5" customHeight="1">
      <c r="A15" s="1456" t="s">
        <v>3024</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358"/>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5"/>
      <c r="X15" s="1783">
        <f>ROUND(SUMPRODUCT(PRODUCT(1+N15:N$28)),4)</f>
        <v>1.4034</v>
      </c>
      <c r="Y15" s="1783">
        <f>ROUND(SUMPRODUCT(PRODUCT(1+O15:O$28)),4)</f>
        <v>1.2463</v>
      </c>
      <c r="Z15" s="1783">
        <f t="shared" si="0"/>
        <v>1.2463</v>
      </c>
      <c r="AA15" s="1783">
        <f>ROUND(SUMPRODUCT(PRODUCT(1+P15:P$28)),4)</f>
        <v>1.4577</v>
      </c>
      <c r="AB15" s="1783">
        <f>ROUND(SUMPRODUCT(PRODUCT(1+Q15:Q$28)),4)</f>
        <v>1.2136</v>
      </c>
      <c r="AC15" s="1785"/>
      <c r="AD15" s="1784">
        <f>ROUND(AVERAGE(I15:I$29)/100,4)</f>
        <v>2.4899999999999999E-2</v>
      </c>
      <c r="AE15" s="1784">
        <f>ROUND(AVERAGE(J15:J$29)/100,4)</f>
        <v>1.6400000000000001E-2</v>
      </c>
      <c r="AF15" s="1784">
        <f t="shared" si="1"/>
        <v>1.6400000000000001E-2</v>
      </c>
      <c r="AG15" s="1784">
        <f>ROUND(AVERAGE(K15:K$29)/100,4)</f>
        <v>2.7799999999999998E-2</v>
      </c>
      <c r="AH15" s="1784">
        <f>ROUND(AVERAGE(L15:L$29)/100,4)</f>
        <v>1.3899999999999999E-2</v>
      </c>
    </row>
    <row r="16" spans="1:34" s="1726" customFormat="1" ht="1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358"/>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3">
        <f>ROUND(SUMPRODUCT(PRODUCT(1+N16:N$28)),4)</f>
        <v>1.3628</v>
      </c>
      <c r="Y16" s="1783">
        <f>ROUND(SUMPRODUCT(PRODUCT(1+O16:O$28)),4)</f>
        <v>1.2205999999999999</v>
      </c>
      <c r="Z16" s="1783">
        <f t="shared" si="0"/>
        <v>1.2205999999999999</v>
      </c>
      <c r="AA16" s="1783">
        <f>ROUND(SUMPRODUCT(PRODUCT(1+P16:P$28)),4)</f>
        <v>1.4118999999999999</v>
      </c>
      <c r="AB16" s="1783">
        <f>ROUND(SUMPRODUCT(PRODUCT(1+Q16:Q$28)),4)</f>
        <v>1.1930000000000001</v>
      </c>
      <c r="AC16" s="1448"/>
      <c r="AD16" s="1784">
        <f>ROUND(AVERAGE(I16:I$29)/100,4)</f>
        <v>2.46E-2</v>
      </c>
      <c r="AE16" s="1784">
        <f>ROUND(AVERAGE(J16:J$29)/100,4)</f>
        <v>1.6E-2</v>
      </c>
      <c r="AF16" s="1784">
        <f t="shared" si="1"/>
        <v>1.6E-2</v>
      </c>
      <c r="AG16" s="1784">
        <f>ROUND(AVERAGE(K16:K$29)/100,4)</f>
        <v>2.75E-2</v>
      </c>
      <c r="AH16" s="1784">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367"/>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5"/>
      <c r="X17" s="1783">
        <f>ROUND(SUMPRODUCT(PRODUCT(1+N17:N$28)),4)</f>
        <v>1.3180000000000001</v>
      </c>
      <c r="Y17" s="1783">
        <f>ROUND(SUMPRODUCT(PRODUCT(1+O17:O$28)),4)</f>
        <v>1.1966000000000001</v>
      </c>
      <c r="Z17" s="1783">
        <f t="shared" si="0"/>
        <v>1.1966000000000001</v>
      </c>
      <c r="AA17" s="1783">
        <f>ROUND(SUMPRODUCT(PRODUCT(1+P17:P$28)),4)</f>
        <v>1.36</v>
      </c>
      <c r="AB17" s="1783">
        <f>ROUND(SUMPRODUCT(PRODUCT(1+Q17:Q$28)),4)</f>
        <v>1.1733</v>
      </c>
      <c r="AC17" s="1785"/>
      <c r="AD17" s="1784">
        <f>ROUND(AVERAGE(I17:I$29)/100,4)</f>
        <v>2.3900000000000001E-2</v>
      </c>
      <c r="AE17" s="1784">
        <f>ROUND(AVERAGE(J17:J$29)/100,4)</f>
        <v>1.5699999999999999E-2</v>
      </c>
      <c r="AF17" s="1784">
        <f t="shared" si="1"/>
        <v>1.5699999999999999E-2</v>
      </c>
      <c r="AG17" s="1784">
        <f>ROUND(AVERAGE(K17:K$29)/100,4)</f>
        <v>2.6599999999999999E-2</v>
      </c>
      <c r="AH17" s="1784">
        <f>ROUND(AVERAGE(L17:L$29)/100,4)</f>
        <v>1.34E-2</v>
      </c>
    </row>
    <row r="18" spans="1:34" ht="13">
      <c r="A18" s="1456" t="s">
        <v>154</v>
      </c>
      <c r="B18" s="1464">
        <v>392</v>
      </c>
      <c r="C18" s="1464">
        <v>302</v>
      </c>
      <c r="D18" s="1464">
        <f>C18</f>
        <v>302</v>
      </c>
      <c r="E18" s="1464">
        <v>553</v>
      </c>
      <c r="F18" s="1465">
        <v>266</v>
      </c>
      <c r="G18" s="3363">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358"/>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358"/>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359"/>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357">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358"/>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358"/>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359"/>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357">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358"/>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358"/>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359"/>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2">
        <f>I29/100</f>
        <v>2.9700000000000001E-2</v>
      </c>
      <c r="AE29" s="1722">
        <f>J29/100</f>
        <v>2.3399999999999997E-2</v>
      </c>
      <c r="AF29" s="1722">
        <f>AE29</f>
        <v>2.3399999999999997E-2</v>
      </c>
      <c r="AG29" s="1722">
        <f>K29/100</f>
        <v>3.2799999999999996E-2</v>
      </c>
      <c r="AH29" s="1722">
        <f>L29/100</f>
        <v>1.3600000000000001E-2</v>
      </c>
    </row>
    <row r="30" spans="1:34" ht="13.5" thickBot="1">
      <c r="A30" s="1456" t="s">
        <v>1158</v>
      </c>
      <c r="B30" s="1464">
        <v>299</v>
      </c>
      <c r="C30" s="1464">
        <v>252</v>
      </c>
      <c r="D30" s="1464">
        <f t="shared" si="119"/>
        <v>252</v>
      </c>
      <c r="E30" s="1464">
        <v>409</v>
      </c>
      <c r="F30" s="1465">
        <v>227</v>
      </c>
      <c r="G30" s="3364">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365"/>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ht="13">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365"/>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366"/>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357">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358"/>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358"/>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 thickBot="1">
      <c r="A37" s="1456" t="s">
        <v>1165</v>
      </c>
      <c r="B37" s="1472">
        <f>B36/(1+N36)</f>
        <v>275.19025476197027</v>
      </c>
      <c r="C37" s="1508">
        <v>232</v>
      </c>
      <c r="D37" s="1508">
        <f t="shared" si="119"/>
        <v>232</v>
      </c>
      <c r="E37" s="1472">
        <f t="shared" si="130"/>
        <v>375.65990977608692</v>
      </c>
      <c r="F37" s="1472">
        <f t="shared" si="130"/>
        <v>214.12518283971252</v>
      </c>
      <c r="G37" s="3359"/>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357">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358">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358">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359">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357">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358">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358">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359">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357">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358">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358">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359">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357">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358">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358">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359">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357">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358">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358">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359">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357">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358">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358">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359">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357">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358">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358">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359">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357">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358">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358">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359">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357">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358">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358">
        <v>2003</v>
      </c>
      <c r="H72" s="1460">
        <v>2</v>
      </c>
      <c r="I72" s="1529"/>
      <c r="J72" s="1529"/>
      <c r="K72" s="1529"/>
      <c r="L72" s="1529"/>
      <c r="X72" s="1521"/>
      <c r="Y72" s="1521"/>
      <c r="Z72" s="1521"/>
    </row>
    <row r="73" spans="1:26" ht="13" thickBot="1">
      <c r="A73" s="1456" t="s">
        <v>1201</v>
      </c>
      <c r="B73" s="1531">
        <f t="shared" si="155"/>
        <v>107.25</v>
      </c>
      <c r="C73" s="1531">
        <f t="shared" si="155"/>
        <v>108.75</v>
      </c>
      <c r="D73" s="1531">
        <f t="shared" si="119"/>
        <v>108.75</v>
      </c>
      <c r="E73" s="1531">
        <f t="shared" si="156"/>
        <v>105.75</v>
      </c>
      <c r="F73" s="1531">
        <f t="shared" si="156"/>
        <v>102.5</v>
      </c>
      <c r="G73" s="3359">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357">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358">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358">
        <v>2002</v>
      </c>
      <c r="H76" s="1460">
        <v>2</v>
      </c>
      <c r="I76" s="1529"/>
      <c r="J76" s="1529"/>
      <c r="K76" s="1529"/>
      <c r="L76" s="1529"/>
      <c r="X76" s="1521"/>
      <c r="Y76" s="1521"/>
      <c r="Z76" s="1521"/>
    </row>
    <row r="77" spans="1:26" s="1493" customFormat="1" ht="13" thickBot="1">
      <c r="A77" s="1489" t="s">
        <v>1205</v>
      </c>
      <c r="B77" s="1535">
        <f t="shared" si="157"/>
        <v>103</v>
      </c>
      <c r="C77" s="1535">
        <f t="shared" si="157"/>
        <v>104</v>
      </c>
      <c r="D77" s="1535">
        <f t="shared" si="119"/>
        <v>104</v>
      </c>
      <c r="E77" s="1535">
        <f t="shared" si="158"/>
        <v>103.5</v>
      </c>
      <c r="F77" s="1535">
        <f t="shared" si="158"/>
        <v>100.5</v>
      </c>
      <c r="G77" s="3359">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ht="13">
      <c r="A80" s="1543" t="s">
        <v>1206</v>
      </c>
      <c r="G80" s="1545"/>
      <c r="N80" s="1545"/>
      <c r="S80" s="1545"/>
    </row>
    <row r="81" spans="1:22" s="1544" customFormat="1" ht="13">
      <c r="A81" s="1544" t="s">
        <v>1207</v>
      </c>
      <c r="G81" s="1545"/>
      <c r="N81" s="1545"/>
      <c r="S81" s="1545"/>
    </row>
    <row r="82" spans="1:22" s="1544" customFormat="1" ht="13">
      <c r="A82" s="1544" t="s">
        <v>1208</v>
      </c>
      <c r="G82" s="1545"/>
      <c r="I82" s="1546"/>
      <c r="J82" s="1546"/>
      <c r="K82" s="1546"/>
      <c r="L82" s="1546"/>
      <c r="N82" s="1547"/>
      <c r="O82" s="1546"/>
      <c r="P82" s="1546"/>
      <c r="Q82" s="1546"/>
      <c r="S82" s="1547"/>
      <c r="T82" s="1546"/>
      <c r="U82" s="1546"/>
      <c r="V82" s="1546"/>
    </row>
    <row r="83" spans="1:22" s="1544" customFormat="1" ht="13">
      <c r="A83" s="1544" t="s">
        <v>1209</v>
      </c>
      <c r="G83" s="1545"/>
      <c r="N83" s="1545"/>
      <c r="S83" s="1545"/>
    </row>
    <row r="90" spans="1:22" ht="13" thickBot="1"/>
    <row r="91" spans="1:22" ht="13">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C8218-C962-405D-8C1C-BFC44F94BC65}">
  <sheetPr>
    <tabColor rgb="FF92D050"/>
  </sheetPr>
  <dimension ref="A1:AK83"/>
  <sheetViews>
    <sheetView topLeftCell="A22" zoomScale="70" zoomScaleNormal="70" zoomScaleSheetLayoutView="90" workbookViewId="0">
      <selection activeCell="C43" sqref="C43"/>
    </sheetView>
  </sheetViews>
  <sheetFormatPr defaultColWidth="9" defaultRowHeight="12.5"/>
  <cols>
    <col min="1" max="1" width="9" style="297" customWidth="1"/>
    <col min="2" max="2" width="20.6328125" style="702" customWidth="1"/>
    <col min="3" max="3" width="11.90625" style="702" customWidth="1"/>
    <col min="4" max="4" width="40.453125" style="297" customWidth="1"/>
    <col min="5" max="5" width="15.90625" style="297" customWidth="1"/>
    <col min="6" max="6" width="10.6328125" style="297" customWidth="1"/>
    <col min="7" max="7" width="4.90625" style="297" customWidth="1"/>
    <col min="8" max="8" width="8.453125" style="297" customWidth="1"/>
    <col min="9" max="9" width="21.08984375" style="297" customWidth="1"/>
    <col min="10" max="10" width="12.08984375" style="297" customWidth="1"/>
    <col min="11" max="11" width="45.08984375" style="1929" customWidth="1"/>
    <col min="12" max="12" width="16.36328125" style="297" customWidth="1"/>
    <col min="13" max="13" width="13" style="297" customWidth="1"/>
    <col min="14" max="14" width="13.90625" style="1837" customWidth="1"/>
    <col min="15" max="15" width="5.08984375" style="1837" customWidth="1"/>
    <col min="16" max="16" width="25.90625" style="1837" customWidth="1"/>
    <col min="17" max="17" width="13.90625" style="1837" customWidth="1"/>
    <col min="18" max="18" width="20.453125" style="1837" customWidth="1"/>
    <col min="19" max="19" width="13.08984375" style="1837" customWidth="1"/>
    <col min="20" max="37" width="9" style="1837"/>
    <col min="38" max="16384" width="9" style="297"/>
  </cols>
  <sheetData>
    <row r="1" spans="1:37" s="332" customFormat="1" ht="21">
      <c r="A1" s="1828" t="s">
        <v>1583</v>
      </c>
      <c r="B1" s="777"/>
      <c r="C1" s="1832" t="s">
        <v>3076</v>
      </c>
      <c r="D1" s="1815" t="s">
        <v>3274</v>
      </c>
      <c r="E1" s="1816" t="s">
        <v>1381</v>
      </c>
      <c r="F1" s="1278">
        <f ca="1">J53</f>
        <v>41.54</v>
      </c>
      <c r="G1" s="1831">
        <f>MATCH(C1,'数据-取费表'!A6:A16,0)+5</f>
        <v>10</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1509</v>
      </c>
      <c r="B2" s="1839">
        <f ca="1">C40+J29+L46</f>
        <v>12544</v>
      </c>
      <c r="C2" s="1840" t="s">
        <v>1510</v>
      </c>
      <c r="D2" s="1840"/>
      <c r="E2" s="1841"/>
      <c r="F2" s="1842"/>
      <c r="G2" s="1843"/>
      <c r="H2" s="1835"/>
      <c r="I2" s="1835"/>
      <c r="J2" s="1835"/>
      <c r="K2" s="1836"/>
      <c r="L2" s="1835"/>
      <c r="M2" s="1835"/>
    </row>
    <row r="3" spans="1:37" ht="18" customHeight="1" thickBot="1">
      <c r="A3" s="1844" t="s">
        <v>1511</v>
      </c>
      <c r="B3" s="1845">
        <f ca="1">IF(ISERROR(B2*10000/F43),0,ROUND(B2*10000/F43,0))</f>
        <v>16355</v>
      </c>
      <c r="C3" s="1840" t="s">
        <v>1512</v>
      </c>
      <c r="D3" s="1840"/>
      <c r="E3" s="1841"/>
      <c r="F3" s="1842"/>
      <c r="G3" s="1843"/>
      <c r="H3" s="739" t="s">
        <v>1582</v>
      </c>
      <c r="I3" s="1835"/>
      <c r="J3" s="1835"/>
      <c r="K3" s="1836"/>
      <c r="L3" s="1835"/>
      <c r="M3" s="1835"/>
    </row>
    <row r="4" spans="1:37" ht="18" customHeight="1">
      <c r="A4" s="335" t="s">
        <v>1390</v>
      </c>
      <c r="B4" s="336" t="s">
        <v>1391</v>
      </c>
      <c r="C4" s="336" t="s">
        <v>1392</v>
      </c>
      <c r="D4" s="336" t="s">
        <v>1393</v>
      </c>
      <c r="E4" s="337" t="s">
        <v>1394</v>
      </c>
      <c r="F4" s="338"/>
      <c r="G4" s="1846"/>
      <c r="H4" s="335" t="s">
        <v>1390</v>
      </c>
      <c r="I4" s="336" t="s">
        <v>1391</v>
      </c>
      <c r="J4" s="336" t="s">
        <v>1392</v>
      </c>
      <c r="K4" s="336" t="s">
        <v>1393</v>
      </c>
      <c r="L4" s="337" t="s">
        <v>1394</v>
      </c>
      <c r="M4" s="338"/>
    </row>
    <row r="5" spans="1:37" ht="18" customHeight="1">
      <c r="A5" s="339">
        <v>1</v>
      </c>
      <c r="B5" s="340" t="s">
        <v>1395</v>
      </c>
      <c r="C5" s="1287">
        <f ca="1">C6+C10+C12</f>
        <v>596</v>
      </c>
      <c r="D5" s="1817" t="s">
        <v>1396</v>
      </c>
      <c r="E5" s="1288"/>
      <c r="F5" s="1289"/>
      <c r="G5" s="1846"/>
      <c r="H5" s="339">
        <v>1</v>
      </c>
      <c r="I5" s="340" t="s">
        <v>1395</v>
      </c>
      <c r="J5" s="1287">
        <f ca="1">J6+J10+J12</f>
        <v>0</v>
      </c>
      <c r="K5" s="1817" t="s">
        <v>1396</v>
      </c>
      <c r="L5" s="1288"/>
      <c r="M5" s="1289"/>
    </row>
    <row r="6" spans="1:37" ht="18" customHeight="1">
      <c r="A6" s="1286" t="s">
        <v>1031</v>
      </c>
      <c r="B6" s="3289" t="s">
        <v>1397</v>
      </c>
      <c r="C6" s="1291">
        <f ca="1">ROUND(F6*F8*F7*(1-F9)/10000,0)</f>
        <v>595</v>
      </c>
      <c r="D6" s="159" t="s">
        <v>3021</v>
      </c>
      <c r="E6" s="342" t="s">
        <v>1399</v>
      </c>
      <c r="F6" s="343">
        <f ca="1">INDIRECT("'数据-取费表'!u"&amp;$G$1)</f>
        <v>2.5</v>
      </c>
      <c r="G6" s="1846"/>
      <c r="H6" s="1286" t="s">
        <v>1031</v>
      </c>
      <c r="I6" s="3289" t="s">
        <v>1397</v>
      </c>
      <c r="J6" s="341">
        <f ca="1">ROUND(M6*M8*M7*(1-M9)/10000,0)</f>
        <v>0</v>
      </c>
      <c r="K6" s="159" t="s">
        <v>3020</v>
      </c>
      <c r="L6" s="342" t="s">
        <v>1399</v>
      </c>
      <c r="M6" s="343">
        <f ca="1">INDIRECT("'数据-取费表'!z"&amp;$G$1)</f>
        <v>0</v>
      </c>
    </row>
    <row r="7" spans="1:37" ht="18" customHeight="1">
      <c r="A7" s="1290"/>
      <c r="B7" s="3290"/>
      <c r="C7" s="1292"/>
      <c r="D7" s="347"/>
      <c r="E7" s="3024" t="s">
        <v>1400</v>
      </c>
      <c r="F7" s="343">
        <f ca="1">IF(INDIRECT("'数据-取费表'!ah"&amp;$G$1)="",INDIRECT("'数据-取费表'!k"&amp;$G$1),INDIRECT("'数据-取费表'!ah"&amp;$G$1))</f>
        <v>7670</v>
      </c>
      <c r="G7" s="1846"/>
      <c r="H7" s="344"/>
      <c r="I7" s="3290"/>
      <c r="J7" s="346"/>
      <c r="K7" s="347"/>
      <c r="L7" s="342" t="s">
        <v>1400</v>
      </c>
      <c r="M7" s="343">
        <f ca="1">F7</f>
        <v>7670</v>
      </c>
    </row>
    <row r="8" spans="1:37" ht="18" customHeight="1">
      <c r="A8" s="344"/>
      <c r="B8" s="3290"/>
      <c r="C8" s="346"/>
      <c r="D8" s="347"/>
      <c r="E8" s="342" t="s">
        <v>1401</v>
      </c>
      <c r="F8" s="343">
        <f ca="1">INDIRECT("'数据-取费表'!ai"&amp;$G$1)</f>
        <v>365</v>
      </c>
      <c r="G8" s="1846"/>
      <c r="H8" s="344"/>
      <c r="I8" s="3290"/>
      <c r="J8" s="346"/>
      <c r="K8" s="347"/>
      <c r="L8" s="342" t="s">
        <v>1401</v>
      </c>
      <c r="M8" s="343">
        <f ca="1">INDIRECT("'数据-取费表'!ai"&amp;$G$1)</f>
        <v>365</v>
      </c>
    </row>
    <row r="9" spans="1:37" ht="18" customHeight="1">
      <c r="A9" s="344"/>
      <c r="B9" s="3291"/>
      <c r="C9" s="346"/>
      <c r="D9" s="347"/>
      <c r="E9" s="342" t="s">
        <v>1402</v>
      </c>
      <c r="F9" s="352">
        <f ca="1">INDIRECT("'数据-取费表'!w"&amp;$G$1)</f>
        <v>0.15</v>
      </c>
      <c r="G9" s="1846"/>
      <c r="H9" s="344"/>
      <c r="I9" s="3291"/>
      <c r="J9" s="346"/>
      <c r="K9" s="347"/>
      <c r="L9" s="353" t="s">
        <v>1402</v>
      </c>
      <c r="M9" s="354">
        <f ca="1">INDIRECT("'数据-取费表'!ab"&amp;$G$1)</f>
        <v>0</v>
      </c>
    </row>
    <row r="10" spans="1:37" ht="18" customHeight="1">
      <c r="A10" s="1286" t="s">
        <v>1035</v>
      </c>
      <c r="B10" s="1818" t="s">
        <v>1403</v>
      </c>
      <c r="C10" s="356">
        <f ca="1">ROUND(IF(F10="押一",C6/12*F11,IF(F10="押二",C6/12*2*F11,IF(F10="押三",C6/12*3*F11,C11*F11))),0)</f>
        <v>1</v>
      </c>
      <c r="D10" s="1819" t="s">
        <v>3029</v>
      </c>
      <c r="E10" s="353" t="s">
        <v>1404</v>
      </c>
      <c r="F10" s="1361" t="s">
        <v>3275</v>
      </c>
      <c r="G10" s="1846"/>
      <c r="H10" s="1286" t="s">
        <v>1035</v>
      </c>
      <c r="I10" s="1818" t="s">
        <v>1403</v>
      </c>
      <c r="J10" s="341">
        <f ca="1">ROUND(IF(M10="押一",J6/12*M11,IF(M10="押二",J6/12*2*M11,IF(M10="押三",J6/12*3*M11,J11*M11))),0)</f>
        <v>0</v>
      </c>
      <c r="K10" s="1819" t="s">
        <v>3029</v>
      </c>
      <c r="L10" s="353" t="s">
        <v>1404</v>
      </c>
      <c r="M10" s="1361" t="s">
        <v>1405</v>
      </c>
    </row>
    <row r="11" spans="1:37" ht="18" customHeight="1">
      <c r="A11" s="348"/>
      <c r="B11" s="1820" t="s">
        <v>1382</v>
      </c>
      <c r="C11" s="1173"/>
      <c r="D11" s="1821"/>
      <c r="E11" s="353" t="s">
        <v>1406</v>
      </c>
      <c r="F11" s="354">
        <f ca="1">'数据-取费表'!B39</f>
        <v>1.4999999999999999E-2</v>
      </c>
      <c r="G11" s="1846"/>
      <c r="H11" s="1294"/>
      <c r="I11" s="1820" t="s">
        <v>1382</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3014</v>
      </c>
      <c r="D13" s="1326" t="s">
        <v>1409</v>
      </c>
      <c r="E13" s="1326" t="s">
        <v>1410</v>
      </c>
      <c r="F13" s="1327">
        <f ca="1">INDIRECT("'数据-取费表'!y"&amp;$G$1)</f>
        <v>1</v>
      </c>
      <c r="G13" s="1846"/>
      <c r="H13" s="1324">
        <v>2</v>
      </c>
      <c r="I13" s="1325" t="s">
        <v>1408</v>
      </c>
      <c r="J13" s="1285">
        <f ca="1">ROUND(J14*J15,0)</f>
        <v>0</v>
      </c>
      <c r="K13" s="1332" t="s">
        <v>1409</v>
      </c>
      <c r="L13" s="1847"/>
      <c r="M13" s="1848"/>
    </row>
    <row r="14" spans="1:37" ht="18" customHeight="1">
      <c r="A14" s="1196" t="s">
        <v>1030</v>
      </c>
      <c r="B14" s="342" t="s">
        <v>1411</v>
      </c>
      <c r="C14" s="358">
        <f ca="1">INDIRECT("'数据-取费表'!m"&amp;$G$1)+INDIRECT("'数据-取费表'!t"&amp;$G$1)</f>
        <v>2087</v>
      </c>
      <c r="D14" s="3018" t="s">
        <v>1412</v>
      </c>
      <c r="E14" s="3016"/>
      <c r="F14" s="359"/>
      <c r="G14" s="1846"/>
      <c r="H14" s="1196" t="s">
        <v>1031</v>
      </c>
      <c r="I14" s="342" t="s">
        <v>1413</v>
      </c>
      <c r="J14" s="24">
        <f ca="1">C29</f>
        <v>3014</v>
      </c>
      <c r="K14" s="3023"/>
      <c r="L14" s="974"/>
      <c r="M14" s="975"/>
    </row>
    <row r="15" spans="1:37" s="1853" customFormat="1" ht="18" customHeight="1" thickBot="1">
      <c r="A15" s="1196" t="s">
        <v>1032</v>
      </c>
      <c r="B15" s="342" t="s">
        <v>1414</v>
      </c>
      <c r="C15" s="24">
        <f ca="1">ROUND(C14*F15,0)</f>
        <v>63</v>
      </c>
      <c r="D15" s="360" t="s">
        <v>1415</v>
      </c>
      <c r="E15" s="360" t="s">
        <v>1416</v>
      </c>
      <c r="F15" s="361">
        <f>'数据-取费表'!B33</f>
        <v>0.03</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ROUND(INDIRECT("'数据-取费表'!m"&amp;$G$1)*F16,0)</f>
        <v>0</v>
      </c>
      <c r="D16" s="342" t="s">
        <v>1415</v>
      </c>
      <c r="E16" s="342" t="s">
        <v>1416</v>
      </c>
      <c r="F16" s="362">
        <f ca="1">IF(INDIRECT("'数据-取费表'!c"&amp;$G$1)="住宅",'数据-取费表'!B34,0)</f>
        <v>0</v>
      </c>
      <c r="G16" s="1846"/>
      <c r="H16" s="1324" t="s">
        <v>1026</v>
      </c>
      <c r="I16" s="1325" t="s">
        <v>1418</v>
      </c>
      <c r="J16" s="350">
        <f ca="1">ROUND(J17+J22+J23+J24,0)</f>
        <v>56</v>
      </c>
      <c r="K16" s="1332" t="s">
        <v>1419</v>
      </c>
      <c r="L16" s="3019"/>
      <c r="M16" s="1289"/>
    </row>
    <row r="17" spans="1:37" s="1853" customFormat="1" ht="18" customHeight="1">
      <c r="A17" s="1196" t="s">
        <v>1384</v>
      </c>
      <c r="B17" s="342" t="s">
        <v>1420</v>
      </c>
      <c r="C17" s="24">
        <f ca="1">ROUND(F17*(F43+INDIRECT("'数据-取费表'!S"&amp;$G$1))/10000,0)</f>
        <v>174</v>
      </c>
      <c r="D17" s="342" t="s">
        <v>1421</v>
      </c>
      <c r="E17" s="342" t="s">
        <v>1422</v>
      </c>
      <c r="F17" s="26">
        <f>'数据-取费表'!B35</f>
        <v>200</v>
      </c>
      <c r="G17" s="1849"/>
      <c r="H17" s="1196" t="s">
        <v>1031</v>
      </c>
      <c r="I17" s="342" t="s">
        <v>1423</v>
      </c>
      <c r="J17" s="24">
        <f ca="1">ROUND(IF(项目基本情况!B11="自然人",J6*M17/(1+'数据-取费表'!C42),J18+J19+J20),1)</f>
        <v>26</v>
      </c>
      <c r="K17" s="3018" t="s">
        <v>1424</v>
      </c>
      <c r="L17" s="3017"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31</v>
      </c>
      <c r="D18" s="342" t="s">
        <v>1415</v>
      </c>
      <c r="E18" s="342" t="s">
        <v>1416</v>
      </c>
      <c r="F18" s="362">
        <f>'数据-取费表'!B36</f>
        <v>1.4999999999999999E-2</v>
      </c>
      <c r="G18" s="1849"/>
      <c r="H18" s="1196" t="s">
        <v>1030</v>
      </c>
      <c r="I18" s="342" t="s">
        <v>1427</v>
      </c>
      <c r="J18" s="24">
        <f ca="1">ROUND(J6*M18/(1+'数据-取费表'!C42),2)</f>
        <v>0</v>
      </c>
      <c r="K18" s="3017"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2355</v>
      </c>
      <c r="D19" s="135" t="s">
        <v>1430</v>
      </c>
      <c r="E19" s="3022"/>
      <c r="F19" s="26"/>
      <c r="G19" s="1846"/>
      <c r="H19" s="1196" t="s">
        <v>1032</v>
      </c>
      <c r="I19" s="342" t="s">
        <v>1431</v>
      </c>
      <c r="J19" s="24">
        <f ca="1">IF(K19="按租金收入计税",ROUND(J6*M19/(1+'数据-取费表'!C42),2),ROUND(C29*M19*0.7,2))</f>
        <v>25.32</v>
      </c>
      <c r="K19" s="1823" t="s">
        <v>1432</v>
      </c>
      <c r="L19" s="342" t="s">
        <v>1416</v>
      </c>
      <c r="M19" s="362">
        <f>IF(K19="按租金收入计税",'数据-取费表'!B51,'数据-取费表'!B50)</f>
        <v>1.2E-2</v>
      </c>
    </row>
    <row r="20" spans="1:37" s="1853" customFormat="1" ht="18" customHeight="1">
      <c r="A20" s="1196" t="s">
        <v>1035</v>
      </c>
      <c r="B20" s="342" t="s">
        <v>1433</v>
      </c>
      <c r="C20" s="24">
        <f ca="1">ROUND(C19*F20,0)</f>
        <v>47</v>
      </c>
      <c r="D20" s="364" t="s">
        <v>1434</v>
      </c>
      <c r="E20" s="342" t="s">
        <v>1416</v>
      </c>
      <c r="F20" s="362">
        <f>'数据-取费表'!B37</f>
        <v>0.02</v>
      </c>
      <c r="G20" s="1849"/>
      <c r="H20" s="1196" t="s">
        <v>1383</v>
      </c>
      <c r="I20" s="159" t="s">
        <v>1435</v>
      </c>
      <c r="J20" s="25">
        <f ca="1">ROUND(M20*M21/10000,2)</f>
        <v>0.64</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v>
      </c>
      <c r="D21" s="364" t="s">
        <v>1439</v>
      </c>
      <c r="E21" s="342" t="s">
        <v>1440</v>
      </c>
      <c r="F21" s="362">
        <f>'数据-取费表'!B38</f>
        <v>0.02</v>
      </c>
      <c r="G21" s="1849"/>
      <c r="H21" s="367"/>
      <c r="I21" s="351"/>
      <c r="J21" s="29"/>
      <c r="K21" s="368"/>
      <c r="L21" s="342" t="s">
        <v>1441</v>
      </c>
      <c r="M21" s="343">
        <f ca="1">INDIRECT("'数据-取费表'!r"&amp;$G$1)</f>
        <v>4271.49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3022"/>
      <c r="F22" s="26"/>
      <c r="G22" s="1846"/>
      <c r="H22" s="1196" t="s">
        <v>1035</v>
      </c>
      <c r="I22" s="342" t="s">
        <v>1443</v>
      </c>
      <c r="J22" s="24">
        <f ca="1">ROUND(J14*M22,1)</f>
        <v>30.1</v>
      </c>
      <c r="K22" s="3017" t="s">
        <v>1444</v>
      </c>
      <c r="L22" s="342" t="s">
        <v>1416</v>
      </c>
      <c r="M22" s="369">
        <f ca="1">INDIRECT("'数据-取费表'!Ak"&amp;$G$1)</f>
        <v>0.01</v>
      </c>
    </row>
    <row r="23" spans="1:37" s="1853" customFormat="1" ht="18" customHeight="1">
      <c r="A23" s="1196" t="s">
        <v>1030</v>
      </c>
      <c r="B23" s="342" t="s">
        <v>1445</v>
      </c>
      <c r="C23" s="24">
        <f ca="1">IF('数据-取费表'!B22&lt;=1,ROUND(C19*F24*F23/2,0)+ROUND(C20*F24*F23/2,0),ROUND(C19*(POWER((1+F24),F23/2)-1),0)+ROUND(C20*(POWER((1+F24),F23/2)-1),0))</f>
        <v>144</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ROUND(J13*M23,1)</f>
        <v>0</v>
      </c>
      <c r="K23" s="3017" t="s">
        <v>1448</v>
      </c>
      <c r="L23" s="342" t="s">
        <v>1416</v>
      </c>
      <c r="M23" s="371">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1386</v>
      </c>
      <c r="I24" s="1335" t="s">
        <v>1433</v>
      </c>
      <c r="J24" s="1336">
        <f ca="1">ROUND(J5*M24,1)</f>
        <v>0</v>
      </c>
      <c r="K24" s="1337" t="s">
        <v>1453</v>
      </c>
      <c r="L24" s="1335" t="s">
        <v>1416</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1454</v>
      </c>
      <c r="B25" s="342" t="s">
        <v>1455</v>
      </c>
      <c r="C25" s="24"/>
      <c r="D25" s="135" t="s">
        <v>1456</v>
      </c>
      <c r="E25" s="3022"/>
      <c r="F25" s="26"/>
      <c r="G25" s="1846"/>
      <c r="H25" s="1324" t="s">
        <v>1027</v>
      </c>
      <c r="I25" s="1339" t="s">
        <v>1457</v>
      </c>
      <c r="J25" s="350">
        <f ca="1">J5-J16</f>
        <v>-56</v>
      </c>
      <c r="K25" s="1340" t="s">
        <v>1458</v>
      </c>
      <c r="L25" s="1341"/>
      <c r="M25" s="1342"/>
    </row>
    <row r="26" spans="1:37" ht="13">
      <c r="A26" s="1196" t="s">
        <v>1030</v>
      </c>
      <c r="B26" s="342" t="s">
        <v>1459</v>
      </c>
      <c r="C26" s="24">
        <f ca="1">ROUND((C19+C20)*F26,0)</f>
        <v>240</v>
      </c>
      <c r="D26" s="364" t="s">
        <v>1460</v>
      </c>
      <c r="E26" s="353" t="s">
        <v>1461</v>
      </c>
      <c r="F26" s="352">
        <f ca="1">INDIRECT("'数据-取费表'!q"&amp;$G$1)</f>
        <v>0.1</v>
      </c>
      <c r="G26" s="1846"/>
      <c r="H26" s="339" t="s">
        <v>1028</v>
      </c>
      <c r="I26" s="340" t="s">
        <v>1462</v>
      </c>
      <c r="J26" s="341">
        <f ca="1">IF(J5&lt;&gt;0,ROUND(J25*(1-((1+M28)/(1+M26))^M27)/(M26-M28),0),0)</f>
        <v>0</v>
      </c>
      <c r="K26" s="365" t="s">
        <v>1463</v>
      </c>
      <c r="L26" s="342" t="s">
        <v>1464</v>
      </c>
      <c r="M26" s="352">
        <f ca="1">INDIRECT("'数据-取费表'!I"&amp;$G$1)</f>
        <v>0.05</v>
      </c>
    </row>
    <row r="27" spans="1:37" ht="18" customHeight="1">
      <c r="A27" s="1196" t="s">
        <v>1032</v>
      </c>
      <c r="B27" s="342" t="s">
        <v>1465</v>
      </c>
      <c r="C27" s="24">
        <f ca="1">ROUND(F21*F26,4)</f>
        <v>2E-3</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3014</v>
      </c>
      <c r="D29" s="1337"/>
      <c r="E29" s="1335"/>
      <c r="F29" s="1338"/>
      <c r="G29" s="1849"/>
      <c r="H29" s="375" t="s">
        <v>1029</v>
      </c>
      <c r="I29" s="376" t="s">
        <v>1473</v>
      </c>
      <c r="J29" s="377">
        <f ca="1">ROUND(J26/(1+F40)^F41,0)</f>
        <v>0</v>
      </c>
      <c r="K29" s="378" t="s">
        <v>1474</v>
      </c>
      <c r="L29" s="379"/>
      <c r="M29" s="380">
        <f ca="1">INDIRECT("'数据-取费表'!k"&amp;$G$1)</f>
        <v>7670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140</v>
      </c>
      <c r="D30" s="1332" t="s">
        <v>1419</v>
      </c>
      <c r="E30" s="3019"/>
      <c r="F30" s="1289"/>
      <c r="G30" s="1846"/>
      <c r="H30" s="740"/>
      <c r="I30" s="741"/>
      <c r="J30" s="742"/>
      <c r="K30" s="743"/>
      <c r="L30" s="744"/>
      <c r="M30" s="745"/>
    </row>
    <row r="31" spans="1:37" ht="18" customHeight="1">
      <c r="A31" s="1196" t="s">
        <v>1031</v>
      </c>
      <c r="B31" s="342" t="s">
        <v>1423</v>
      </c>
      <c r="C31" s="24">
        <f ca="1">ROUND(IF(项目基本情况!B11="自然人",C6*F31/(1+'数据-取费表'!C42),C32+C33+C34),1)</f>
        <v>99.8</v>
      </c>
      <c r="D31" s="3018" t="s">
        <v>1424</v>
      </c>
      <c r="E31" s="3017"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IF(项目基本情况!B11="自然人","——",ROUND(C6*F32/(1+'数据-取费表'!C42),2))</f>
        <v>31.17</v>
      </c>
      <c r="D32" s="3017"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IF(项目基本情况!B11="自然人","——",IF(D33="按租金收入计税",ROUND(C6*F33/(1+'数据-取费表'!C42),2),IF(D33="按房产原值计税",ROUND(C29*F33*0.7,2),INDIRECT("'数据-取费表'!Aj"&amp;$G$1))))</f>
        <v>68</v>
      </c>
      <c r="D33" s="1823" t="s">
        <v>3276</v>
      </c>
      <c r="E33" s="342" t="s">
        <v>1416</v>
      </c>
      <c r="F33" s="362">
        <f>IF(D33="按票据","——",IF(D33="按租金收入计税",'数据-取费表'!B51,'数据-取费表'!B50))</f>
        <v>0.12</v>
      </c>
      <c r="G33" s="1846"/>
      <c r="H33" s="1854"/>
      <c r="I33" s="1855"/>
      <c r="J33" s="1856"/>
      <c r="K33" s="1857"/>
      <c r="L33" s="1854"/>
      <c r="M33" s="1854"/>
    </row>
    <row r="34" spans="1:18" ht="18" customHeight="1">
      <c r="A34" s="1286" t="s">
        <v>1383</v>
      </c>
      <c r="B34" s="159" t="s">
        <v>1435</v>
      </c>
      <c r="C34" s="25">
        <f ca="1">IF(项目基本情况!B11="自然人","——",ROUND(F34*F35/10000,2))</f>
        <v>0.64</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4271.49</v>
      </c>
      <c r="G35" s="1846"/>
      <c r="H35" s="740"/>
      <c r="I35" s="1855"/>
      <c r="J35" s="1856"/>
      <c r="K35" s="1857"/>
      <c r="L35" s="1854"/>
      <c r="M35" s="1854"/>
    </row>
    <row r="36" spans="1:18" ht="18" customHeight="1">
      <c r="A36" s="1347" t="s">
        <v>1035</v>
      </c>
      <c r="B36" s="342" t="s">
        <v>1443</v>
      </c>
      <c r="C36" s="24">
        <f ca="1">ROUND(C29*F36,1)</f>
        <v>30.1</v>
      </c>
      <c r="D36" s="3017" t="s">
        <v>1476</v>
      </c>
      <c r="E36" s="342" t="s">
        <v>1416</v>
      </c>
      <c r="F36" s="369">
        <f ca="1">INDIRECT("'数据-取费表'!Ak"&amp;$G$1)</f>
        <v>0.01</v>
      </c>
      <c r="G36" s="1846"/>
      <c r="H36" s="1854"/>
      <c r="I36" s="1855"/>
      <c r="J36" s="1856"/>
      <c r="K36" s="746"/>
      <c r="L36" s="1854"/>
      <c r="M36" s="1854"/>
    </row>
    <row r="37" spans="1:18" ht="18" customHeight="1">
      <c r="A37" s="1196" t="s">
        <v>1071</v>
      </c>
      <c r="B37" s="342" t="s">
        <v>1447</v>
      </c>
      <c r="C37" s="24">
        <f ca="1">ROUND(C13*F37,1)</f>
        <v>4.5</v>
      </c>
      <c r="D37" s="3017" t="s">
        <v>1448</v>
      </c>
      <c r="E37" s="342" t="s">
        <v>1416</v>
      </c>
      <c r="F37" s="371">
        <f ca="1">INDIRECT("'数据-取费表'!Al"&amp;$G$1)</f>
        <v>1.5E-3</v>
      </c>
      <c r="G37" s="1846"/>
      <c r="H37" s="1854"/>
      <c r="I37" s="1855"/>
      <c r="J37" s="1856"/>
      <c r="K37" s="746"/>
      <c r="L37" s="1854"/>
      <c r="M37" s="1854"/>
    </row>
    <row r="38" spans="1:18" ht="18" customHeight="1" thickBot="1">
      <c r="A38" s="1334" t="s">
        <v>1386</v>
      </c>
      <c r="B38" s="1335" t="s">
        <v>1433</v>
      </c>
      <c r="C38" s="1336">
        <f ca="1">ROUND(C5*F38,1)</f>
        <v>6</v>
      </c>
      <c r="D38" s="1337" t="s">
        <v>1453</v>
      </c>
      <c r="E38" s="1335" t="s">
        <v>1416</v>
      </c>
      <c r="F38" s="1331">
        <f ca="1">INDIRECT("'数据-取费表'!Am"&amp;$G$1)</f>
        <v>0.01</v>
      </c>
      <c r="G38" s="1846"/>
      <c r="H38" s="1854"/>
      <c r="I38" s="1855"/>
      <c r="J38" s="1856"/>
      <c r="K38" s="1860"/>
      <c r="L38" s="1854"/>
      <c r="M38" s="1854"/>
    </row>
    <row r="39" spans="1:18" ht="24.65" customHeight="1" thickTop="1">
      <c r="A39" s="1324" t="s">
        <v>1027</v>
      </c>
      <c r="B39" s="1339" t="s">
        <v>1457</v>
      </c>
      <c r="C39" s="350">
        <f ca="1">C5-C30</f>
        <v>456</v>
      </c>
      <c r="D39" s="1340" t="s">
        <v>1458</v>
      </c>
      <c r="E39" s="1341"/>
      <c r="F39" s="1342"/>
      <c r="G39" s="1846"/>
      <c r="H39" s="1854"/>
      <c r="I39" s="1855"/>
      <c r="J39" s="1856"/>
      <c r="K39" s="1860"/>
      <c r="L39" s="1854"/>
      <c r="M39" s="1854"/>
    </row>
    <row r="40" spans="1:18" ht="18" customHeight="1">
      <c r="A40" s="339" t="s">
        <v>1028</v>
      </c>
      <c r="B40" s="340" t="s">
        <v>1479</v>
      </c>
      <c r="C40" s="341">
        <f ca="1">ROUND(C39*(1-((1+F42)/(1+F40))^F41)/(F40-F42),0)</f>
        <v>12544</v>
      </c>
      <c r="D40" s="365" t="s">
        <v>1463</v>
      </c>
      <c r="E40" s="342" t="s">
        <v>1464</v>
      </c>
      <c r="F40" s="352">
        <f ca="1">INDIRECT("'数据-取费表'!I"&amp;$G$1)</f>
        <v>0.05</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41.54</v>
      </c>
      <c r="G41" s="1846"/>
      <c r="H41" s="727"/>
      <c r="I41" s="1855"/>
      <c r="J41" s="1856"/>
      <c r="K41" s="746"/>
      <c r="L41" s="727"/>
      <c r="M41" s="727"/>
    </row>
    <row r="42" spans="1:18" ht="18" customHeight="1">
      <c r="A42" s="348"/>
      <c r="B42" s="349"/>
      <c r="C42" s="350"/>
      <c r="D42" s="368"/>
      <c r="E42" s="342" t="s">
        <v>1471</v>
      </c>
      <c r="F42" s="352">
        <f ca="1">INDIRECT("'数据-取费表'!v"&amp;$G$1)</f>
        <v>0.03</v>
      </c>
      <c r="G42" s="1846"/>
      <c r="H42" s="727"/>
      <c r="I42" s="1855"/>
      <c r="J42" s="1856"/>
      <c r="K42" s="746"/>
      <c r="L42" s="727"/>
      <c r="M42" s="727"/>
    </row>
    <row r="43" spans="1:18" ht="18" customHeight="1" thickBot="1">
      <c r="A43" s="375" t="s">
        <v>1029</v>
      </c>
      <c r="B43" s="376" t="s">
        <v>1481</v>
      </c>
      <c r="C43" s="377">
        <f ca="1">ROUND(C40*10000/F43,0)</f>
        <v>16355</v>
      </c>
      <c r="D43" s="378" t="s">
        <v>1482</v>
      </c>
      <c r="E43" s="379" t="s">
        <v>1483</v>
      </c>
      <c r="F43" s="380">
        <f ca="1">INDIRECT("'数据-取费表'!k"&amp;$G$1)</f>
        <v>7670</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1513</v>
      </c>
      <c r="P45" s="1834"/>
      <c r="Q45" s="1834"/>
      <c r="R45" s="1834"/>
    </row>
    <row r="46" spans="1:18" s="1837" customFormat="1" ht="14" thickBot="1">
      <c r="A46" s="1865" t="s">
        <v>1514</v>
      </c>
      <c r="C46" s="1866">
        <f ca="1">C68-C40</f>
        <v>-17545</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5" thickBot="1">
      <c r="A47" s="1160" t="s">
        <v>1390</v>
      </c>
      <c r="B47" s="1192" t="s">
        <v>1391</v>
      </c>
      <c r="C47" s="1362" t="s">
        <v>1392</v>
      </c>
      <c r="D47" s="1192" t="s">
        <v>1393</v>
      </c>
      <c r="E47" s="1274" t="s">
        <v>1394</v>
      </c>
      <c r="F47" s="1275"/>
      <c r="G47" s="787"/>
      <c r="I47" s="1875" t="s">
        <v>1520</v>
      </c>
      <c r="J47" s="1876" t="s">
        <v>3277</v>
      </c>
      <c r="K47" s="1877" t="s">
        <v>1521</v>
      </c>
      <c r="L47" s="1878">
        <f ca="1">INDIRECT("'数据-取费表'!d"&amp;$G$1)</f>
        <v>50</v>
      </c>
      <c r="M47" s="1833" t="str">
        <f>IF(ISNUMBER(FIND("住宅",C1)),"住宅","非住宅")</f>
        <v>非住宅</v>
      </c>
      <c r="O47" s="1879" t="s">
        <v>1036</v>
      </c>
      <c r="P47" s="1880" t="s">
        <v>1522</v>
      </c>
      <c r="Q47" s="1881">
        <f ca="1">C40+J29</f>
        <v>12544</v>
      </c>
      <c r="R47" s="1881" t="s">
        <v>1523</v>
      </c>
    </row>
    <row r="48" spans="1:18" s="1837" customFormat="1" ht="43.5" thickBot="1">
      <c r="A48" s="1355" t="s">
        <v>1131</v>
      </c>
      <c r="B48" s="340" t="s">
        <v>1395</v>
      </c>
      <c r="C48" s="3021">
        <f ca="1">C49+C53+C55</f>
        <v>0</v>
      </c>
      <c r="D48" s="1357"/>
      <c r="E48" s="1358"/>
      <c r="F48" s="1176"/>
      <c r="G48" s="787"/>
      <c r="H48" s="788"/>
      <c r="I48" s="1882" t="s">
        <v>1524</v>
      </c>
      <c r="J48" s="1883" t="s">
        <v>3278</v>
      </c>
      <c r="K48" s="1884" t="s">
        <v>1525</v>
      </c>
      <c r="L48" s="1885">
        <f ca="1">INDIRECT("'数据-取费表'!f"&amp;$G$1)</f>
        <v>43.5</v>
      </c>
      <c r="O48" s="1879" t="s">
        <v>1037</v>
      </c>
      <c r="P48" s="1880" t="s">
        <v>1526</v>
      </c>
      <c r="Q48" s="1881" t="str">
        <f ca="1">J60</f>
        <v>0</v>
      </c>
      <c r="R48" s="1881" t="s">
        <v>1527</v>
      </c>
    </row>
    <row r="49" spans="1:18" s="1837" customFormat="1" ht="13.5" thickBot="1">
      <c r="A49" s="1189" t="s">
        <v>1132</v>
      </c>
      <c r="B49" s="1824" t="s">
        <v>1484</v>
      </c>
      <c r="C49" s="1359">
        <f ca="1">ROUND(F49*F51*F50*(1-F52)/10000,0)</f>
        <v>0</v>
      </c>
      <c r="D49" s="1271" t="s">
        <v>3020</v>
      </c>
      <c r="E49" s="1825" t="s">
        <v>1485</v>
      </c>
      <c r="F49" s="1276"/>
      <c r="G49" s="1886"/>
      <c r="H49" s="788"/>
      <c r="I49" s="1882" t="s">
        <v>1528</v>
      </c>
      <c r="J49" s="1887"/>
      <c r="K49" s="1884" t="s">
        <v>1529</v>
      </c>
      <c r="L49" s="1888"/>
      <c r="O49" s="1889" t="s">
        <v>1038</v>
      </c>
      <c r="P49" s="1880" t="s">
        <v>1530</v>
      </c>
      <c r="Q49" s="1881">
        <f ca="1">C29</f>
        <v>3014</v>
      </c>
      <c r="R49" s="1881" t="s">
        <v>1523</v>
      </c>
    </row>
    <row r="50" spans="1:18" s="1837" customFormat="1" ht="13.5" thickBot="1">
      <c r="A50" s="1190"/>
      <c r="B50" s="1193"/>
      <c r="C50" s="1363"/>
      <c r="D50" s="1167"/>
      <c r="E50" s="1272" t="s">
        <v>1400</v>
      </c>
      <c r="F50" s="1273">
        <f ca="1">F7</f>
        <v>7670</v>
      </c>
      <c r="H50" s="788"/>
      <c r="I50" s="1882" t="s">
        <v>1531</v>
      </c>
      <c r="J50" s="1890">
        <f>SUMPRODUCT((I63:I65=J47)*(J62:L62=J48)*(J63:L65))</f>
        <v>60</v>
      </c>
      <c r="K50" s="1884" t="s">
        <v>1532</v>
      </c>
      <c r="L50" s="1888"/>
      <c r="M50" s="1891"/>
      <c r="O50" s="1889" t="s">
        <v>1039</v>
      </c>
      <c r="P50" s="1880" t="s">
        <v>1533</v>
      </c>
      <c r="Q50" s="1892" t="e">
        <f ca="1">J58</f>
        <v>#VALUE!</v>
      </c>
      <c r="R50" s="1881"/>
    </row>
    <row r="51" spans="1:18" s="1837" customFormat="1" ht="13.5" thickBot="1">
      <c r="A51" s="1191"/>
      <c r="B51" s="1193"/>
      <c r="C51" s="1194"/>
      <c r="D51" s="1167"/>
      <c r="E51" s="1195" t="s">
        <v>1401</v>
      </c>
      <c r="F51" s="343">
        <f ca="1">F8</f>
        <v>365</v>
      </c>
      <c r="I51" s="1893" t="s">
        <v>1534</v>
      </c>
      <c r="J51" s="1894">
        <f>IF(J49="",J50,J49+J50-YEAR('数据-取费表'!B2))</f>
        <v>60</v>
      </c>
      <c r="K51" s="1895" t="s">
        <v>1535</v>
      </c>
      <c r="L51" s="1896">
        <f ca="1">ROUND(-PV(INDIRECT("'数据-取费表'!h"&amp;$G$1),L48,(C39-C13*C76),0),0)</f>
        <v>3786</v>
      </c>
      <c r="M51" s="1897"/>
      <c r="O51" s="1889" t="s">
        <v>1040</v>
      </c>
      <c r="P51" s="1880" t="s">
        <v>1536</v>
      </c>
      <c r="Q51" s="1892">
        <f>J52</f>
        <v>0.09</v>
      </c>
      <c r="R51" s="1881"/>
    </row>
    <row r="52" spans="1:18" s="1837" customFormat="1" ht="13.5" thickBot="1">
      <c r="A52" s="1191"/>
      <c r="B52" s="1193"/>
      <c r="C52" s="1194"/>
      <c r="D52" s="1167"/>
      <c r="E52" s="1195" t="s">
        <v>1402</v>
      </c>
      <c r="F52" s="1270"/>
      <c r="I52" s="1898" t="s">
        <v>1537</v>
      </c>
      <c r="J52" s="1899">
        <v>0.09</v>
      </c>
      <c r="K52" s="1898" t="s">
        <v>1538</v>
      </c>
      <c r="L52" s="1899"/>
      <c r="O52" s="1889" t="s">
        <v>1041</v>
      </c>
      <c r="P52" s="1880" t="s">
        <v>1539</v>
      </c>
      <c r="Q52" s="1881">
        <f ca="1">J53</f>
        <v>41.54</v>
      </c>
      <c r="R52" s="1881" t="s">
        <v>1540</v>
      </c>
    </row>
    <row r="53" spans="1:18" s="1837" customFormat="1" ht="26.5" thickBot="1">
      <c r="A53" s="1400" t="s">
        <v>1133</v>
      </c>
      <c r="B53" s="1826" t="s">
        <v>1403</v>
      </c>
      <c r="C53" s="356">
        <f ca="1">ROUND(IF(F53="押一",C49/12*F11,IF(F53="押二",C49/12*2*F11,IF(F53="押三",C49/12*3*F11,C54*F11))),0)</f>
        <v>0</v>
      </c>
      <c r="D53" s="1819" t="s">
        <v>3029</v>
      </c>
      <c r="E53" s="353" t="s">
        <v>1404</v>
      </c>
      <c r="F53" s="1361"/>
      <c r="I53" s="1900" t="s">
        <v>1541</v>
      </c>
      <c r="J53" s="2936">
        <f ca="1">IF(M47="住宅",IF(D1="——",MAX(J51,L48),MAX(J51,L48-'数据-取费表'!B24)),IF(D1="——",MIN(J51,L48),MIN(J51,L48-'数据-取费表'!B24)))</f>
        <v>41.54</v>
      </c>
      <c r="K53" s="3287" t="s">
        <v>1542</v>
      </c>
      <c r="L53" s="3288"/>
      <c r="O53" s="1879" t="s">
        <v>1042</v>
      </c>
      <c r="P53" s="1880" t="s">
        <v>1543</v>
      </c>
      <c r="Q53" s="1881">
        <f ca="1">Q47+Q48</f>
        <v>12544</v>
      </c>
      <c r="R53" s="1881" t="s">
        <v>1043</v>
      </c>
    </row>
    <row r="54" spans="1:18" s="1837" customFormat="1" ht="26.5" thickBot="1">
      <c r="A54" s="1401"/>
      <c r="B54" s="1820" t="s">
        <v>1382</v>
      </c>
      <c r="C54" s="1173"/>
      <c r="D54" s="1819"/>
      <c r="E54" s="302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5" thickBot="1">
      <c r="A55" s="1328" t="s">
        <v>1071</v>
      </c>
      <c r="B55" s="1822" t="s">
        <v>1407</v>
      </c>
      <c r="C55" s="1329"/>
      <c r="D55" s="1819"/>
      <c r="E55" s="3020"/>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40" thickTop="1" thickBot="1">
      <c r="A56" s="1171">
        <v>2</v>
      </c>
      <c r="B56" s="1172" t="s">
        <v>1408</v>
      </c>
      <c r="C56" s="271">
        <f ca="1">C13</f>
        <v>3014</v>
      </c>
      <c r="D56" s="1908"/>
      <c r="E56" s="1909"/>
      <c r="F56" s="1901"/>
      <c r="I56" s="1910" t="s">
        <v>1548</v>
      </c>
      <c r="J56" s="1911" t="s">
        <v>3056</v>
      </c>
      <c r="K56" s="1882" t="s">
        <v>1549</v>
      </c>
      <c r="L56" s="1885" t="str">
        <f ca="1">IF(L48&lt;J51,"——",L48-J53)</f>
        <v>——</v>
      </c>
      <c r="O56" s="1879" t="s">
        <v>1036</v>
      </c>
      <c r="P56" s="1880" t="s">
        <v>1522</v>
      </c>
      <c r="Q56" s="1881">
        <f ca="1">C40+J29</f>
        <v>12544</v>
      </c>
      <c r="R56" s="1881" t="s">
        <v>1523</v>
      </c>
    </row>
    <row r="57" spans="1:18" s="1837" customFormat="1" ht="26.5" thickBot="1">
      <c r="A57" s="1912"/>
      <c r="B57" s="1164" t="s">
        <v>1472</v>
      </c>
      <c r="C57" s="277">
        <f ca="1">C29</f>
        <v>3014</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6.5" thickBot="1">
      <c r="A58" s="355" t="s">
        <v>1026</v>
      </c>
      <c r="B58" s="1172" t="s">
        <v>1418</v>
      </c>
      <c r="C58" s="356">
        <f ca="1">ROUND(C59+C64+C65+C66,0)</f>
        <v>288</v>
      </c>
      <c r="D58" s="1174" t="s">
        <v>1419</v>
      </c>
      <c r="E58" s="1175"/>
      <c r="F58" s="1176"/>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6.5" thickBot="1">
      <c r="A59" s="1196" t="s">
        <v>1031</v>
      </c>
      <c r="B59" s="1164" t="s">
        <v>1423</v>
      </c>
      <c r="C59" s="24">
        <f ca="1">ROUND(IF(项目基本情况!B11="自然人",C48*F59,C60+C61+C62),1)</f>
        <v>253.8</v>
      </c>
      <c r="D59" s="1177" t="s">
        <v>1424</v>
      </c>
      <c r="E59" s="1178" t="s">
        <v>1425</v>
      </c>
      <c r="F59" s="363"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 thickBot="1">
      <c r="A60" s="1196" t="s">
        <v>1030</v>
      </c>
      <c r="B60" s="1164" t="s">
        <v>1427</v>
      </c>
      <c r="C60" s="24">
        <f ca="1">IF(项目基本情况!B11="自然人","——",ROUND(C48*F60/(1+'数据-取费表'!C42),2))</f>
        <v>0</v>
      </c>
      <c r="D60" s="1178" t="s">
        <v>1428</v>
      </c>
      <c r="E60" s="1164" t="s">
        <v>1416</v>
      </c>
      <c r="F60" s="372">
        <f t="shared" ref="F60:F66" si="0">F32</f>
        <v>5.5000000000000007E-2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5" thickBot="1">
      <c r="A61" s="1196" t="s">
        <v>1486</v>
      </c>
      <c r="B61" s="1164" t="s">
        <v>1431</v>
      </c>
      <c r="C61" s="24">
        <f ca="1">IF(项目基本情况!B11="自然人","——",IF(D61="按租金收入计税",ROUND(C48*F61,2),IF(D61="按房产原值计税",ROUND(C57*F61*0.7,2),INDIRECT("'数据-取费表'!Aj"&amp;$G$1))))</f>
        <v>253.18</v>
      </c>
      <c r="D61" s="1823" t="s">
        <v>1432</v>
      </c>
      <c r="E61" s="1164" t="s">
        <v>1416</v>
      </c>
      <c r="F61" s="362">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5" thickBot="1">
      <c r="A62" s="1196" t="s">
        <v>1489</v>
      </c>
      <c r="B62" s="1163" t="s">
        <v>1435</v>
      </c>
      <c r="C62" s="25">
        <f ca="1">IF(项目基本情况!B11="自然人","——",ROUND(F62*F63/10000,2))</f>
        <v>0.64</v>
      </c>
      <c r="D62" s="1179" t="s">
        <v>1436</v>
      </c>
      <c r="E62" s="1164" t="s">
        <v>1437</v>
      </c>
      <c r="F62" s="366">
        <f t="shared" si="0"/>
        <v>1.5</v>
      </c>
      <c r="I62" s="1923" t="s">
        <v>1564</v>
      </c>
      <c r="J62" s="1924" t="s">
        <v>1565</v>
      </c>
      <c r="K62" s="1924" t="s">
        <v>1566</v>
      </c>
      <c r="L62" s="1924" t="s">
        <v>1567</v>
      </c>
      <c r="M62" s="1925" t="s">
        <v>1568</v>
      </c>
      <c r="O62" s="1879" t="s">
        <v>1042</v>
      </c>
      <c r="P62" s="1880" t="s">
        <v>1543</v>
      </c>
      <c r="Q62" s="1881">
        <f ca="1">Q56+Q57</f>
        <v>12544</v>
      </c>
      <c r="R62" s="1881" t="s">
        <v>1043</v>
      </c>
    </row>
    <row r="63" spans="1:18" s="1837" customFormat="1" ht="13.5" thickBot="1">
      <c r="A63" s="367"/>
      <c r="B63" s="1170"/>
      <c r="C63" s="29"/>
      <c r="D63" s="1180"/>
      <c r="E63" s="1164" t="s">
        <v>1441</v>
      </c>
      <c r="F63" s="343">
        <f t="shared" ca="1" si="0"/>
        <v>4271.49</v>
      </c>
      <c r="I63" s="1923" t="s">
        <v>1570</v>
      </c>
      <c r="J63" s="1924">
        <v>70</v>
      </c>
      <c r="K63" s="1924">
        <v>50</v>
      </c>
      <c r="L63" s="1924">
        <v>80</v>
      </c>
      <c r="M63" s="1926">
        <v>0.02</v>
      </c>
      <c r="O63" s="1864" t="s">
        <v>1571</v>
      </c>
      <c r="P63" s="1834"/>
      <c r="Q63" s="1834"/>
      <c r="R63" s="1834"/>
    </row>
    <row r="64" spans="1:18" s="1837" customFormat="1" ht="13.5" thickBot="1">
      <c r="A64" s="1196" t="s">
        <v>1035</v>
      </c>
      <c r="B64" s="1164" t="s">
        <v>1443</v>
      </c>
      <c r="C64" s="24">
        <f ca="1">ROUND(C57*F64,1)</f>
        <v>30.1</v>
      </c>
      <c r="D64" s="1178" t="s">
        <v>1476</v>
      </c>
      <c r="E64" s="1164" t="s">
        <v>1416</v>
      </c>
      <c r="F64" s="369">
        <f t="shared" ca="1" si="0"/>
        <v>0.01</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ROUND(C56*F65,1)</f>
        <v>4.5</v>
      </c>
      <c r="D65" s="1178" t="s">
        <v>1448</v>
      </c>
      <c r="E65" s="1164" t="s">
        <v>1416</v>
      </c>
      <c r="F65" s="371">
        <f t="shared" ca="1" si="0"/>
        <v>1.5E-3</v>
      </c>
      <c r="I65" s="1923" t="s">
        <v>1573</v>
      </c>
      <c r="J65" s="1924">
        <v>40</v>
      </c>
      <c r="K65" s="1924">
        <v>30</v>
      </c>
      <c r="L65" s="1924">
        <v>50</v>
      </c>
      <c r="M65" s="1926">
        <v>0.02</v>
      </c>
      <c r="O65" s="1879" t="s">
        <v>1036</v>
      </c>
      <c r="P65" s="1880" t="s">
        <v>1522</v>
      </c>
      <c r="Q65" s="1881">
        <f ca="1">C40+J29</f>
        <v>12544</v>
      </c>
      <c r="R65" s="1881" t="s">
        <v>1523</v>
      </c>
    </row>
    <row r="66" spans="1:18" s="1837" customFormat="1" ht="16" thickBot="1">
      <c r="A66" s="1196" t="s">
        <v>1498</v>
      </c>
      <c r="B66" s="1164" t="s">
        <v>1433</v>
      </c>
      <c r="C66" s="24">
        <f ca="1">ROUND(C48*F66,1)</f>
        <v>0</v>
      </c>
      <c r="D66" s="1178" t="s">
        <v>1453</v>
      </c>
      <c r="E66" s="1164" t="s">
        <v>1416</v>
      </c>
      <c r="F66" s="352">
        <f t="shared" ca="1" si="0"/>
        <v>0.01</v>
      </c>
      <c r="O66" s="1879" t="s">
        <v>1037</v>
      </c>
      <c r="P66" s="1880" t="s">
        <v>1552</v>
      </c>
      <c r="Q66" s="1881">
        <f ca="1">L60</f>
        <v>0</v>
      </c>
      <c r="R66" s="1881" t="s">
        <v>1575</v>
      </c>
    </row>
    <row r="67" spans="1:18" s="1837" customFormat="1" ht="26.5" thickBot="1">
      <c r="A67" s="1171" t="s">
        <v>1027</v>
      </c>
      <c r="B67" s="1181" t="s">
        <v>1457</v>
      </c>
      <c r="C67" s="356">
        <f ca="1">C48-C58</f>
        <v>-288</v>
      </c>
      <c r="D67" s="1177" t="s">
        <v>1458</v>
      </c>
      <c r="E67" s="1182"/>
      <c r="F67" s="1183"/>
      <c r="O67" s="1889" t="s">
        <v>1038</v>
      </c>
      <c r="P67" s="1880" t="s">
        <v>1556</v>
      </c>
      <c r="Q67" s="1927">
        <f ca="1">L51</f>
        <v>3786</v>
      </c>
      <c r="R67" s="1881" t="s">
        <v>1576</v>
      </c>
    </row>
    <row r="68" spans="1:18" s="1837" customFormat="1" ht="16" thickBot="1">
      <c r="A68" s="1161" t="s">
        <v>1028</v>
      </c>
      <c r="B68" s="1162" t="s">
        <v>1479</v>
      </c>
      <c r="C68" s="341">
        <f ca="1">ROUND(C67*(1-((1+F70)/(1+F68))^F69)/(F68-F70),0)</f>
        <v>-5001</v>
      </c>
      <c r="D68" s="1179" t="s">
        <v>1463</v>
      </c>
      <c r="E68" s="1164" t="s">
        <v>1464</v>
      </c>
      <c r="F68" s="352">
        <f ca="1">F40</f>
        <v>0.05</v>
      </c>
      <c r="O68" s="1889" t="s">
        <v>1039</v>
      </c>
      <c r="P68" s="1928" t="s">
        <v>1577</v>
      </c>
      <c r="Q68" s="1881">
        <f ca="1">ROUND(Q69-Q70*Q71,0)</f>
        <v>200</v>
      </c>
      <c r="R68" s="1881" t="s">
        <v>1047</v>
      </c>
    </row>
    <row r="69" spans="1:18" s="1837" customFormat="1" ht="13.5" thickBot="1">
      <c r="A69" s="1165"/>
      <c r="B69" s="1166"/>
      <c r="C69" s="346"/>
      <c r="D69" s="1184" t="s">
        <v>1467</v>
      </c>
      <c r="E69" s="1164" t="s">
        <v>1468</v>
      </c>
      <c r="F69" s="374">
        <f ca="1">F41</f>
        <v>41.54</v>
      </c>
      <c r="O69" s="1889" t="s">
        <v>1044</v>
      </c>
      <c r="P69" s="1928" t="s">
        <v>1578</v>
      </c>
      <c r="Q69" s="1881">
        <f ca="1">C39</f>
        <v>456</v>
      </c>
      <c r="R69" s="1881" t="s">
        <v>1523</v>
      </c>
    </row>
    <row r="70" spans="1:18" s="1837" customFormat="1" ht="13.5" thickBot="1">
      <c r="A70" s="1168"/>
      <c r="B70" s="1169"/>
      <c r="C70" s="350"/>
      <c r="D70" s="1180"/>
      <c r="E70" s="1164" t="s">
        <v>1471</v>
      </c>
      <c r="F70" s="1270"/>
      <c r="O70" s="1889" t="s">
        <v>1045</v>
      </c>
      <c r="P70" s="1928" t="s">
        <v>1579</v>
      </c>
      <c r="Q70" s="1881">
        <f ca="1">C13</f>
        <v>3014</v>
      </c>
      <c r="R70" s="1881" t="s">
        <v>1523</v>
      </c>
    </row>
    <row r="71" spans="1:18" s="1837" customFormat="1" ht="13.5" thickBot="1">
      <c r="A71" s="1185" t="s">
        <v>1029</v>
      </c>
      <c r="B71" s="1186" t="s">
        <v>1481</v>
      </c>
      <c r="C71" s="377">
        <f ca="1">ROUND(C68*10000/F71,0)</f>
        <v>-6520</v>
      </c>
      <c r="D71" s="1187" t="s">
        <v>1482</v>
      </c>
      <c r="E71" s="1188" t="s">
        <v>1483</v>
      </c>
      <c r="F71" s="380">
        <f ca="1">F43</f>
        <v>7670</v>
      </c>
      <c r="O71" s="1889" t="s">
        <v>1046</v>
      </c>
      <c r="P71" s="1928" t="s">
        <v>1580</v>
      </c>
      <c r="Q71" s="1892">
        <f ca="1">C76</f>
        <v>8.5000000000000006E-2</v>
      </c>
      <c r="R71" s="1881"/>
    </row>
    <row r="72" spans="1:18" s="1837" customFormat="1" ht="13.5" thickBot="1">
      <c r="B72" s="791"/>
      <c r="C72" s="791"/>
      <c r="O72" s="1889" t="s">
        <v>1040</v>
      </c>
      <c r="P72" s="1880" t="s">
        <v>1558</v>
      </c>
      <c r="Q72" s="1892">
        <f>L52</f>
        <v>0</v>
      </c>
      <c r="R72" s="1881"/>
    </row>
    <row r="73" spans="1:18" ht="16"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续建工期及建筑物耐用年限下的土地年期修正系数Kn</v>
      </c>
      <c r="Q74" s="1881" t="e">
        <f ca="1">L59</f>
        <v>#DIV/0!</v>
      </c>
      <c r="R74" s="1881" t="s">
        <v>1563</v>
      </c>
    </row>
    <row r="75" spans="1:18" ht="13.5" thickBot="1">
      <c r="A75" s="1837"/>
      <c r="B75" s="381" t="s">
        <v>1500</v>
      </c>
      <c r="C75" s="382">
        <f ca="1">ROUND(C13*C76,0)</f>
        <v>256</v>
      </c>
      <c r="D75" s="1837"/>
      <c r="E75" s="1837"/>
      <c r="F75" s="1837"/>
      <c r="K75" s="1863"/>
      <c r="L75" s="1837"/>
      <c r="O75" s="1879" t="s">
        <v>1042</v>
      </c>
      <c r="P75" s="1880" t="s">
        <v>1543</v>
      </c>
      <c r="Q75" s="1881">
        <f ca="1">Q65+Q66</f>
        <v>12544</v>
      </c>
      <c r="R75" s="1881" t="s">
        <v>1043</v>
      </c>
    </row>
    <row r="76" spans="1:18" ht="13">
      <c r="B76" s="383" t="s">
        <v>1501</v>
      </c>
      <c r="C76" s="384">
        <f ca="1">INDIRECT("'数据-取费表'!j"&amp;$G$1)</f>
        <v>8.5000000000000006E-2</v>
      </c>
      <c r="I76" s="1837"/>
      <c r="J76" s="1837"/>
      <c r="K76" s="1863"/>
      <c r="L76" s="1837"/>
    </row>
    <row r="77" spans="1:18" ht="13.5">
      <c r="B77" s="385" t="s">
        <v>1502</v>
      </c>
      <c r="C77" s="386"/>
      <c r="I77" s="1837"/>
      <c r="J77" s="1837"/>
      <c r="K77" s="1863"/>
      <c r="L77" s="1837"/>
    </row>
    <row r="78" spans="1:18" ht="13.5">
      <c r="B78" s="309" t="s">
        <v>1503</v>
      </c>
      <c r="C78" s="387"/>
    </row>
    <row r="79" spans="1:18" ht="13">
      <c r="B79" s="381" t="s">
        <v>1504</v>
      </c>
      <c r="C79" s="313">
        <f ca="1">1-C80</f>
        <v>0.43899999999999995</v>
      </c>
    </row>
    <row r="80" spans="1:18" ht="13">
      <c r="B80" s="381" t="s">
        <v>1505</v>
      </c>
      <c r="C80" s="313">
        <f ca="1">ROUND(C75/C39,3)</f>
        <v>0.56100000000000005</v>
      </c>
    </row>
    <row r="81" spans="2:3" ht="13.5">
      <c r="B81" s="309" t="s">
        <v>1506</v>
      </c>
      <c r="C81" s="277"/>
    </row>
    <row r="82" spans="2:3" ht="13">
      <c r="B82" s="312" t="s">
        <v>1507</v>
      </c>
      <c r="C82" s="314">
        <f ca="1">1-C83</f>
        <v>0.76</v>
      </c>
    </row>
    <row r="83" spans="2:3" ht="13">
      <c r="B83" s="312" t="s">
        <v>1508</v>
      </c>
      <c r="C83" s="313">
        <f ca="1">ROUND(C13/C40,3)</f>
        <v>0.24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D07B804D-EF32-4814-82B8-32FC7A009876}">
      <formula1>"按租金收入计税,按房产原值计税"</formula1>
    </dataValidation>
    <dataValidation type="list" allowBlank="1" showInputMessage="1" showErrorMessage="1" sqref="D33 D61" xr:uid="{6405DF60-9C36-46F0-A150-C970B728B0F8}">
      <formula1>"按租金收入计税,按房产原值计税,按票据"</formula1>
    </dataValidation>
    <dataValidation type="list" allowBlank="1" showInputMessage="1" showErrorMessage="1" sqref="C1" xr:uid="{9B7118BC-7E1F-4690-AA39-F8EE40A01C71}">
      <formula1>项目类型</formula1>
    </dataValidation>
    <dataValidation type="list" allowBlank="1" showInputMessage="1" showErrorMessage="1" sqref="J47" xr:uid="{B55F91D5-2B7F-4BCA-94E6-3A5176AD2FF0}">
      <formula1>"钢,钢混,砖混"</formula1>
    </dataValidation>
    <dataValidation type="list" allowBlank="1" showInputMessage="1" showErrorMessage="1" sqref="J48" xr:uid="{2EDF5A72-EEC7-4D01-BFBD-FD513542F66A}">
      <formula1>"非生产用房,生产用房,受腐蚀的生产用房"</formula1>
    </dataValidation>
    <dataValidation type="list" allowBlank="1" showInputMessage="1" showErrorMessage="1" sqref="J56" xr:uid="{E92EFF71-5E2A-4892-97A3-D9630B378F3B}">
      <formula1>判定</formula1>
    </dataValidation>
    <dataValidation type="list" allowBlank="1" showInputMessage="1" showErrorMessage="1" sqref="L55" xr:uid="{69E7365A-8CBB-4E05-8668-82E59D460E11}">
      <formula1>"比较法,基准地价,收益还原"</formula1>
    </dataValidation>
    <dataValidation type="list" allowBlank="1" showInputMessage="1" showErrorMessage="1" sqref="M10 F10 F53" xr:uid="{9DB95535-D580-4BBF-8281-7C1EE1DB4BBD}">
      <formula1>"押一,押二,押三,自定义"</formula1>
    </dataValidation>
    <dataValidation type="list" allowBlank="1" showInputMessage="1" showErrorMessage="1" sqref="D1" xr:uid="{6B5FF478-C8DB-43A3-A594-4BFDCB4365EE}">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08" customWidth="1"/>
    <col min="2" max="2" width="29.08984375" style="290" customWidth="1"/>
    <col min="3" max="3" width="12.08984375" style="290" customWidth="1"/>
    <col min="4" max="5" width="11.08984375" style="311" customWidth="1"/>
    <col min="6" max="6" width="9.453125" style="290" customWidth="1"/>
    <col min="7" max="7" width="31.90625" style="290" customWidth="1"/>
    <col min="8" max="254" width="9" style="290" customWidth="1"/>
    <col min="255" max="16384" width="8.36328125" style="290"/>
  </cols>
  <sheetData>
    <row r="1" spans="1:7" s="239" customFormat="1" ht="21">
      <c r="A1" s="235" t="s">
        <v>83</v>
      </c>
      <c r="B1" s="236"/>
      <c r="C1" s="237"/>
      <c r="D1" s="237"/>
      <c r="E1" s="237"/>
      <c r="F1" s="237"/>
      <c r="G1" s="238"/>
    </row>
    <row r="2" spans="1:7" s="239" customFormat="1" ht="18" customHeight="1">
      <c r="A2" s="240" t="s">
        <v>84</v>
      </c>
      <c r="B2" s="241">
        <f ca="1">C52</f>
        <v>44703</v>
      </c>
      <c r="C2" s="2" t="s">
        <v>133</v>
      </c>
      <c r="D2" s="238"/>
      <c r="E2" s="238"/>
      <c r="F2" s="238"/>
      <c r="G2" s="238"/>
    </row>
    <row r="3" spans="1:7" s="239" customFormat="1" ht="18" customHeight="1" thickBot="1">
      <c r="A3" s="242" t="s">
        <v>85</v>
      </c>
      <c r="B3" s="243">
        <f ca="1">ROUND(B2*10000/'数据-汇总表'!E3,0)</f>
        <v>2106</v>
      </c>
      <c r="C3" s="2" t="s">
        <v>134</v>
      </c>
      <c r="D3" s="238"/>
      <c r="E3" s="238"/>
      <c r="F3" s="238"/>
      <c r="G3" s="238"/>
    </row>
    <row r="4" spans="1:7" s="247" customFormat="1" ht="16">
      <c r="A4" s="244" t="s">
        <v>86</v>
      </c>
      <c r="B4" s="245"/>
      <c r="C4" s="245"/>
      <c r="D4" s="245"/>
      <c r="E4" s="245"/>
      <c r="F4" s="245"/>
      <c r="G4" s="246"/>
    </row>
    <row r="5" spans="1:7" s="253" customFormat="1" ht="13.5" customHeight="1">
      <c r="A5" s="294" t="s">
        <v>1050</v>
      </c>
      <c r="B5" s="249" t="s">
        <v>87</v>
      </c>
      <c r="C5" s="250">
        <f>C6+C7+C8</f>
        <v>20610</v>
      </c>
      <c r="D5" s="250" t="s">
        <v>88</v>
      </c>
      <c r="E5" s="251" t="s">
        <v>89</v>
      </c>
      <c r="F5" s="251" t="s">
        <v>90</v>
      </c>
      <c r="G5" s="252"/>
    </row>
    <row r="6" spans="1:7" s="253" customFormat="1" ht="13.5" customHeight="1">
      <c r="A6" s="944" t="s">
        <v>791</v>
      </c>
      <c r="B6" s="254" t="s">
        <v>91</v>
      </c>
      <c r="C6" s="255">
        <v>20000</v>
      </c>
      <c r="D6" s="256"/>
      <c r="E6" s="257"/>
      <c r="F6" s="257"/>
      <c r="G6" s="258"/>
    </row>
    <row r="7" spans="1:7" s="253" customFormat="1" ht="13.5" customHeight="1">
      <c r="A7" s="944" t="s">
        <v>792</v>
      </c>
      <c r="B7" s="254" t="s">
        <v>57</v>
      </c>
      <c r="C7" s="259">
        <f>ROUND(C6*F7,0)</f>
        <v>610</v>
      </c>
      <c r="D7" s="259"/>
      <c r="E7" s="257"/>
      <c r="F7" s="260">
        <f>'数据-取费表'!B48+'数据-取费表'!B49</f>
        <v>3.0499999999999999E-2</v>
      </c>
      <c r="G7" s="258"/>
    </row>
    <row r="8" spans="1:7" s="262" customFormat="1" ht="13">
      <c r="A8" s="944" t="s">
        <v>793</v>
      </c>
      <c r="B8" s="254" t="s">
        <v>92</v>
      </c>
      <c r="C8" s="259" t="str">
        <f>IF(G8="已包含在土地购买价格中","0",'数据-取费表'!B29)</f>
        <v>0</v>
      </c>
      <c r="D8" s="261"/>
      <c r="E8" s="259"/>
      <c r="F8" s="260"/>
      <c r="G8" s="1" t="s">
        <v>1144</v>
      </c>
    </row>
    <row r="9" spans="1:7" s="253" customFormat="1" ht="13.5" customHeight="1">
      <c r="A9" s="945" t="s">
        <v>800</v>
      </c>
      <c r="B9" s="263" t="s">
        <v>93</v>
      </c>
      <c r="C9" s="264">
        <f>ROUND(D9*E9/10000,0)</f>
        <v>1795</v>
      </c>
      <c r="D9" s="1027">
        <f>'数据-汇总表'!E5</f>
        <v>112163.84999999999</v>
      </c>
      <c r="E9" s="264">
        <f>'数据-取费表'!B27</f>
        <v>160</v>
      </c>
      <c r="F9" s="260"/>
      <c r="G9" s="265"/>
    </row>
    <row r="10" spans="1:7" s="253" customFormat="1" ht="13.5" customHeight="1">
      <c r="A10" s="945" t="s">
        <v>801</v>
      </c>
      <c r="B10" s="263" t="s">
        <v>94</v>
      </c>
      <c r="C10" s="264">
        <f>ROUND(D10*E10/10000,0)</f>
        <v>2002</v>
      </c>
      <c r="D10" s="1027">
        <f>'数据-汇总表'!E6</f>
        <v>100100.95000000003</v>
      </c>
      <c r="E10" s="264">
        <f>'数据-取费表'!B28</f>
        <v>200</v>
      </c>
      <c r="F10" s="260"/>
      <c r="G10" s="265"/>
    </row>
    <row r="11" spans="1:7" s="253" customFormat="1" ht="13.5" hidden="1" customHeight="1">
      <c r="A11" s="266" t="s">
        <v>7</v>
      </c>
      <c r="B11" s="254" t="s">
        <v>95</v>
      </c>
      <c r="C11" s="250"/>
      <c r="D11" s="1029"/>
      <c r="E11" s="257"/>
      <c r="F11" s="257"/>
      <c r="G11" s="258"/>
    </row>
    <row r="12" spans="1:7" s="253" customFormat="1" ht="13.5" hidden="1" customHeight="1">
      <c r="A12" s="266" t="s">
        <v>8</v>
      </c>
      <c r="B12" s="254" t="s">
        <v>96</v>
      </c>
      <c r="C12" s="250">
        <v>0</v>
      </c>
      <c r="D12" s="1029"/>
      <c r="E12" s="267"/>
      <c r="F12" s="260">
        <v>3.0499999999999999E-2</v>
      </c>
      <c r="G12" s="258"/>
    </row>
    <row r="13" spans="1:7" s="253" customFormat="1" ht="13.5" hidden="1" customHeight="1">
      <c r="A13" s="266" t="s">
        <v>9</v>
      </c>
      <c r="B13" s="254" t="s">
        <v>97</v>
      </c>
      <c r="C13" s="250"/>
      <c r="D13" s="1029"/>
      <c r="E13" s="257"/>
      <c r="F13" s="257"/>
      <c r="G13" s="258"/>
    </row>
    <row r="14" spans="1:7" s="253" customFormat="1" ht="13.5" hidden="1" customHeight="1">
      <c r="A14" s="266" t="s">
        <v>10</v>
      </c>
      <c r="B14" s="254" t="s">
        <v>92</v>
      </c>
      <c r="C14" s="250"/>
      <c r="D14" s="1029"/>
      <c r="E14" s="257"/>
      <c r="F14" s="257"/>
      <c r="G14" s="258" t="s">
        <v>98</v>
      </c>
    </row>
    <row r="15" spans="1:7" s="253" customFormat="1" ht="13.5" hidden="1" customHeight="1">
      <c r="A15" s="266" t="s">
        <v>11</v>
      </c>
      <c r="B15" s="254" t="s">
        <v>99</v>
      </c>
      <c r="C15" s="259"/>
      <c r="D15" s="1029"/>
      <c r="E15" s="257"/>
      <c r="F15" s="257"/>
      <c r="G15" s="258" t="s">
        <v>100</v>
      </c>
    </row>
    <row r="16" spans="1:7" s="253" customFormat="1" ht="13.5" hidden="1" customHeight="1">
      <c r="A16" s="266" t="s">
        <v>12</v>
      </c>
      <c r="B16" s="254" t="s">
        <v>92</v>
      </c>
      <c r="C16" s="259"/>
      <c r="D16" s="1029"/>
      <c r="E16" s="257"/>
      <c r="F16" s="257"/>
      <c r="G16" s="258"/>
    </row>
    <row r="17" spans="1:7" s="253" customFormat="1" ht="13.5" hidden="1" customHeight="1">
      <c r="A17" s="266" t="s">
        <v>13</v>
      </c>
      <c r="B17" s="254" t="s">
        <v>101</v>
      </c>
      <c r="C17" s="268"/>
      <c r="D17" s="1030"/>
      <c r="E17" s="268"/>
      <c r="F17" s="268"/>
      <c r="G17" s="258" t="s">
        <v>100</v>
      </c>
    </row>
    <row r="18" spans="1:7" s="253" customFormat="1" ht="13.5" hidden="1" customHeight="1">
      <c r="A18" s="266" t="s">
        <v>14</v>
      </c>
      <c r="B18" s="254" t="s">
        <v>102</v>
      </c>
      <c r="C18" s="259">
        <v>0</v>
      </c>
      <c r="D18" s="1029"/>
      <c r="E18" s="257"/>
      <c r="F18" s="260">
        <v>3.0499999999999999E-2</v>
      </c>
      <c r="G18" s="258" t="s">
        <v>103</v>
      </c>
    </row>
    <row r="19" spans="1:7" s="262" customFormat="1" ht="13.5" customHeight="1">
      <c r="A19" s="943" t="s">
        <v>1051</v>
      </c>
      <c r="B19" s="249" t="s">
        <v>111</v>
      </c>
      <c r="C19" s="250">
        <f>IF(G19="已包含在土地取得成本中","0",ROUND(D19*E19/10000,0))</f>
        <v>4245</v>
      </c>
      <c r="D19" s="1031">
        <f>'数据-汇总表'!E3</f>
        <v>212264.80000000002</v>
      </c>
      <c r="E19" s="250">
        <f>'数据-取费表'!B31</f>
        <v>200</v>
      </c>
      <c r="F19" s="270"/>
      <c r="G19" s="1" t="s">
        <v>1070</v>
      </c>
    </row>
    <row r="20" spans="1:7" s="253" customFormat="1" ht="13.5" customHeight="1">
      <c r="A20" s="943" t="s">
        <v>1053</v>
      </c>
      <c r="B20" s="249" t="s">
        <v>104</v>
      </c>
      <c r="C20" s="271">
        <f>ROUND((C5+C19)*F20,0)</f>
        <v>497</v>
      </c>
      <c r="D20" s="271"/>
      <c r="E20" s="271"/>
      <c r="F20" s="272">
        <f>'数据-取费表'!B37</f>
        <v>0.02</v>
      </c>
      <c r="G20" s="1284" t="s">
        <v>1064</v>
      </c>
    </row>
    <row r="21" spans="1:7" s="253" customFormat="1" ht="13.5" customHeight="1">
      <c r="A21" s="943" t="s">
        <v>1055</v>
      </c>
      <c r="B21" s="249" t="s">
        <v>105</v>
      </c>
      <c r="C21" s="274">
        <f>F21</f>
        <v>0.02</v>
      </c>
      <c r="D21" s="275" t="s">
        <v>126</v>
      </c>
      <c r="E21" s="271"/>
      <c r="F21" s="272">
        <f>'数据-取费表'!B38</f>
        <v>0.02</v>
      </c>
      <c r="G21" s="273" t="s">
        <v>106</v>
      </c>
    </row>
    <row r="22" spans="1:7" s="253" customFormat="1" ht="13.5" customHeight="1">
      <c r="A22" s="943" t="s">
        <v>786</v>
      </c>
      <c r="B22" s="249" t="s">
        <v>107</v>
      </c>
      <c r="C22" s="1349">
        <f ca="1">ROUND(SUM(C23:C25),0)</f>
        <v>637</v>
      </c>
      <c r="D22" s="274">
        <f ca="1">C26</f>
        <v>2.9999999999999997E-4</v>
      </c>
      <c r="E22" s="275" t="s">
        <v>126</v>
      </c>
      <c r="F22" s="276">
        <f ca="1">'数据-取费表'!B40</f>
        <v>4.7500000000000001E-2</v>
      </c>
      <c r="G22" s="1284" t="str">
        <f>IF('数据-取费表'!B22&lt;=1,"单利计息","复利计息")</f>
        <v>复利计息</v>
      </c>
    </row>
    <row r="23" spans="1:7" s="253" customFormat="1" ht="13.5" customHeight="1">
      <c r="A23" s="946" t="s">
        <v>794</v>
      </c>
      <c r="B23" s="254" t="s">
        <v>1057</v>
      </c>
      <c r="C23" s="1350">
        <f ca="1">ROUND(IF('数据-取费表'!B22&lt;=1,C5*F22*'数据-取费表'!B23,C5*(POWER((1+F22),'数据-取费表'!B23)-1)),0)</f>
        <v>523</v>
      </c>
      <c r="D23" s="277"/>
      <c r="E23" s="277"/>
      <c r="F23" s="278"/>
      <c r="G23" s="279" t="s">
        <v>108</v>
      </c>
    </row>
    <row r="24" spans="1:7" s="253" customFormat="1" ht="13.5" customHeight="1">
      <c r="A24" s="946" t="s">
        <v>792</v>
      </c>
      <c r="B24" s="254" t="s">
        <v>1052</v>
      </c>
      <c r="C24" s="1350">
        <f ca="1">ROUND(IF('数据-取费表'!B22&lt;=1,C19*F22*('数据-取费表'!B19/2+'数据-取费表'!B21),C19*(POWER((1+F22),('数据-取费表'!B19/2+'数据-取费表'!B21))-1)),0)</f>
        <v>108</v>
      </c>
      <c r="D24" s="277"/>
      <c r="E24" s="277"/>
      <c r="F24" s="278"/>
      <c r="G24" s="279" t="s">
        <v>109</v>
      </c>
    </row>
    <row r="25" spans="1:7" s="253" customFormat="1" ht="26">
      <c r="A25" s="946" t="s">
        <v>793</v>
      </c>
      <c r="B25" s="254" t="s">
        <v>1054</v>
      </c>
      <c r="C25" s="1350">
        <f ca="1">ROUND(IF('数据-取费表'!B22&lt;=1,C20*F22*'数据-取费表'!B23/2,C20*(POWER((1+F22),'数据-取费表'!B23/2)-1)),0)</f>
        <v>6</v>
      </c>
      <c r="D25" s="277"/>
      <c r="E25" s="280"/>
      <c r="F25" s="278"/>
      <c r="G25" s="281" t="s">
        <v>110</v>
      </c>
    </row>
    <row r="26" spans="1:7" s="253" customFormat="1" ht="13">
      <c r="A26" s="946" t="s">
        <v>795</v>
      </c>
      <c r="B26" s="254" t="s">
        <v>1056</v>
      </c>
      <c r="C26" s="277">
        <f ca="1">ROUND(IF('数据-取费表'!B22&lt;=1,F21*F22*'数据-取费表'!B23/2,F21*(POWER((1+F22),'数据-取费表'!B23/2)-1)),4)</f>
        <v>2.9999999999999997E-4</v>
      </c>
      <c r="D26" s="277"/>
      <c r="E26" s="280"/>
      <c r="F26" s="278"/>
      <c r="G26" s="282"/>
    </row>
    <row r="27" spans="1:7" s="253" customFormat="1" ht="27">
      <c r="A27" s="943" t="s">
        <v>787</v>
      </c>
      <c r="B27" s="283" t="s">
        <v>112</v>
      </c>
      <c r="C27" s="284">
        <f>C28</f>
        <v>657</v>
      </c>
      <c r="D27" s="274">
        <f>C29</f>
        <v>5.0000000000000001E-4</v>
      </c>
      <c r="E27" s="275" t="s">
        <v>126</v>
      </c>
      <c r="F27" s="285">
        <f>'数据-取费表'!Q16</f>
        <v>0.12</v>
      </c>
      <c r="G27" s="286" t="s">
        <v>1065</v>
      </c>
    </row>
    <row r="28" spans="1:7" s="253" customFormat="1" ht="13.5" customHeight="1">
      <c r="A28" s="946" t="s">
        <v>794</v>
      </c>
      <c r="B28" s="287" t="s">
        <v>1058</v>
      </c>
      <c r="C28" s="288">
        <f>ROUND((C5+C19+C20)*F27*'数据-取费表'!B21/'数据-取费表'!B20,0)</f>
        <v>657</v>
      </c>
      <c r="D28" s="274"/>
      <c r="E28" s="275"/>
      <c r="F28" s="285"/>
      <c r="G28" s="286"/>
    </row>
    <row r="29" spans="1:7" s="253" customFormat="1" ht="13.5" customHeight="1">
      <c r="A29" s="946" t="s">
        <v>792</v>
      </c>
      <c r="B29" s="287" t="s">
        <v>1059</v>
      </c>
      <c r="C29" s="277">
        <f>ROUND(C21*F27*'数据-取费表'!B21/'数据-取费表'!B20,4)</f>
        <v>5.0000000000000001E-4</v>
      </c>
      <c r="D29" s="274"/>
      <c r="E29" s="275"/>
      <c r="F29" s="285"/>
      <c r="G29" s="286"/>
    </row>
    <row r="30" spans="1:7" s="253" customFormat="1" ht="13.5" customHeight="1">
      <c r="A30" s="943"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28750</v>
      </c>
      <c r="D31" s="269"/>
      <c r="E31" s="250"/>
      <c r="F31" s="289"/>
      <c r="G31" s="273" t="s">
        <v>1066</v>
      </c>
    </row>
    <row r="32" spans="1:7" s="247" customFormat="1" ht="16">
      <c r="A32" s="291" t="s">
        <v>114</v>
      </c>
      <c r="B32" s="292"/>
      <c r="C32" s="292"/>
      <c r="D32" s="292"/>
      <c r="E32" s="292"/>
      <c r="F32" s="292"/>
      <c r="G32" s="293"/>
    </row>
    <row r="33" spans="1:7" s="253" customFormat="1" ht="13.5" customHeight="1">
      <c r="A33" s="294" t="s">
        <v>782</v>
      </c>
      <c r="B33" s="249" t="s">
        <v>115</v>
      </c>
      <c r="C33" s="295">
        <f>SUM(C34:C38)</f>
        <v>12773</v>
      </c>
      <c r="D33" s="271"/>
      <c r="E33" s="251"/>
      <c r="F33" s="280"/>
      <c r="G33" s="273"/>
    </row>
    <row r="34" spans="1:7" s="297" customFormat="1" ht="13.5" customHeight="1">
      <c r="A34" s="946" t="s">
        <v>794</v>
      </c>
      <c r="B34" s="254" t="s">
        <v>59</v>
      </c>
      <c r="C34" s="259">
        <f>IF(F34=100%,'数据-取费表'!M16-SUMIF('数据-取费表'!C:C,"公共配套",'数据-取费表'!M:M),'数据-取费表'!O16-SUMIF('数据-取费表'!C:C,"公共配套",'数据-取费表'!O:O))</f>
        <v>11065</v>
      </c>
      <c r="D34" s="256"/>
      <c r="E34" s="259"/>
      <c r="F34" s="296">
        <f>IF('数据-取费表'!B24=0,1,'数据-取费表'!N16)</f>
        <v>0.217</v>
      </c>
      <c r="G34" s="258" t="s">
        <v>116</v>
      </c>
    </row>
    <row r="35" spans="1:7" ht="13.5" customHeight="1">
      <c r="A35" s="946" t="s">
        <v>796</v>
      </c>
      <c r="B35" s="254" t="s">
        <v>60</v>
      </c>
      <c r="C35" s="259">
        <f>ROUND(C34*F35,0)</f>
        <v>332</v>
      </c>
      <c r="D35" s="259"/>
      <c r="E35" s="259"/>
      <c r="F35" s="298">
        <f>'数据-取费表'!B33</f>
        <v>0.03</v>
      </c>
      <c r="G35" s="258" t="s">
        <v>117</v>
      </c>
    </row>
    <row r="36" spans="1:7" ht="26">
      <c r="A36" s="946"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289</v>
      </c>
      <c r="D36" s="259"/>
      <c r="E36" s="259"/>
      <c r="F36" s="298">
        <f>'数据-取费表'!B34</f>
        <v>0.03</v>
      </c>
      <c r="G36" s="299" t="s">
        <v>62</v>
      </c>
    </row>
    <row r="37" spans="1:7" s="297" customFormat="1" ht="13.5" customHeight="1">
      <c r="A37" s="946" t="s">
        <v>798</v>
      </c>
      <c r="B37" s="254" t="s">
        <v>118</v>
      </c>
      <c r="C37" s="288">
        <f>ROUND(E37*D37*F34/10000,0)</f>
        <v>921</v>
      </c>
      <c r="D37" s="256">
        <f>'数据-汇总表'!E3</f>
        <v>212264.80000000002</v>
      </c>
      <c r="E37" s="288">
        <f>'数据-取费表'!B35</f>
        <v>200</v>
      </c>
      <c r="F37" s="298"/>
      <c r="G37" s="300" t="s">
        <v>119</v>
      </c>
    </row>
    <row r="38" spans="1:7" ht="13.5" customHeight="1">
      <c r="A38" s="946" t="s">
        <v>799</v>
      </c>
      <c r="B38" s="254" t="s">
        <v>63</v>
      </c>
      <c r="C38" s="259">
        <f>ROUND(C34*F38,0)</f>
        <v>166</v>
      </c>
      <c r="D38" s="259"/>
      <c r="E38" s="259"/>
      <c r="F38" s="298">
        <f>'数据-取费表'!B36</f>
        <v>1.4999999999999999E-2</v>
      </c>
      <c r="G38" s="258" t="s">
        <v>117</v>
      </c>
    </row>
    <row r="39" spans="1:7" s="253" customFormat="1" ht="13.5" customHeight="1">
      <c r="A39" s="943" t="s">
        <v>783</v>
      </c>
      <c r="B39" s="249" t="s">
        <v>104</v>
      </c>
      <c r="C39" s="271">
        <f>ROUND(C33*F20,0)</f>
        <v>255</v>
      </c>
      <c r="D39" s="271"/>
      <c r="E39" s="271"/>
      <c r="F39" s="272"/>
      <c r="G39" s="1284" t="s">
        <v>1067</v>
      </c>
    </row>
    <row r="40" spans="1:7" s="253" customFormat="1" ht="13.5" customHeight="1">
      <c r="A40" s="943" t="s">
        <v>784</v>
      </c>
      <c r="B40" s="249" t="s">
        <v>105</v>
      </c>
      <c r="C40" s="301">
        <f>F21</f>
        <v>0.02</v>
      </c>
      <c r="D40" s="275" t="s">
        <v>129</v>
      </c>
      <c r="E40" s="271"/>
      <c r="F40" s="272"/>
      <c r="G40" s="273" t="s">
        <v>120</v>
      </c>
    </row>
    <row r="41" spans="1:7" s="253" customFormat="1" ht="13.5" customHeight="1">
      <c r="A41" s="943" t="s">
        <v>785</v>
      </c>
      <c r="B41" s="249" t="s">
        <v>107</v>
      </c>
      <c r="C41" s="271">
        <f ca="1">ROUND(SUM(C42:C43),0)</f>
        <v>164</v>
      </c>
      <c r="D41" s="274">
        <f ca="1">C44</f>
        <v>2.9999999999999997E-4</v>
      </c>
      <c r="E41" s="275" t="s">
        <v>129</v>
      </c>
      <c r="F41" s="276"/>
      <c r="G41" s="1284" t="str">
        <f>IF('数据-取费表'!B22&lt;=1,"单利计息","复利计息")</f>
        <v>复利计息</v>
      </c>
    </row>
    <row r="42" spans="1:7" ht="13.5" customHeight="1">
      <c r="A42" s="946" t="s">
        <v>794</v>
      </c>
      <c r="B42" s="254" t="s">
        <v>1057</v>
      </c>
      <c r="C42" s="277">
        <f ca="1">ROUND(IF('数据-取费表'!B22&lt;=1,C33*F22*'数据-取费表'!B21/2,C33*(POWER((1+F22),'数据-取费表'!B21/2)-1)),0)</f>
        <v>161</v>
      </c>
      <c r="D42" s="277"/>
      <c r="E42" s="277"/>
      <c r="F42" s="278"/>
      <c r="G42" s="3227" t="s">
        <v>121</v>
      </c>
    </row>
    <row r="43" spans="1:7" ht="13.5" customHeight="1">
      <c r="A43" s="946" t="s">
        <v>792</v>
      </c>
      <c r="B43" s="254" t="s">
        <v>1060</v>
      </c>
      <c r="C43" s="277">
        <f ca="1">ROUND(IF('数据-取费表'!B22&lt;=1,C39*F22*'数据-取费表'!B21/2,C39*(POWER((1+F22),'数据-取费表'!B21/2)-1)),0)</f>
        <v>3</v>
      </c>
      <c r="D43" s="277"/>
      <c r="E43" s="277"/>
      <c r="F43" s="278"/>
      <c r="G43" s="3228"/>
    </row>
    <row r="44" spans="1:7" ht="13.5" customHeight="1">
      <c r="A44" s="946" t="s">
        <v>793</v>
      </c>
      <c r="B44" s="254" t="s">
        <v>1062</v>
      </c>
      <c r="C44" s="277">
        <f ca="1">ROUND(IF('数据-取费表'!B22&lt;=1,C40*F22*'数据-取费表'!B21/2,C40*(POWER((1+F22),'数据-取费表'!B21/2)-1)),4)</f>
        <v>2.9999999999999997E-4</v>
      </c>
      <c r="D44" s="277"/>
      <c r="E44" s="277"/>
      <c r="F44" s="278"/>
      <c r="G44" s="3229"/>
    </row>
    <row r="45" spans="1:7" s="253" customFormat="1" ht="13.5" customHeight="1">
      <c r="A45" s="943" t="s">
        <v>786</v>
      </c>
      <c r="B45" s="283" t="s">
        <v>112</v>
      </c>
      <c r="C45" s="284">
        <f>C46</f>
        <v>1563</v>
      </c>
      <c r="D45" s="274">
        <f>C47</f>
        <v>2.3999999999999998E-3</v>
      </c>
      <c r="E45" s="275" t="s">
        <v>129</v>
      </c>
      <c r="F45" s="285"/>
      <c r="G45" s="286" t="s">
        <v>1068</v>
      </c>
    </row>
    <row r="46" spans="1:7" s="253" customFormat="1" ht="13.5" customHeight="1">
      <c r="A46" s="946" t="s">
        <v>794</v>
      </c>
      <c r="B46" s="287" t="s">
        <v>1061</v>
      </c>
      <c r="C46" s="288">
        <f>ROUND((C33+C39)*F27,0)</f>
        <v>1563</v>
      </c>
      <c r="D46" s="302"/>
      <c r="E46" s="275"/>
      <c r="F46" s="285"/>
      <c r="G46" s="286"/>
    </row>
    <row r="47" spans="1:7" s="253" customFormat="1" ht="13.5" customHeight="1">
      <c r="A47" s="946" t="s">
        <v>792</v>
      </c>
      <c r="B47" s="287" t="s">
        <v>1063</v>
      </c>
      <c r="C47" s="277">
        <f>ROUND(C40*F27,4)</f>
        <v>2.3999999999999998E-3</v>
      </c>
      <c r="D47" s="302"/>
      <c r="E47" s="275"/>
      <c r="F47" s="285"/>
      <c r="G47" s="286"/>
    </row>
    <row r="48" spans="1:7" s="253" customFormat="1" ht="13.5" customHeight="1">
      <c r="A48" s="943" t="s">
        <v>787</v>
      </c>
      <c r="B48" s="249" t="s">
        <v>122</v>
      </c>
      <c r="C48" s="301">
        <f>F30</f>
        <v>5.5000000000000007E-2</v>
      </c>
      <c r="D48" s="275" t="s">
        <v>130</v>
      </c>
      <c r="E48" s="271"/>
      <c r="F48" s="276"/>
      <c r="G48" s="273" t="s">
        <v>123</v>
      </c>
    </row>
    <row r="49" spans="1:7" ht="16.5" customHeight="1">
      <c r="A49" s="943" t="s">
        <v>788</v>
      </c>
      <c r="B49" s="249" t="s">
        <v>131</v>
      </c>
      <c r="C49" s="271">
        <f ca="1">ROUND((C33+C39+C41+C45)/(1-C40-D41-D45-C48/(1+'数据-取费表'!B42)),0)</f>
        <v>15953</v>
      </c>
      <c r="D49" s="271"/>
      <c r="E49" s="271"/>
      <c r="F49" s="303"/>
      <c r="G49" s="273" t="s">
        <v>1069</v>
      </c>
    </row>
    <row r="50" spans="1:7" s="297" customFormat="1" ht="26">
      <c r="A50" s="943" t="s">
        <v>789</v>
      </c>
      <c r="B50" s="249" t="s">
        <v>124</v>
      </c>
      <c r="C50" s="271"/>
      <c r="D50" s="271"/>
      <c r="E50" s="271"/>
      <c r="F50" s="303">
        <f>IF('数据-取费表'!B24=0,'数据-取费表'!N16,1)</f>
        <v>1</v>
      </c>
      <c r="G50" s="286" t="s">
        <v>125</v>
      </c>
    </row>
    <row r="51" spans="1:7" ht="16.5" customHeight="1">
      <c r="A51" s="943" t="s">
        <v>790</v>
      </c>
      <c r="B51" s="249" t="s">
        <v>132</v>
      </c>
      <c r="C51" s="271">
        <f ca="1">ROUND(C49*F50,0)</f>
        <v>15953</v>
      </c>
      <c r="D51" s="271"/>
      <c r="E51" s="271"/>
      <c r="F51" s="303"/>
      <c r="G51" s="273" t="s">
        <v>64</v>
      </c>
    </row>
    <row r="52" spans="1:7" s="247" customFormat="1" ht="16.5" thickBot="1">
      <c r="A52" s="304" t="s">
        <v>65</v>
      </c>
      <c r="B52" s="305"/>
      <c r="C52" s="306">
        <f ca="1">C31+C51</f>
        <v>44703</v>
      </c>
      <c r="D52" s="305"/>
      <c r="E52" s="305"/>
      <c r="F52" s="305"/>
      <c r="G52" s="307"/>
    </row>
    <row r="55" spans="1:7" ht="15.5">
      <c r="B55" s="309" t="s">
        <v>66</v>
      </c>
      <c r="C55" s="310"/>
    </row>
    <row r="56" spans="1:7" ht="13">
      <c r="B56" s="312" t="s">
        <v>67</v>
      </c>
      <c r="C56" s="313">
        <f ca="1">ROUND(C51/C52,3)</f>
        <v>0.35699999999999998</v>
      </c>
    </row>
    <row r="57" spans="1:7" ht="13">
      <c r="B57" s="312" t="s">
        <v>68</v>
      </c>
      <c r="C57" s="314">
        <f ca="1">1-C56</f>
        <v>0.64300000000000002</v>
      </c>
    </row>
  </sheetData>
  <mergeCells count="1">
    <mergeCell ref="G42:G44"/>
  </mergeCells>
  <phoneticPr fontId="19"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4"/>
  <cols>
    <col min="1" max="1" width="12.6328125" style="850" customWidth="1"/>
    <col min="2" max="5" width="10.08984375" style="808" customWidth="1"/>
    <col min="6" max="6" width="9" style="808"/>
    <col min="7" max="8" width="9" style="823"/>
    <col min="9" max="16384" width="9" style="808"/>
  </cols>
  <sheetData>
    <row r="1" spans="1:19">
      <c r="A1" s="3368" t="s">
        <v>156</v>
      </c>
      <c r="B1" s="3368"/>
      <c r="C1" s="3368"/>
      <c r="D1" s="3368"/>
      <c r="E1" s="3368"/>
      <c r="F1" s="3368"/>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5" thickBot="1">
      <c r="A2" s="3369" t="s">
        <v>169</v>
      </c>
      <c r="B2" s="3369"/>
      <c r="C2" s="3369"/>
      <c r="D2" s="3369"/>
      <c r="E2" s="3369"/>
      <c r="F2" s="3369"/>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70"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71"/>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4"/>
  <cols>
    <col min="1" max="1" width="12.6328125" style="850" customWidth="1"/>
    <col min="2" max="2" width="10.08984375" style="808" customWidth="1"/>
  </cols>
  <sheetData>
    <row r="1" spans="1:6">
      <c r="A1" s="3368" t="s">
        <v>867</v>
      </c>
      <c r="B1" s="3368"/>
    </row>
    <row r="2" spans="1:6" ht="14.5" thickBot="1">
      <c r="A2" s="1052"/>
      <c r="B2" s="1052"/>
    </row>
    <row r="3" spans="1:6" ht="14.5" thickBot="1">
      <c r="A3" s="1052"/>
      <c r="B3" s="1052"/>
      <c r="C3" s="1056" t="s">
        <v>870</v>
      </c>
      <c r="D3" s="1056" t="s">
        <v>871</v>
      </c>
      <c r="E3" s="1056" t="s">
        <v>872</v>
      </c>
      <c r="F3" s="1056" t="s">
        <v>873</v>
      </c>
    </row>
    <row r="4" spans="1:6" ht="14.5" thickBot="1">
      <c r="A4" s="1054" t="s">
        <v>868</v>
      </c>
      <c r="B4" s="1055" t="s">
        <v>869</v>
      </c>
      <c r="C4" s="1056"/>
      <c r="D4" s="1056"/>
      <c r="E4" s="1056"/>
      <c r="F4" s="1056"/>
    </row>
    <row r="5" spans="1:6" ht="14.5" thickBot="1">
      <c r="A5" s="835" t="s">
        <v>874</v>
      </c>
      <c r="B5" s="836" t="s">
        <v>875</v>
      </c>
      <c r="C5" s="1057">
        <v>8.8999999999999996E-2</v>
      </c>
      <c r="D5" s="1057">
        <v>7.3999999999999996E-2</v>
      </c>
      <c r="E5" s="1057">
        <v>7.4999999999999997E-2</v>
      </c>
      <c r="F5" s="1058">
        <v>0.1</v>
      </c>
    </row>
    <row r="6" spans="1:6" ht="14.5" thickBot="1">
      <c r="A6" s="835" t="s">
        <v>212</v>
      </c>
      <c r="B6" s="829" t="s">
        <v>876</v>
      </c>
      <c r="C6" s="1059">
        <v>0.1</v>
      </c>
      <c r="D6" s="1059">
        <v>9.0999999999999998E-2</v>
      </c>
      <c r="E6" s="1059">
        <v>9.0999999999999998E-2</v>
      </c>
      <c r="F6" s="1060">
        <v>0.1</v>
      </c>
    </row>
    <row r="7" spans="1:6" ht="14.5" thickBot="1">
      <c r="A7" s="835" t="s">
        <v>212</v>
      </c>
      <c r="B7" s="839" t="s">
        <v>201</v>
      </c>
      <c r="C7" s="1059">
        <v>8.5999999999999993E-2</v>
      </c>
      <c r="D7" s="1059">
        <v>9.6000000000000002E-2</v>
      </c>
      <c r="E7" s="1059">
        <v>7.5999999999999998E-2</v>
      </c>
      <c r="F7" s="1060">
        <v>0.1</v>
      </c>
    </row>
    <row r="8" spans="1:6" ht="14.5" thickBot="1">
      <c r="A8" s="835" t="s">
        <v>212</v>
      </c>
      <c r="B8" s="829" t="s">
        <v>213</v>
      </c>
      <c r="C8" s="1059">
        <v>9.9000000000000005E-2</v>
      </c>
      <c r="D8" s="1059">
        <v>9.8000000000000004E-2</v>
      </c>
      <c r="E8" s="1059">
        <v>9.8000000000000004E-2</v>
      </c>
      <c r="F8" s="1060">
        <v>0.1</v>
      </c>
    </row>
    <row r="9" spans="1:6" ht="14.5" thickBot="1">
      <c r="A9" s="845" t="s">
        <v>212</v>
      </c>
      <c r="B9" s="840" t="s">
        <v>225</v>
      </c>
      <c r="C9" s="1061">
        <v>0.05</v>
      </c>
      <c r="D9" s="1069"/>
      <c r="E9" s="1069"/>
      <c r="F9" s="1070"/>
    </row>
    <row r="10" spans="1:6" ht="14.5" thickBot="1">
      <c r="A10" s="835" t="s">
        <v>269</v>
      </c>
      <c r="B10" s="836" t="s">
        <v>877</v>
      </c>
      <c r="C10" s="1057">
        <v>8.8999999999999996E-2</v>
      </c>
      <c r="D10" s="1057">
        <v>7.2999999999999995E-2</v>
      </c>
      <c r="E10" s="1057">
        <v>8.2000000000000003E-2</v>
      </c>
      <c r="F10" s="1058">
        <v>0.1</v>
      </c>
    </row>
    <row r="11" spans="1:6" ht="14.5" thickBot="1">
      <c r="A11" s="835" t="s">
        <v>269</v>
      </c>
      <c r="B11" s="839" t="s">
        <v>188</v>
      </c>
      <c r="C11" s="1059">
        <v>8.8999999999999996E-2</v>
      </c>
      <c r="D11" s="1059">
        <v>7.2999999999999995E-2</v>
      </c>
      <c r="E11" s="1059">
        <v>8.2000000000000003E-2</v>
      </c>
      <c r="F11" s="1060">
        <v>0.1</v>
      </c>
    </row>
    <row r="12" spans="1:6" ht="14.5" thickBot="1">
      <c r="A12" s="835" t="s">
        <v>269</v>
      </c>
      <c r="B12" s="839" t="s">
        <v>138</v>
      </c>
      <c r="C12" s="1059">
        <v>6.0999999999999999E-2</v>
      </c>
      <c r="D12" s="1059">
        <v>7.0999999999999994E-2</v>
      </c>
      <c r="E12" s="1059">
        <v>9.6000000000000002E-2</v>
      </c>
      <c r="F12" s="1060">
        <v>0.1</v>
      </c>
    </row>
    <row r="13" spans="1:6" ht="14.5" thickBot="1">
      <c r="A13" s="835" t="s">
        <v>269</v>
      </c>
      <c r="B13" s="839" t="s">
        <v>214</v>
      </c>
      <c r="C13" s="1059">
        <v>6.9000000000000006E-2</v>
      </c>
      <c r="D13" s="1059">
        <v>6.5000000000000002E-2</v>
      </c>
      <c r="E13" s="1059">
        <v>6.6000000000000003E-2</v>
      </c>
      <c r="F13" s="1060">
        <v>0.1</v>
      </c>
    </row>
    <row r="14" spans="1:6" ht="14.5" thickBot="1">
      <c r="A14" s="835" t="s">
        <v>269</v>
      </c>
      <c r="B14" s="839" t="s">
        <v>226</v>
      </c>
      <c r="C14" s="1059">
        <v>0.1</v>
      </c>
      <c r="D14" s="1059">
        <v>6.5000000000000002E-2</v>
      </c>
      <c r="E14" s="1059">
        <v>7.0000000000000007E-2</v>
      </c>
      <c r="F14" s="1060">
        <v>0.1</v>
      </c>
    </row>
    <row r="15" spans="1:6" ht="14.5" thickBot="1">
      <c r="A15" s="835" t="s">
        <v>269</v>
      </c>
      <c r="B15" s="839" t="s">
        <v>237</v>
      </c>
      <c r="C15" s="1059">
        <v>9.8000000000000004E-2</v>
      </c>
      <c r="D15" s="1059">
        <v>8.8999999999999996E-2</v>
      </c>
      <c r="E15" s="1059">
        <v>8.8999999999999996E-2</v>
      </c>
      <c r="F15" s="1060">
        <v>0.1</v>
      </c>
    </row>
    <row r="16" spans="1:6" ht="14.5" thickBot="1">
      <c r="A16" s="835" t="s">
        <v>269</v>
      </c>
      <c r="B16" s="839" t="s">
        <v>248</v>
      </c>
      <c r="C16" s="1059">
        <v>7.0000000000000007E-2</v>
      </c>
      <c r="D16" s="1059">
        <v>9.2999999999999999E-2</v>
      </c>
      <c r="E16" s="1059">
        <v>9.6000000000000002E-2</v>
      </c>
      <c r="F16" s="1060">
        <v>0.1</v>
      </c>
    </row>
    <row r="17" spans="1:6" ht="14.5" thickBot="1">
      <c r="A17" s="835" t="s">
        <v>269</v>
      </c>
      <c r="B17" s="839" t="s">
        <v>259</v>
      </c>
      <c r="C17" s="1059">
        <v>9.5000000000000001E-2</v>
      </c>
      <c r="D17" s="1059">
        <v>0.1</v>
      </c>
      <c r="E17" s="1059">
        <v>0.1</v>
      </c>
      <c r="F17" s="1071"/>
    </row>
    <row r="18" spans="1:6" ht="14.5" thickBot="1">
      <c r="A18" s="835" t="s">
        <v>269</v>
      </c>
      <c r="B18" s="839" t="s">
        <v>271</v>
      </c>
      <c r="C18" s="1059">
        <v>7.3999999999999996E-2</v>
      </c>
      <c r="D18" s="1059">
        <v>9.9000000000000005E-2</v>
      </c>
      <c r="E18" s="1059">
        <v>0.1</v>
      </c>
      <c r="F18" s="1071"/>
    </row>
    <row r="19" spans="1:6" ht="14.5" thickBot="1">
      <c r="A19" s="835" t="s">
        <v>269</v>
      </c>
      <c r="B19" s="839" t="s">
        <v>281</v>
      </c>
      <c r="C19" s="1059">
        <v>9.9000000000000005E-2</v>
      </c>
      <c r="D19" s="1059">
        <v>7.5999999999999998E-2</v>
      </c>
      <c r="E19" s="1059">
        <v>8.6999999999999994E-2</v>
      </c>
      <c r="F19" s="1071"/>
    </row>
    <row r="20" spans="1:6" ht="14.5" thickBot="1">
      <c r="A20" s="835" t="s">
        <v>269</v>
      </c>
      <c r="B20" s="839" t="s">
        <v>291</v>
      </c>
      <c r="C20" s="1059">
        <v>9.8000000000000004E-2</v>
      </c>
      <c r="D20" s="1059">
        <v>8.5000000000000006E-2</v>
      </c>
      <c r="E20" s="1059">
        <v>8.2000000000000003E-2</v>
      </c>
      <c r="F20" s="1071"/>
    </row>
    <row r="21" spans="1:6" ht="14.5" thickBot="1">
      <c r="A21" s="835" t="s">
        <v>269</v>
      </c>
      <c r="B21" s="839" t="s">
        <v>301</v>
      </c>
      <c r="C21" s="1059">
        <v>6.6000000000000003E-2</v>
      </c>
      <c r="D21" s="1059">
        <v>6.4000000000000001E-2</v>
      </c>
      <c r="E21" s="1059">
        <v>6.5000000000000002E-2</v>
      </c>
      <c r="F21" s="1071"/>
    </row>
    <row r="22" spans="1:6" ht="14.5" thickBot="1">
      <c r="A22" s="835" t="s">
        <v>269</v>
      </c>
      <c r="B22" s="839" t="s">
        <v>878</v>
      </c>
      <c r="C22" s="1059">
        <v>0.08</v>
      </c>
      <c r="D22" s="1059">
        <v>9.8000000000000004E-2</v>
      </c>
      <c r="E22" s="1059">
        <v>9.8000000000000004E-2</v>
      </c>
      <c r="F22" s="1071"/>
    </row>
    <row r="23" spans="1:6" ht="14.5" thickBot="1">
      <c r="A23" s="835" t="s">
        <v>269</v>
      </c>
      <c r="B23" s="839" t="s">
        <v>322</v>
      </c>
      <c r="C23" s="1059">
        <v>9.9000000000000005E-2</v>
      </c>
      <c r="D23" s="1059">
        <v>9.8000000000000004E-2</v>
      </c>
      <c r="E23" s="1059">
        <v>9.0999999999999998E-2</v>
      </c>
      <c r="F23" s="1071"/>
    </row>
    <row r="24" spans="1:6" ht="14.5" thickBot="1">
      <c r="A24" s="835" t="s">
        <v>269</v>
      </c>
      <c r="B24" s="839" t="s">
        <v>333</v>
      </c>
      <c r="C24" s="1059">
        <v>8.8999999999999996E-2</v>
      </c>
      <c r="D24" s="1059">
        <v>9.7000000000000003E-2</v>
      </c>
      <c r="E24" s="1059">
        <v>7.0000000000000007E-2</v>
      </c>
      <c r="F24" s="1071"/>
    </row>
    <row r="25" spans="1:6" ht="14.5" thickBot="1">
      <c r="A25" s="835" t="s">
        <v>269</v>
      </c>
      <c r="B25" s="839" t="s">
        <v>343</v>
      </c>
      <c r="C25" s="1059">
        <v>8.8999999999999996E-2</v>
      </c>
      <c r="D25" s="1059">
        <v>0.1</v>
      </c>
      <c r="E25" s="1059">
        <v>8.1000000000000003E-2</v>
      </c>
      <c r="F25" s="1071"/>
    </row>
    <row r="26" spans="1:6" ht="14.5" thickBot="1">
      <c r="A26" s="835" t="s">
        <v>269</v>
      </c>
      <c r="B26" s="839" t="s">
        <v>353</v>
      </c>
      <c r="C26" s="1072"/>
      <c r="D26" s="1059">
        <v>9.6000000000000002E-2</v>
      </c>
      <c r="E26" s="1059">
        <v>9.2999999999999999E-2</v>
      </c>
      <c r="F26" s="1071"/>
    </row>
    <row r="27" spans="1:6" ht="14.5" thickBot="1">
      <c r="A27" s="835" t="s">
        <v>269</v>
      </c>
      <c r="B27" s="839" t="s">
        <v>363</v>
      </c>
      <c r="C27" s="1072"/>
      <c r="D27" s="1059">
        <v>7.5999999999999998E-2</v>
      </c>
      <c r="E27" s="1059">
        <v>9.1999999999999998E-2</v>
      </c>
      <c r="F27" s="1071"/>
    </row>
    <row r="28" spans="1:6" ht="14.5" thickBot="1">
      <c r="A28" s="845" t="s">
        <v>269</v>
      </c>
      <c r="B28" s="840" t="s">
        <v>373</v>
      </c>
      <c r="C28" s="1069"/>
      <c r="D28" s="1061">
        <v>7.5999999999999998E-2</v>
      </c>
      <c r="E28" s="1061">
        <v>9.1999999999999998E-2</v>
      </c>
      <c r="F28" s="1070"/>
    </row>
    <row r="29" spans="1:6" ht="14.5" thickBot="1">
      <c r="A29" s="835" t="s">
        <v>442</v>
      </c>
      <c r="B29" s="836" t="s">
        <v>879</v>
      </c>
      <c r="C29" s="1057">
        <v>6.4000000000000001E-2</v>
      </c>
      <c r="D29" s="1057">
        <v>6.5000000000000002E-2</v>
      </c>
      <c r="E29" s="1057">
        <v>6.9000000000000006E-2</v>
      </c>
      <c r="F29" s="1058">
        <v>0.1</v>
      </c>
    </row>
    <row r="30" spans="1:6" ht="14.5" thickBot="1">
      <c r="A30" s="835" t="s">
        <v>442</v>
      </c>
      <c r="B30" s="839" t="s">
        <v>189</v>
      </c>
      <c r="C30" s="1059">
        <v>6.4000000000000001E-2</v>
      </c>
      <c r="D30" s="1059">
        <v>9.9000000000000005E-2</v>
      </c>
      <c r="E30" s="1059">
        <v>0.1</v>
      </c>
      <c r="F30" s="1060">
        <v>0.1</v>
      </c>
    </row>
    <row r="31" spans="1:6" ht="14.5" thickBot="1">
      <c r="A31" s="835" t="s">
        <v>442</v>
      </c>
      <c r="B31" s="839" t="s">
        <v>202</v>
      </c>
      <c r="C31" s="1059">
        <v>0.1</v>
      </c>
      <c r="D31" s="1059">
        <v>9.5000000000000001E-2</v>
      </c>
      <c r="E31" s="1059">
        <v>8.8999999999999996E-2</v>
      </c>
      <c r="F31" s="1060">
        <v>0.1</v>
      </c>
    </row>
    <row r="32" spans="1:6" ht="14.5" thickBot="1">
      <c r="A32" s="835" t="s">
        <v>442</v>
      </c>
      <c r="B32" s="839" t="s">
        <v>215</v>
      </c>
      <c r="C32" s="1059">
        <v>0.05</v>
      </c>
      <c r="D32" s="1059">
        <v>0.05</v>
      </c>
      <c r="E32" s="1059">
        <v>8.7999999999999995E-2</v>
      </c>
      <c r="F32" s="1060">
        <v>0.1</v>
      </c>
    </row>
    <row r="33" spans="1:6" ht="14.5" thickBot="1">
      <c r="A33" s="835" t="s">
        <v>442</v>
      </c>
      <c r="B33" s="839" t="s">
        <v>227</v>
      </c>
      <c r="C33" s="1059">
        <v>7.4999999999999997E-2</v>
      </c>
      <c r="D33" s="1059">
        <v>9.4E-2</v>
      </c>
      <c r="E33" s="1059">
        <v>9.7000000000000003E-2</v>
      </c>
      <c r="F33" s="1060">
        <v>0.1</v>
      </c>
    </row>
    <row r="34" spans="1:6" ht="14.5" thickBot="1">
      <c r="A34" s="835" t="s">
        <v>442</v>
      </c>
      <c r="B34" s="839" t="s">
        <v>238</v>
      </c>
      <c r="C34" s="1059">
        <v>9.8000000000000004E-2</v>
      </c>
      <c r="D34" s="1059">
        <v>8.5999999999999993E-2</v>
      </c>
      <c r="E34" s="1059">
        <v>9.7000000000000003E-2</v>
      </c>
      <c r="F34" s="1060">
        <v>0.1</v>
      </c>
    </row>
    <row r="35" spans="1:6" ht="14.5" thickBot="1">
      <c r="A35" s="835" t="s">
        <v>442</v>
      </c>
      <c r="B35" s="839" t="s">
        <v>249</v>
      </c>
      <c r="C35" s="1059">
        <v>5.8999999999999997E-2</v>
      </c>
      <c r="D35" s="1059">
        <v>6.5000000000000002E-2</v>
      </c>
      <c r="E35" s="1059">
        <v>7.0000000000000007E-2</v>
      </c>
      <c r="F35" s="1060">
        <v>0.1</v>
      </c>
    </row>
    <row r="36" spans="1:6" ht="14.5" thickBot="1">
      <c r="A36" s="835" t="s">
        <v>442</v>
      </c>
      <c r="B36" s="839" t="s">
        <v>260</v>
      </c>
      <c r="C36" s="1059">
        <v>6.3E-2</v>
      </c>
      <c r="D36" s="1059">
        <v>0.1</v>
      </c>
      <c r="E36" s="1059">
        <v>0.1</v>
      </c>
      <c r="F36" s="1060">
        <v>0.1</v>
      </c>
    </row>
    <row r="37" spans="1:6" ht="14.5" thickBot="1">
      <c r="A37" s="835" t="s">
        <v>442</v>
      </c>
      <c r="B37" s="839" t="s">
        <v>272</v>
      </c>
      <c r="C37" s="1059">
        <v>7.3999999999999996E-2</v>
      </c>
      <c r="D37" s="1059">
        <v>0.1</v>
      </c>
      <c r="E37" s="1059">
        <v>0.1</v>
      </c>
      <c r="F37" s="1060">
        <v>0.1</v>
      </c>
    </row>
    <row r="38" spans="1:6" ht="14.5" thickBot="1">
      <c r="A38" s="835" t="s">
        <v>442</v>
      </c>
      <c r="B38" s="839" t="s">
        <v>282</v>
      </c>
      <c r="C38" s="1059">
        <v>0.1</v>
      </c>
      <c r="D38" s="1059">
        <v>9.6000000000000002E-2</v>
      </c>
      <c r="E38" s="1059">
        <v>9.6000000000000002E-2</v>
      </c>
      <c r="F38" s="1071"/>
    </row>
    <row r="39" spans="1:6" ht="14.5" thickBot="1">
      <c r="A39" s="835" t="s">
        <v>442</v>
      </c>
      <c r="B39" s="839" t="s">
        <v>292</v>
      </c>
      <c r="C39" s="1059">
        <v>0.1</v>
      </c>
      <c r="D39" s="1059">
        <v>9.6000000000000002E-2</v>
      </c>
      <c r="E39" s="1059">
        <v>9.6000000000000002E-2</v>
      </c>
      <c r="F39" s="1071"/>
    </row>
    <row r="40" spans="1:6" ht="14.5" thickBot="1">
      <c r="A40" s="835" t="s">
        <v>442</v>
      </c>
      <c r="B40" s="839" t="s">
        <v>302</v>
      </c>
      <c r="C40" s="1059">
        <v>9.6000000000000002E-2</v>
      </c>
      <c r="D40" s="1059">
        <v>0.1</v>
      </c>
      <c r="E40" s="1059">
        <v>9.9000000000000005E-2</v>
      </c>
      <c r="F40" s="1071"/>
    </row>
    <row r="41" spans="1:6" ht="14.5" thickBot="1">
      <c r="A41" s="835" t="s">
        <v>442</v>
      </c>
      <c r="B41" s="839" t="s">
        <v>312</v>
      </c>
      <c r="C41" s="1059">
        <v>9.6000000000000002E-2</v>
      </c>
      <c r="D41" s="1059">
        <v>9.8000000000000004E-2</v>
      </c>
      <c r="E41" s="1059">
        <v>9.8000000000000004E-2</v>
      </c>
      <c r="F41" s="1071"/>
    </row>
    <row r="42" spans="1:6" ht="14.5" thickBot="1">
      <c r="A42" s="835" t="s">
        <v>442</v>
      </c>
      <c r="B42" s="839" t="s">
        <v>323</v>
      </c>
      <c r="C42" s="1059">
        <v>0.1</v>
      </c>
      <c r="D42" s="1059">
        <v>8.7999999999999995E-2</v>
      </c>
      <c r="E42" s="1059">
        <v>0.1</v>
      </c>
      <c r="F42" s="1071"/>
    </row>
    <row r="43" spans="1:6" ht="14.5" thickBot="1">
      <c r="A43" s="835" t="s">
        <v>442</v>
      </c>
      <c r="B43" s="839" t="s">
        <v>334</v>
      </c>
      <c r="C43" s="1059">
        <v>9.8000000000000004E-2</v>
      </c>
      <c r="D43" s="1059">
        <v>9.7000000000000003E-2</v>
      </c>
      <c r="E43" s="1059">
        <v>9.6000000000000002E-2</v>
      </c>
      <c r="F43" s="1071"/>
    </row>
    <row r="44" spans="1:6" ht="14.5" thickBot="1">
      <c r="A44" s="835" t="s">
        <v>442</v>
      </c>
      <c r="B44" s="839" t="s">
        <v>344</v>
      </c>
      <c r="C44" s="1059">
        <v>8.5999999999999993E-2</v>
      </c>
      <c r="D44" s="1059">
        <v>7.9000000000000001E-2</v>
      </c>
      <c r="E44" s="1059">
        <v>7.0999999999999994E-2</v>
      </c>
      <c r="F44" s="1071"/>
    </row>
    <row r="45" spans="1:6" ht="14.5" thickBot="1">
      <c r="A45" s="835" t="s">
        <v>442</v>
      </c>
      <c r="B45" s="839" t="s">
        <v>354</v>
      </c>
      <c r="C45" s="1059">
        <v>9.8000000000000004E-2</v>
      </c>
      <c r="D45" s="1059">
        <v>9.6000000000000002E-2</v>
      </c>
      <c r="E45" s="1059">
        <v>9.6000000000000002E-2</v>
      </c>
      <c r="F45" s="1071"/>
    </row>
    <row r="46" spans="1:6" ht="14.5" thickBot="1">
      <c r="A46" s="835" t="s">
        <v>442</v>
      </c>
      <c r="B46" s="839" t="s">
        <v>364</v>
      </c>
      <c r="C46" s="1059">
        <v>8.5999999999999993E-2</v>
      </c>
      <c r="D46" s="1059">
        <v>9.8000000000000004E-2</v>
      </c>
      <c r="E46" s="1059">
        <v>8.7999999999999995E-2</v>
      </c>
      <c r="F46" s="1071"/>
    </row>
    <row r="47" spans="1:6" ht="14.5" thickBot="1">
      <c r="A47" s="835" t="s">
        <v>442</v>
      </c>
      <c r="B47" s="839" t="s">
        <v>374</v>
      </c>
      <c r="C47" s="1059">
        <v>9.6000000000000002E-2</v>
      </c>
      <c r="D47" s="1072"/>
      <c r="E47" s="1059">
        <v>6.9000000000000006E-2</v>
      </c>
      <c r="F47" s="1071"/>
    </row>
    <row r="48" spans="1:6" ht="14.5" thickBot="1">
      <c r="A48" s="845" t="s">
        <v>442</v>
      </c>
      <c r="B48" s="840" t="s">
        <v>383</v>
      </c>
      <c r="C48" s="1061">
        <v>9.8000000000000004E-2</v>
      </c>
      <c r="D48" s="1069"/>
      <c r="E48" s="1061">
        <v>9.5000000000000001E-2</v>
      </c>
      <c r="F48" s="1070"/>
    </row>
    <row r="49" spans="1:6" ht="14.5" thickBot="1">
      <c r="A49" s="835" t="s">
        <v>137</v>
      </c>
      <c r="B49" s="836" t="s">
        <v>880</v>
      </c>
      <c r="C49" s="1057">
        <v>9.7000000000000003E-2</v>
      </c>
      <c r="D49" s="1057">
        <v>9.5000000000000001E-2</v>
      </c>
      <c r="E49" s="1057">
        <v>9.7000000000000003E-2</v>
      </c>
      <c r="F49" s="1058">
        <v>0.1</v>
      </c>
    </row>
    <row r="50" spans="1:6" ht="14.5" thickBot="1">
      <c r="A50" s="835" t="s">
        <v>137</v>
      </c>
      <c r="B50" s="829" t="s">
        <v>190</v>
      </c>
      <c r="C50" s="1059">
        <v>7.4999999999999997E-2</v>
      </c>
      <c r="D50" s="1059">
        <v>9.5000000000000001E-2</v>
      </c>
      <c r="E50" s="1059">
        <v>0.1</v>
      </c>
      <c r="F50" s="1060">
        <v>0.1</v>
      </c>
    </row>
    <row r="51" spans="1:6" ht="14.5" thickBot="1">
      <c r="A51" s="835" t="s">
        <v>137</v>
      </c>
      <c r="B51" s="829" t="s">
        <v>203</v>
      </c>
      <c r="C51" s="1059">
        <v>9.8000000000000004E-2</v>
      </c>
      <c r="D51" s="1059">
        <v>8.8999999999999996E-2</v>
      </c>
      <c r="E51" s="1059">
        <v>0.1</v>
      </c>
      <c r="F51" s="1060">
        <v>0.1</v>
      </c>
    </row>
    <row r="52" spans="1:6" ht="14.5" thickBot="1">
      <c r="A52" s="835" t="s">
        <v>137</v>
      </c>
      <c r="B52" s="829" t="s">
        <v>216</v>
      </c>
      <c r="C52" s="1059">
        <v>9.8000000000000004E-2</v>
      </c>
      <c r="D52" s="1059">
        <v>9.7000000000000003E-2</v>
      </c>
      <c r="E52" s="1059">
        <v>8.1000000000000003E-2</v>
      </c>
      <c r="F52" s="1060">
        <v>0.1</v>
      </c>
    </row>
    <row r="53" spans="1:6" ht="14.5" thickBot="1">
      <c r="A53" s="835" t="s">
        <v>137</v>
      </c>
      <c r="B53" s="829" t="s">
        <v>228</v>
      </c>
      <c r="C53" s="1059">
        <v>9.7000000000000003E-2</v>
      </c>
      <c r="D53" s="1059">
        <v>7.5999999999999998E-2</v>
      </c>
      <c r="E53" s="1059">
        <v>7.0999999999999994E-2</v>
      </c>
      <c r="F53" s="1060">
        <v>0.1</v>
      </c>
    </row>
    <row r="54" spans="1:6" ht="14.5" thickBot="1">
      <c r="A54" s="835" t="s">
        <v>137</v>
      </c>
      <c r="B54" s="829" t="s">
        <v>239</v>
      </c>
      <c r="C54" s="1059">
        <v>7.5999999999999998E-2</v>
      </c>
      <c r="D54" s="1059">
        <v>0.1</v>
      </c>
      <c r="E54" s="1059">
        <v>9.9000000000000005E-2</v>
      </c>
      <c r="F54" s="1060">
        <v>0.1</v>
      </c>
    </row>
    <row r="55" spans="1:6" ht="14.5" thickBot="1">
      <c r="A55" s="835" t="s">
        <v>137</v>
      </c>
      <c r="B55" s="829" t="s">
        <v>250</v>
      </c>
      <c r="C55" s="1059">
        <v>0.1</v>
      </c>
      <c r="D55" s="1059">
        <v>0.1</v>
      </c>
      <c r="E55" s="1059">
        <v>9.6000000000000002E-2</v>
      </c>
      <c r="F55" s="1060">
        <v>0.1</v>
      </c>
    </row>
    <row r="56" spans="1:6" ht="14.5" thickBot="1">
      <c r="A56" s="835" t="s">
        <v>137</v>
      </c>
      <c r="B56" s="829" t="s">
        <v>261</v>
      </c>
      <c r="C56" s="1059">
        <v>0.1</v>
      </c>
      <c r="D56" s="1059">
        <v>9.6000000000000002E-2</v>
      </c>
      <c r="E56" s="1059">
        <v>5.1999999999999998E-2</v>
      </c>
      <c r="F56" s="1060">
        <v>0.1</v>
      </c>
    </row>
    <row r="57" spans="1:6" ht="14.5" thickBot="1">
      <c r="A57" s="835" t="s">
        <v>137</v>
      </c>
      <c r="B57" s="829" t="s">
        <v>273</v>
      </c>
      <c r="C57" s="1059">
        <v>9.7000000000000003E-2</v>
      </c>
      <c r="D57" s="1059">
        <v>9.6000000000000002E-2</v>
      </c>
      <c r="E57" s="1059">
        <v>9.6000000000000002E-2</v>
      </c>
      <c r="F57" s="1060">
        <v>0.1</v>
      </c>
    </row>
    <row r="58" spans="1:6" ht="14.5" thickBot="1">
      <c r="A58" s="835" t="s">
        <v>137</v>
      </c>
      <c r="B58" s="829" t="s">
        <v>283</v>
      </c>
      <c r="C58" s="1059">
        <v>9.6000000000000002E-2</v>
      </c>
      <c r="D58" s="1059">
        <v>9.9000000000000005E-2</v>
      </c>
      <c r="E58" s="1059">
        <v>9.6000000000000002E-2</v>
      </c>
      <c r="F58" s="1060">
        <v>0.1</v>
      </c>
    </row>
    <row r="59" spans="1:6" ht="14.5" thickBot="1">
      <c r="A59" s="835" t="s">
        <v>137</v>
      </c>
      <c r="B59" s="829" t="s">
        <v>293</v>
      </c>
      <c r="C59" s="1059">
        <v>7.1999999999999995E-2</v>
      </c>
      <c r="D59" s="1059">
        <v>9.6000000000000002E-2</v>
      </c>
      <c r="E59" s="1059">
        <v>7.0999999999999994E-2</v>
      </c>
      <c r="F59" s="1060">
        <v>0.1</v>
      </c>
    </row>
    <row r="60" spans="1:6" ht="14.5" thickBot="1">
      <c r="A60" s="835" t="s">
        <v>137</v>
      </c>
      <c r="B60" s="829" t="s">
        <v>303</v>
      </c>
      <c r="C60" s="1059">
        <v>9.6000000000000002E-2</v>
      </c>
      <c r="D60" s="1059">
        <v>8.8999999999999996E-2</v>
      </c>
      <c r="E60" s="1059">
        <v>9.6000000000000002E-2</v>
      </c>
      <c r="F60" s="1060">
        <v>0.1</v>
      </c>
    </row>
    <row r="61" spans="1:6" ht="14.5" thickBot="1">
      <c r="A61" s="835" t="s">
        <v>137</v>
      </c>
      <c r="B61" s="829" t="s">
        <v>313</v>
      </c>
      <c r="C61" s="1059">
        <v>8.8999999999999996E-2</v>
      </c>
      <c r="D61" s="1059">
        <v>9.8000000000000004E-2</v>
      </c>
      <c r="E61" s="1059">
        <v>8.7999999999999995E-2</v>
      </c>
      <c r="F61" s="1071"/>
    </row>
    <row r="62" spans="1:6" ht="14.5" thickBot="1">
      <c r="A62" s="835" t="s">
        <v>137</v>
      </c>
      <c r="B62" s="829" t="s">
        <v>324</v>
      </c>
      <c r="C62" s="1059">
        <v>9.8000000000000004E-2</v>
      </c>
      <c r="D62" s="1059">
        <v>9.2999999999999999E-2</v>
      </c>
      <c r="E62" s="1059">
        <v>9.7000000000000003E-2</v>
      </c>
      <c r="F62" s="1071"/>
    </row>
    <row r="63" spans="1:6" ht="14.5" thickBot="1">
      <c r="A63" s="835" t="s">
        <v>137</v>
      </c>
      <c r="B63" s="829" t="s">
        <v>335</v>
      </c>
      <c r="C63" s="1059">
        <v>9.6000000000000002E-2</v>
      </c>
      <c r="D63" s="1059">
        <v>9.8000000000000004E-2</v>
      </c>
      <c r="E63" s="1059">
        <v>0.09</v>
      </c>
      <c r="F63" s="1071"/>
    </row>
    <row r="64" spans="1:6" ht="14.5" thickBot="1">
      <c r="A64" s="835" t="s">
        <v>137</v>
      </c>
      <c r="B64" s="829" t="s">
        <v>345</v>
      </c>
      <c r="C64" s="1059">
        <v>9.9000000000000005E-2</v>
      </c>
      <c r="D64" s="1059">
        <v>9.7000000000000003E-2</v>
      </c>
      <c r="E64" s="1059">
        <v>9.9000000000000005E-2</v>
      </c>
      <c r="F64" s="1071"/>
    </row>
    <row r="65" spans="1:6" ht="14.5" thickBot="1">
      <c r="A65" s="835" t="s">
        <v>137</v>
      </c>
      <c r="B65" s="829" t="s">
        <v>355</v>
      </c>
      <c r="C65" s="1059">
        <v>9.8000000000000004E-2</v>
      </c>
      <c r="D65" s="1059">
        <v>9.6000000000000002E-2</v>
      </c>
      <c r="E65" s="1059">
        <v>9.6000000000000002E-2</v>
      </c>
      <c r="F65" s="1071"/>
    </row>
    <row r="66" spans="1:6" ht="14.5" thickBot="1">
      <c r="A66" s="835" t="s">
        <v>137</v>
      </c>
      <c r="B66" s="829" t="s">
        <v>365</v>
      </c>
      <c r="C66" s="1059">
        <v>9.6000000000000002E-2</v>
      </c>
      <c r="D66" s="1059">
        <v>9.1999999999999998E-2</v>
      </c>
      <c r="E66" s="1059">
        <v>9.6000000000000002E-2</v>
      </c>
      <c r="F66" s="1071"/>
    </row>
    <row r="67" spans="1:6" ht="14.5" thickBot="1">
      <c r="A67" s="835" t="s">
        <v>137</v>
      </c>
      <c r="B67" s="829" t="s">
        <v>375</v>
      </c>
      <c r="C67" s="1059">
        <v>9.4E-2</v>
      </c>
      <c r="D67" s="1059">
        <v>0.1</v>
      </c>
      <c r="E67" s="1059">
        <v>8.7999999999999995E-2</v>
      </c>
      <c r="F67" s="1071"/>
    </row>
    <row r="68" spans="1:6" ht="14.5" thickBot="1">
      <c r="A68" s="835" t="s">
        <v>137</v>
      </c>
      <c r="B68" s="829" t="s">
        <v>384</v>
      </c>
      <c r="C68" s="1059">
        <v>0.1</v>
      </c>
      <c r="D68" s="1059">
        <v>8.7999999999999995E-2</v>
      </c>
      <c r="E68" s="1059">
        <v>9.7000000000000003E-2</v>
      </c>
      <c r="F68" s="1071"/>
    </row>
    <row r="69" spans="1:6" ht="14.5" thickBot="1">
      <c r="A69" s="835" t="s">
        <v>137</v>
      </c>
      <c r="B69" s="829" t="s">
        <v>393</v>
      </c>
      <c r="C69" s="1059">
        <v>6.4000000000000001E-2</v>
      </c>
      <c r="D69" s="1059">
        <v>0.1</v>
      </c>
      <c r="E69" s="1059">
        <v>0.1</v>
      </c>
      <c r="F69" s="1071"/>
    </row>
    <row r="70" spans="1:6" ht="14.5" thickBot="1">
      <c r="A70" s="835" t="s">
        <v>137</v>
      </c>
      <c r="B70" s="829" t="s">
        <v>401</v>
      </c>
      <c r="C70" s="1059">
        <v>9.0999999999999998E-2</v>
      </c>
      <c r="D70" s="1072"/>
      <c r="E70" s="1072"/>
      <c r="F70" s="1071"/>
    </row>
    <row r="71" spans="1:6" ht="14.5" thickBot="1">
      <c r="A71" s="835" t="s">
        <v>137</v>
      </c>
      <c r="B71" s="829" t="s">
        <v>408</v>
      </c>
      <c r="C71" s="1059">
        <v>0.1</v>
      </c>
      <c r="D71" s="1072"/>
      <c r="E71" s="1072"/>
      <c r="F71" s="1071"/>
    </row>
    <row r="72" spans="1:6" ht="26.5" thickBot="1">
      <c r="A72" s="835" t="s">
        <v>137</v>
      </c>
      <c r="B72" s="829" t="s">
        <v>881</v>
      </c>
      <c r="C72" s="1072"/>
      <c r="D72" s="1072"/>
      <c r="E72" s="1072"/>
      <c r="F72" s="1060">
        <v>0.05</v>
      </c>
    </row>
    <row r="73" spans="1:6" ht="26.5" thickBot="1">
      <c r="A73" s="835" t="s">
        <v>137</v>
      </c>
      <c r="B73" s="829" t="s">
        <v>882</v>
      </c>
      <c r="C73" s="1072"/>
      <c r="D73" s="1072"/>
      <c r="E73" s="1072"/>
      <c r="F73" s="1060">
        <v>0.05</v>
      </c>
    </row>
    <row r="74" spans="1:6" ht="26.5" thickBot="1">
      <c r="A74" s="835" t="s">
        <v>137</v>
      </c>
      <c r="B74" s="829" t="s">
        <v>883</v>
      </c>
      <c r="C74" s="1072"/>
      <c r="D74" s="1072"/>
      <c r="E74" s="1072"/>
      <c r="F74" s="1060">
        <v>0.05</v>
      </c>
    </row>
    <row r="75" spans="1:6" ht="26.5" thickBot="1">
      <c r="A75" s="845" t="s">
        <v>137</v>
      </c>
      <c r="B75" s="841" t="s">
        <v>884</v>
      </c>
      <c r="C75" s="1069"/>
      <c r="D75" s="1069"/>
      <c r="E75" s="1069"/>
      <c r="F75" s="1062">
        <v>0.05</v>
      </c>
    </row>
    <row r="76" spans="1:6" ht="14.5" thickBot="1">
      <c r="A76" s="835" t="s">
        <v>523</v>
      </c>
      <c r="B76" s="836" t="s">
        <v>885</v>
      </c>
      <c r="C76" s="1057">
        <v>0.1</v>
      </c>
      <c r="D76" s="1057">
        <v>0.1</v>
      </c>
      <c r="E76" s="1057">
        <v>0.1</v>
      </c>
      <c r="F76" s="1058">
        <v>0.1</v>
      </c>
    </row>
    <row r="77" spans="1:6" ht="14.5" thickBot="1">
      <c r="A77" s="835" t="s">
        <v>523</v>
      </c>
      <c r="B77" s="829" t="s">
        <v>191</v>
      </c>
      <c r="C77" s="1059">
        <v>8.7999999999999995E-2</v>
      </c>
      <c r="D77" s="1059">
        <v>8.6999999999999994E-2</v>
      </c>
      <c r="E77" s="1059">
        <v>7.9000000000000001E-2</v>
      </c>
      <c r="F77" s="1060">
        <v>0.1</v>
      </c>
    </row>
    <row r="78" spans="1:6" ht="14.5" thickBot="1">
      <c r="A78" s="835" t="s">
        <v>523</v>
      </c>
      <c r="B78" s="829" t="s">
        <v>204</v>
      </c>
      <c r="C78" s="1059">
        <v>8.6999999999999994E-2</v>
      </c>
      <c r="D78" s="1059">
        <v>8.4000000000000005E-2</v>
      </c>
      <c r="E78" s="1059">
        <v>9.6000000000000002E-2</v>
      </c>
      <c r="F78" s="1060">
        <v>0.1</v>
      </c>
    </row>
    <row r="79" spans="1:6" ht="14.5" thickBot="1">
      <c r="A79" s="835" t="s">
        <v>523</v>
      </c>
      <c r="B79" s="829" t="s">
        <v>217</v>
      </c>
      <c r="C79" s="1059">
        <v>9.8000000000000004E-2</v>
      </c>
      <c r="D79" s="1059">
        <v>9.8000000000000004E-2</v>
      </c>
      <c r="E79" s="1059">
        <v>9.0999999999999998E-2</v>
      </c>
      <c r="F79" s="1060">
        <v>0.1</v>
      </c>
    </row>
    <row r="80" spans="1:6" ht="14.5" thickBot="1">
      <c r="A80" s="835" t="s">
        <v>523</v>
      </c>
      <c r="B80" s="829" t="s">
        <v>229</v>
      </c>
      <c r="C80" s="1059">
        <v>9.6000000000000002E-2</v>
      </c>
      <c r="D80" s="1059">
        <v>9.6000000000000002E-2</v>
      </c>
      <c r="E80" s="1059">
        <v>0.1</v>
      </c>
      <c r="F80" s="1060">
        <v>0.1</v>
      </c>
    </row>
    <row r="81" spans="1:6" ht="14.5" thickBot="1">
      <c r="A81" s="835" t="s">
        <v>523</v>
      </c>
      <c r="B81" s="829" t="s">
        <v>240</v>
      </c>
      <c r="C81" s="1059">
        <v>9.9000000000000005E-2</v>
      </c>
      <c r="D81" s="1059">
        <v>9.9000000000000005E-2</v>
      </c>
      <c r="E81" s="1059">
        <v>9.8000000000000004E-2</v>
      </c>
      <c r="F81" s="1060">
        <v>0.1</v>
      </c>
    </row>
    <row r="82" spans="1:6" ht="14.5" thickBot="1">
      <c r="A82" s="835" t="s">
        <v>523</v>
      </c>
      <c r="B82" s="829" t="s">
        <v>251</v>
      </c>
      <c r="C82" s="1059">
        <v>9.9000000000000005E-2</v>
      </c>
      <c r="D82" s="1059">
        <v>9.9000000000000005E-2</v>
      </c>
      <c r="E82" s="1059">
        <v>9.7000000000000003E-2</v>
      </c>
      <c r="F82" s="1060">
        <v>0.1</v>
      </c>
    </row>
    <row r="83" spans="1:6" ht="14.5" thickBot="1">
      <c r="A83" s="835" t="s">
        <v>523</v>
      </c>
      <c r="B83" s="829" t="s">
        <v>262</v>
      </c>
      <c r="C83" s="1059">
        <v>9.8000000000000004E-2</v>
      </c>
      <c r="D83" s="1059">
        <v>9.8000000000000004E-2</v>
      </c>
      <c r="E83" s="1059">
        <v>9.8000000000000004E-2</v>
      </c>
      <c r="F83" s="1060">
        <v>0.1</v>
      </c>
    </row>
    <row r="84" spans="1:6" ht="14.5" thickBot="1">
      <c r="A84" s="835" t="s">
        <v>523</v>
      </c>
      <c r="B84" s="829" t="s">
        <v>274</v>
      </c>
      <c r="C84" s="1059">
        <v>9.9000000000000005E-2</v>
      </c>
      <c r="D84" s="1059">
        <v>9.9000000000000005E-2</v>
      </c>
      <c r="E84" s="1059">
        <v>9.9000000000000005E-2</v>
      </c>
      <c r="F84" s="1060">
        <v>0.1</v>
      </c>
    </row>
    <row r="85" spans="1:6" ht="14.5" thickBot="1">
      <c r="A85" s="835" t="s">
        <v>523</v>
      </c>
      <c r="B85" s="829" t="s">
        <v>284</v>
      </c>
      <c r="C85" s="1059">
        <v>9.9000000000000005E-2</v>
      </c>
      <c r="D85" s="1059">
        <v>9.9000000000000005E-2</v>
      </c>
      <c r="E85" s="1059">
        <v>9.9000000000000005E-2</v>
      </c>
      <c r="F85" s="1060">
        <v>0.1</v>
      </c>
    </row>
    <row r="86" spans="1:6" ht="14.5" thickBot="1">
      <c r="A86" s="835" t="s">
        <v>523</v>
      </c>
      <c r="B86" s="829" t="s">
        <v>294</v>
      </c>
      <c r="C86" s="1059">
        <v>0.1</v>
      </c>
      <c r="D86" s="1059">
        <v>0.1</v>
      </c>
      <c r="E86" s="1059">
        <v>7.6999999999999999E-2</v>
      </c>
      <c r="F86" s="1060">
        <v>0.1</v>
      </c>
    </row>
    <row r="87" spans="1:6" ht="14.5" thickBot="1">
      <c r="A87" s="835" t="s">
        <v>523</v>
      </c>
      <c r="B87" s="829" t="s">
        <v>304</v>
      </c>
      <c r="C87" s="1059">
        <v>0.1</v>
      </c>
      <c r="D87" s="1059">
        <v>0.1</v>
      </c>
      <c r="E87" s="1059">
        <v>9.8000000000000004E-2</v>
      </c>
      <c r="F87" s="1071"/>
    </row>
    <row r="88" spans="1:6" ht="14.5" thickBot="1">
      <c r="A88" s="835" t="s">
        <v>523</v>
      </c>
      <c r="B88" s="829" t="s">
        <v>314</v>
      </c>
      <c r="C88" s="1059">
        <v>9.1999999999999998E-2</v>
      </c>
      <c r="D88" s="1059">
        <v>8.5000000000000006E-2</v>
      </c>
      <c r="E88" s="1059">
        <v>9.6000000000000002E-2</v>
      </c>
      <c r="F88" s="1071"/>
    </row>
    <row r="89" spans="1:6" ht="14.5" thickBot="1">
      <c r="A89" s="835" t="s">
        <v>523</v>
      </c>
      <c r="B89" s="829" t="s">
        <v>325</v>
      </c>
      <c r="C89" s="1059">
        <v>0.1</v>
      </c>
      <c r="D89" s="1059">
        <v>0.1</v>
      </c>
      <c r="E89" s="1059">
        <v>9.7000000000000003E-2</v>
      </c>
      <c r="F89" s="1071"/>
    </row>
    <row r="90" spans="1:6" ht="14.5" thickBot="1">
      <c r="A90" s="835" t="s">
        <v>523</v>
      </c>
      <c r="B90" s="829" t="s">
        <v>336</v>
      </c>
      <c r="C90" s="1059">
        <v>9.8000000000000004E-2</v>
      </c>
      <c r="D90" s="1059">
        <v>9.8000000000000004E-2</v>
      </c>
      <c r="E90" s="1059">
        <v>8.7999999999999995E-2</v>
      </c>
      <c r="F90" s="1071"/>
    </row>
    <row r="91" spans="1:6" ht="14.5" thickBot="1">
      <c r="A91" s="835" t="s">
        <v>523</v>
      </c>
      <c r="B91" s="829" t="s">
        <v>346</v>
      </c>
      <c r="C91" s="1059">
        <v>9.9000000000000005E-2</v>
      </c>
      <c r="D91" s="1059">
        <v>9.9000000000000005E-2</v>
      </c>
      <c r="E91" s="1059">
        <v>9.0999999999999998E-2</v>
      </c>
      <c r="F91" s="1071"/>
    </row>
    <row r="92" spans="1:6" ht="14.5" thickBot="1">
      <c r="A92" s="835" t="s">
        <v>523</v>
      </c>
      <c r="B92" s="829" t="s">
        <v>356</v>
      </c>
      <c r="C92" s="1059">
        <v>9.6000000000000002E-2</v>
      </c>
      <c r="D92" s="1059">
        <v>9.6000000000000002E-2</v>
      </c>
      <c r="E92" s="1059">
        <v>7.2999999999999995E-2</v>
      </c>
      <c r="F92" s="1071"/>
    </row>
    <row r="93" spans="1:6" ht="14.5" thickBot="1">
      <c r="A93" s="835" t="s">
        <v>523</v>
      </c>
      <c r="B93" s="829" t="s">
        <v>366</v>
      </c>
      <c r="C93" s="1059">
        <v>9.6000000000000002E-2</v>
      </c>
      <c r="D93" s="1059">
        <v>9.6000000000000002E-2</v>
      </c>
      <c r="E93" s="1059">
        <v>9.9000000000000005E-2</v>
      </c>
      <c r="F93" s="1071"/>
    </row>
    <row r="94" spans="1:6" ht="14.5" thickBot="1">
      <c r="A94" s="835" t="s">
        <v>523</v>
      </c>
      <c r="B94" s="829" t="s">
        <v>376</v>
      </c>
      <c r="C94" s="1059">
        <v>7.5999999999999998E-2</v>
      </c>
      <c r="D94" s="1059">
        <v>7.3999999999999996E-2</v>
      </c>
      <c r="E94" s="1059">
        <v>9.7000000000000003E-2</v>
      </c>
      <c r="F94" s="1071"/>
    </row>
    <row r="95" spans="1:6" ht="14.5" thickBot="1">
      <c r="A95" s="835" t="s">
        <v>523</v>
      </c>
      <c r="B95" s="829" t="s">
        <v>385</v>
      </c>
      <c r="C95" s="1059">
        <v>9.9000000000000005E-2</v>
      </c>
      <c r="D95" s="1059">
        <v>9.4E-2</v>
      </c>
      <c r="E95" s="1059">
        <v>9.6000000000000002E-2</v>
      </c>
      <c r="F95" s="1071"/>
    </row>
    <row r="96" spans="1:6" ht="14.5" thickBot="1">
      <c r="A96" s="835" t="s">
        <v>523</v>
      </c>
      <c r="B96" s="829" t="s">
        <v>394</v>
      </c>
      <c r="C96" s="1059">
        <v>9.9000000000000005E-2</v>
      </c>
      <c r="D96" s="1059">
        <v>9.9000000000000005E-2</v>
      </c>
      <c r="E96" s="1059">
        <v>9.9000000000000005E-2</v>
      </c>
      <c r="F96" s="1071"/>
    </row>
    <row r="97" spans="1:6" ht="14.5" thickBot="1">
      <c r="A97" s="835" t="s">
        <v>523</v>
      </c>
      <c r="B97" s="829" t="s">
        <v>402</v>
      </c>
      <c r="C97" s="1059">
        <v>9.8000000000000004E-2</v>
      </c>
      <c r="D97" s="1059">
        <v>9.8000000000000004E-2</v>
      </c>
      <c r="E97" s="1059">
        <v>9.7000000000000003E-2</v>
      </c>
      <c r="F97" s="1071"/>
    </row>
    <row r="98" spans="1:6" ht="14.5" thickBot="1">
      <c r="A98" s="835" t="s">
        <v>523</v>
      </c>
      <c r="B98" s="829" t="s">
        <v>409</v>
      </c>
      <c r="C98" s="1059">
        <v>0.1</v>
      </c>
      <c r="D98" s="1059">
        <v>0.1</v>
      </c>
      <c r="E98" s="1059">
        <v>9.7000000000000003E-2</v>
      </c>
      <c r="F98" s="1071"/>
    </row>
    <row r="99" spans="1:6" ht="14.5" thickBot="1">
      <c r="A99" s="835" t="s">
        <v>523</v>
      </c>
      <c r="B99" s="829" t="s">
        <v>416</v>
      </c>
      <c r="C99" s="1059">
        <v>0.1</v>
      </c>
      <c r="D99" s="1059">
        <v>0.1</v>
      </c>
      <c r="E99" s="1072"/>
      <c r="F99" s="1071"/>
    </row>
    <row r="100" spans="1:6" ht="14.5" thickBot="1">
      <c r="A100" s="835" t="s">
        <v>523</v>
      </c>
      <c r="B100" s="829" t="s">
        <v>423</v>
      </c>
      <c r="C100" s="1059">
        <v>0.09</v>
      </c>
      <c r="D100" s="1059">
        <v>8.8999999999999996E-2</v>
      </c>
      <c r="E100" s="1072"/>
      <c r="F100" s="1071"/>
    </row>
    <row r="101" spans="1:6" ht="14.5" thickBot="1">
      <c r="A101" s="835" t="s">
        <v>523</v>
      </c>
      <c r="B101" s="829" t="s">
        <v>430</v>
      </c>
      <c r="C101" s="1059">
        <v>9.8000000000000004E-2</v>
      </c>
      <c r="D101" s="1059">
        <v>9.7000000000000003E-2</v>
      </c>
      <c r="E101" s="1072"/>
      <c r="F101" s="1071"/>
    </row>
    <row r="102" spans="1:6" ht="26.5" thickBot="1">
      <c r="A102" s="835" t="s">
        <v>523</v>
      </c>
      <c r="B102" s="829" t="s">
        <v>886</v>
      </c>
      <c r="C102" s="1072"/>
      <c r="D102" s="1072"/>
      <c r="E102" s="1072"/>
      <c r="F102" s="1060">
        <v>0.05</v>
      </c>
    </row>
    <row r="103" spans="1:6" ht="26.5" thickBot="1">
      <c r="A103" s="835" t="s">
        <v>523</v>
      </c>
      <c r="B103" s="829" t="s">
        <v>887</v>
      </c>
      <c r="C103" s="1072"/>
      <c r="D103" s="1072"/>
      <c r="E103" s="1072"/>
      <c r="F103" s="1060">
        <v>0.05</v>
      </c>
    </row>
    <row r="104" spans="1:6" ht="14.5" thickBot="1">
      <c r="A104" s="835" t="s">
        <v>523</v>
      </c>
      <c r="B104" s="829" t="s">
        <v>888</v>
      </c>
      <c r="C104" s="1072"/>
      <c r="D104" s="1072"/>
      <c r="E104" s="1072"/>
      <c r="F104" s="1060">
        <v>0.05</v>
      </c>
    </row>
    <row r="105" spans="1:6" ht="26.5" thickBot="1">
      <c r="A105" s="835" t="s">
        <v>523</v>
      </c>
      <c r="B105" s="829" t="s">
        <v>889</v>
      </c>
      <c r="C105" s="1072"/>
      <c r="D105" s="1072"/>
      <c r="E105" s="1072"/>
      <c r="F105" s="1060">
        <v>0.05</v>
      </c>
    </row>
    <row r="106" spans="1:6" ht="26.5" thickBot="1">
      <c r="A106" s="835" t="s">
        <v>523</v>
      </c>
      <c r="B106" s="829" t="s">
        <v>890</v>
      </c>
      <c r="C106" s="1072"/>
      <c r="D106" s="1072"/>
      <c r="E106" s="1072"/>
      <c r="F106" s="1060">
        <v>0.05</v>
      </c>
    </row>
    <row r="107" spans="1:6" ht="26.5" thickBot="1">
      <c r="A107" s="835" t="s">
        <v>523</v>
      </c>
      <c r="B107" s="829" t="s">
        <v>891</v>
      </c>
      <c r="C107" s="1072"/>
      <c r="D107" s="1072"/>
      <c r="E107" s="1072"/>
      <c r="F107" s="1060">
        <v>0.05</v>
      </c>
    </row>
    <row r="108" spans="1:6" ht="26.5" thickBot="1">
      <c r="A108" s="835" t="s">
        <v>523</v>
      </c>
      <c r="B108" s="829" t="s">
        <v>892</v>
      </c>
      <c r="C108" s="1072"/>
      <c r="D108" s="1072"/>
      <c r="E108" s="1072"/>
      <c r="F108" s="1060">
        <v>0.05</v>
      </c>
    </row>
    <row r="109" spans="1:6" ht="26.5" thickBot="1">
      <c r="A109" s="845" t="s">
        <v>523</v>
      </c>
      <c r="B109" s="841" t="s">
        <v>893</v>
      </c>
      <c r="C109" s="1069"/>
      <c r="D109" s="1069"/>
      <c r="E109" s="1069"/>
      <c r="F109" s="1062">
        <v>0.05</v>
      </c>
    </row>
    <row r="110" spans="1:6" ht="14.5" thickBot="1">
      <c r="A110" s="835" t="s">
        <v>56</v>
      </c>
      <c r="B110" s="836" t="s">
        <v>894</v>
      </c>
      <c r="C110" s="1057">
        <v>0.129</v>
      </c>
      <c r="D110" s="1057">
        <v>0.129</v>
      </c>
      <c r="E110" s="1057">
        <v>0.126</v>
      </c>
      <c r="F110" s="1058">
        <v>0.13</v>
      </c>
    </row>
    <row r="111" spans="1:6" ht="14.5" thickBot="1">
      <c r="A111" s="835" t="s">
        <v>56</v>
      </c>
      <c r="B111" s="829" t="s">
        <v>192</v>
      </c>
      <c r="C111" s="1059">
        <v>0.11</v>
      </c>
      <c r="D111" s="1059">
        <v>0.11</v>
      </c>
      <c r="E111" s="1059">
        <v>9.9000000000000005E-2</v>
      </c>
      <c r="F111" s="1060">
        <v>0.128</v>
      </c>
    </row>
    <row r="112" spans="1:6" ht="14.5" thickBot="1">
      <c r="A112" s="835" t="s">
        <v>56</v>
      </c>
      <c r="B112" s="829" t="s">
        <v>205</v>
      </c>
      <c r="C112" s="1059">
        <v>0.125</v>
      </c>
      <c r="D112" s="1059">
        <v>0.125</v>
      </c>
      <c r="E112" s="1059">
        <v>0.12</v>
      </c>
      <c r="F112" s="1060">
        <v>0.125</v>
      </c>
    </row>
    <row r="113" spans="1:6" ht="14.5" thickBot="1">
      <c r="A113" s="835" t="s">
        <v>56</v>
      </c>
      <c r="B113" s="829" t="s">
        <v>218</v>
      </c>
      <c r="C113" s="1059">
        <v>0.13</v>
      </c>
      <c r="D113" s="1059">
        <v>0.13</v>
      </c>
      <c r="E113" s="1059">
        <v>0.13</v>
      </c>
      <c r="F113" s="1060">
        <v>0.13</v>
      </c>
    </row>
    <row r="114" spans="1:6" ht="14.5" thickBot="1">
      <c r="A114" s="835" t="s">
        <v>56</v>
      </c>
      <c r="B114" s="829" t="s">
        <v>230</v>
      </c>
      <c r="C114" s="1059">
        <v>0.123</v>
      </c>
      <c r="D114" s="1059">
        <v>0.123</v>
      </c>
      <c r="E114" s="1059">
        <v>0.12</v>
      </c>
      <c r="F114" s="1060">
        <v>0.13</v>
      </c>
    </row>
    <row r="115" spans="1:6" ht="14.5" thickBot="1">
      <c r="A115" s="835" t="s">
        <v>56</v>
      </c>
      <c r="B115" s="829" t="s">
        <v>241</v>
      </c>
      <c r="C115" s="1059">
        <v>0.125</v>
      </c>
      <c r="D115" s="1059">
        <v>0.125</v>
      </c>
      <c r="E115" s="1059">
        <v>0.11700000000000001</v>
      </c>
      <c r="F115" s="1060">
        <v>0.13</v>
      </c>
    </row>
    <row r="116" spans="1:6" ht="14.5" thickBot="1">
      <c r="A116" s="835" t="s">
        <v>56</v>
      </c>
      <c r="B116" s="829" t="s">
        <v>252</v>
      </c>
      <c r="C116" s="1059">
        <v>0.11700000000000001</v>
      </c>
      <c r="D116" s="1059">
        <v>0.11700000000000001</v>
      </c>
      <c r="E116" s="1059">
        <v>8.7999999999999995E-2</v>
      </c>
      <c r="F116" s="1060">
        <v>0.13</v>
      </c>
    </row>
    <row r="117" spans="1:6" ht="14.5" thickBot="1">
      <c r="A117" s="835" t="s">
        <v>56</v>
      </c>
      <c r="B117" s="829" t="s">
        <v>263</v>
      </c>
      <c r="C117" s="1059">
        <v>0.13</v>
      </c>
      <c r="D117" s="1059">
        <v>0.13</v>
      </c>
      <c r="E117" s="1059">
        <v>0.129</v>
      </c>
      <c r="F117" s="1060">
        <v>0.13</v>
      </c>
    </row>
    <row r="118" spans="1:6" ht="14.5" thickBot="1">
      <c r="A118" s="835" t="s">
        <v>56</v>
      </c>
      <c r="B118" s="829" t="s">
        <v>275</v>
      </c>
      <c r="C118" s="1059">
        <v>0.123</v>
      </c>
      <c r="D118" s="1059">
        <v>0.123</v>
      </c>
      <c r="E118" s="1059">
        <v>0.11600000000000001</v>
      </c>
      <c r="F118" s="1060">
        <v>0.13</v>
      </c>
    </row>
    <row r="119" spans="1:6" ht="14.5" thickBot="1">
      <c r="A119" s="835" t="s">
        <v>56</v>
      </c>
      <c r="B119" s="829" t="s">
        <v>285</v>
      </c>
      <c r="C119" s="1059">
        <v>0.127</v>
      </c>
      <c r="D119" s="1059">
        <v>0.127</v>
      </c>
      <c r="E119" s="1059">
        <v>0.124</v>
      </c>
      <c r="F119" s="1060">
        <v>0.13</v>
      </c>
    </row>
    <row r="120" spans="1:6" ht="14.5" thickBot="1">
      <c r="A120" s="835" t="s">
        <v>56</v>
      </c>
      <c r="B120" s="829" t="s">
        <v>295</v>
      </c>
      <c r="C120" s="1059">
        <v>0.125</v>
      </c>
      <c r="D120" s="1059">
        <v>0.125</v>
      </c>
      <c r="E120" s="1059">
        <v>0.122</v>
      </c>
      <c r="F120" s="1060">
        <v>0.13</v>
      </c>
    </row>
    <row r="121" spans="1:6" ht="14.5" thickBot="1">
      <c r="A121" s="835" t="s">
        <v>56</v>
      </c>
      <c r="B121" s="829" t="s">
        <v>305</v>
      </c>
      <c r="C121" s="1059">
        <v>0.13</v>
      </c>
      <c r="D121" s="1059">
        <v>0.13</v>
      </c>
      <c r="E121" s="1059">
        <v>0.13</v>
      </c>
      <c r="F121" s="1060">
        <v>0.13</v>
      </c>
    </row>
    <row r="122" spans="1:6" ht="14.5" thickBot="1">
      <c r="A122" s="835" t="s">
        <v>56</v>
      </c>
      <c r="B122" s="829" t="s">
        <v>315</v>
      </c>
      <c r="C122" s="1059">
        <v>0.13</v>
      </c>
      <c r="D122" s="1059">
        <v>0.13</v>
      </c>
      <c r="E122" s="1059">
        <v>0.125</v>
      </c>
      <c r="F122" s="1060">
        <v>0.13</v>
      </c>
    </row>
    <row r="123" spans="1:6" ht="14.5" thickBot="1">
      <c r="A123" s="835" t="s">
        <v>56</v>
      </c>
      <c r="B123" s="829" t="s">
        <v>326</v>
      </c>
      <c r="C123" s="1059">
        <v>0.129</v>
      </c>
      <c r="D123" s="1059">
        <v>0.129</v>
      </c>
      <c r="E123" s="1059">
        <v>0.123</v>
      </c>
      <c r="F123" s="1060">
        <v>0.13</v>
      </c>
    </row>
    <row r="124" spans="1:6" ht="14.5" thickBot="1">
      <c r="A124" s="835" t="s">
        <v>56</v>
      </c>
      <c r="B124" s="829" t="s">
        <v>337</v>
      </c>
      <c r="C124" s="1059">
        <v>0.10199999999999999</v>
      </c>
      <c r="D124" s="1059">
        <v>0.10100000000000001</v>
      </c>
      <c r="E124" s="1059">
        <v>0.08</v>
      </c>
      <c r="F124" s="1071"/>
    </row>
    <row r="125" spans="1:6" ht="14.5" thickBot="1">
      <c r="A125" s="835" t="s">
        <v>56</v>
      </c>
      <c r="B125" s="829" t="s">
        <v>347</v>
      </c>
      <c r="C125" s="1059">
        <v>0.13</v>
      </c>
      <c r="D125" s="1059">
        <v>0.13</v>
      </c>
      <c r="E125" s="1059">
        <v>0.129</v>
      </c>
      <c r="F125" s="1071"/>
    </row>
    <row r="126" spans="1:6" ht="14.5" thickBot="1">
      <c r="A126" s="835" t="s">
        <v>56</v>
      </c>
      <c r="B126" s="829" t="s">
        <v>357</v>
      </c>
      <c r="C126" s="1059">
        <v>0.13</v>
      </c>
      <c r="D126" s="1059">
        <v>0.13</v>
      </c>
      <c r="E126" s="1059">
        <v>0.126</v>
      </c>
      <c r="F126" s="1071"/>
    </row>
    <row r="127" spans="1:6" ht="14.5" thickBot="1">
      <c r="A127" s="835" t="s">
        <v>56</v>
      </c>
      <c r="B127" s="829" t="s">
        <v>367</v>
      </c>
      <c r="C127" s="1059">
        <v>0.125</v>
      </c>
      <c r="D127" s="1059">
        <v>0.125</v>
      </c>
      <c r="E127" s="1059">
        <v>0.121</v>
      </c>
      <c r="F127" s="1071"/>
    </row>
    <row r="128" spans="1:6" ht="14.5" thickBot="1">
      <c r="A128" s="835" t="s">
        <v>56</v>
      </c>
      <c r="B128" s="829" t="s">
        <v>377</v>
      </c>
      <c r="C128" s="1059">
        <v>0.12</v>
      </c>
      <c r="D128" s="1059">
        <v>0.12</v>
      </c>
      <c r="E128" s="1059">
        <v>0.105</v>
      </c>
      <c r="F128" s="1071"/>
    </row>
    <row r="129" spans="1:6" ht="14.5" thickBot="1">
      <c r="A129" s="835" t="s">
        <v>56</v>
      </c>
      <c r="B129" s="829" t="s">
        <v>386</v>
      </c>
      <c r="C129" s="1059">
        <v>0.13</v>
      </c>
      <c r="D129" s="1059">
        <v>0.13</v>
      </c>
      <c r="E129" s="1059">
        <v>0.126</v>
      </c>
      <c r="F129" s="1071"/>
    </row>
    <row r="130" spans="1:6" ht="14.5" thickBot="1">
      <c r="A130" s="835" t="s">
        <v>56</v>
      </c>
      <c r="B130" s="829" t="s">
        <v>395</v>
      </c>
      <c r="C130" s="1059">
        <v>0.125</v>
      </c>
      <c r="D130" s="1059">
        <v>0.125</v>
      </c>
      <c r="E130" s="1059">
        <v>0.122</v>
      </c>
      <c r="F130" s="1071"/>
    </row>
    <row r="131" spans="1:6" ht="14.5" thickBot="1">
      <c r="A131" s="835" t="s">
        <v>56</v>
      </c>
      <c r="B131" s="829" t="s">
        <v>403</v>
      </c>
      <c r="C131" s="1059">
        <v>0.127</v>
      </c>
      <c r="D131" s="1059">
        <v>0.126</v>
      </c>
      <c r="E131" s="1059">
        <v>0.123</v>
      </c>
      <c r="F131" s="1071"/>
    </row>
    <row r="132" spans="1:6" ht="14.5" thickBot="1">
      <c r="A132" s="835" t="s">
        <v>56</v>
      </c>
      <c r="B132" s="829" t="s">
        <v>410</v>
      </c>
      <c r="C132" s="1059">
        <v>9.0999999999999998E-2</v>
      </c>
      <c r="D132" s="1059">
        <v>0.121</v>
      </c>
      <c r="E132" s="1059">
        <v>9.9000000000000005E-2</v>
      </c>
      <c r="F132" s="1071"/>
    </row>
    <row r="133" spans="1:6" ht="14.5" thickBot="1">
      <c r="A133" s="835" t="s">
        <v>56</v>
      </c>
      <c r="B133" s="829" t="s">
        <v>417</v>
      </c>
      <c r="C133" s="1059">
        <v>0.13</v>
      </c>
      <c r="D133" s="1059">
        <v>0.13</v>
      </c>
      <c r="E133" s="1059">
        <v>0.129</v>
      </c>
      <c r="F133" s="1071"/>
    </row>
    <row r="134" spans="1:6" ht="14.5" thickBot="1">
      <c r="A134" s="835" t="s">
        <v>56</v>
      </c>
      <c r="B134" s="829" t="s">
        <v>895</v>
      </c>
      <c r="C134" s="1059">
        <v>6.8000000000000005E-2</v>
      </c>
      <c r="D134" s="1059">
        <v>6.5000000000000002E-2</v>
      </c>
      <c r="E134" s="1059">
        <v>6.5000000000000002E-2</v>
      </c>
      <c r="F134" s="1060">
        <v>0.13</v>
      </c>
    </row>
    <row r="135" spans="1:6" ht="14.5" thickBot="1">
      <c r="A135" s="835" t="s">
        <v>56</v>
      </c>
      <c r="B135" s="829" t="s">
        <v>431</v>
      </c>
      <c r="C135" s="1059">
        <v>0.123</v>
      </c>
      <c r="D135" s="1059">
        <v>0.123</v>
      </c>
      <c r="E135" s="1059">
        <v>0.11</v>
      </c>
      <c r="F135" s="1071"/>
    </row>
    <row r="136" spans="1:6" ht="14.5" thickBot="1">
      <c r="A136" s="835" t="s">
        <v>56</v>
      </c>
      <c r="B136" s="829" t="s">
        <v>438</v>
      </c>
      <c r="C136" s="1059">
        <v>0.13</v>
      </c>
      <c r="D136" s="1059">
        <v>0.13</v>
      </c>
      <c r="E136" s="1059">
        <v>0.125</v>
      </c>
      <c r="F136" s="1071"/>
    </row>
    <row r="137" spans="1:6" ht="14.5" thickBot="1">
      <c r="A137" s="835" t="s">
        <v>56</v>
      </c>
      <c r="B137" s="829" t="s">
        <v>445</v>
      </c>
      <c r="C137" s="1059">
        <v>0.121</v>
      </c>
      <c r="D137" s="1059">
        <v>0.122</v>
      </c>
      <c r="E137" s="1059">
        <v>0.115</v>
      </c>
      <c r="F137" s="1071"/>
    </row>
    <row r="138" spans="1:6" ht="14.5" thickBot="1">
      <c r="A138" s="835" t="s">
        <v>56</v>
      </c>
      <c r="B138" s="829" t="s">
        <v>896</v>
      </c>
      <c r="C138" s="1059">
        <v>0.105</v>
      </c>
      <c r="D138" s="1059">
        <v>0.125</v>
      </c>
      <c r="E138" s="1059">
        <v>0.112</v>
      </c>
      <c r="F138" s="1071"/>
    </row>
    <row r="139" spans="1:6" ht="14.5" thickBot="1">
      <c r="A139" s="835" t="s">
        <v>56</v>
      </c>
      <c r="B139" s="829" t="s">
        <v>897</v>
      </c>
      <c r="C139" s="1059">
        <v>0.127</v>
      </c>
      <c r="D139" s="1059">
        <v>0.127</v>
      </c>
      <c r="E139" s="1059">
        <v>0.122</v>
      </c>
      <c r="F139" s="1060">
        <v>0.13</v>
      </c>
    </row>
    <row r="140" spans="1:6" ht="14.5" thickBot="1">
      <c r="A140" s="835" t="s">
        <v>56</v>
      </c>
      <c r="B140" s="829" t="s">
        <v>898</v>
      </c>
      <c r="C140" s="1059">
        <v>0.125</v>
      </c>
      <c r="D140" s="1059">
        <v>0.125</v>
      </c>
      <c r="E140" s="1059">
        <v>0.11899999999999999</v>
      </c>
      <c r="F140" s="1060">
        <v>0.13</v>
      </c>
    </row>
    <row r="141" spans="1:6" ht="14.5" thickBot="1">
      <c r="A141" s="835" t="s">
        <v>56</v>
      </c>
      <c r="B141" s="829" t="s">
        <v>464</v>
      </c>
      <c r="C141" s="1059">
        <v>0.125</v>
      </c>
      <c r="D141" s="1059">
        <v>0.125</v>
      </c>
      <c r="E141" s="1059">
        <v>0.11700000000000001</v>
      </c>
      <c r="F141" s="1071"/>
    </row>
    <row r="142" spans="1:6" ht="14.5" thickBot="1">
      <c r="A142" s="835" t="s">
        <v>56</v>
      </c>
      <c r="B142" s="829" t="s">
        <v>469</v>
      </c>
      <c r="C142" s="1059">
        <v>0.125</v>
      </c>
      <c r="D142" s="1059">
        <v>0.125</v>
      </c>
      <c r="E142" s="1059">
        <v>0.115</v>
      </c>
      <c r="F142" s="1071"/>
    </row>
    <row r="143" spans="1:6" ht="14.5" thickBot="1">
      <c r="A143" s="835" t="s">
        <v>56</v>
      </c>
      <c r="B143" s="829" t="s">
        <v>474</v>
      </c>
      <c r="C143" s="1059">
        <v>0.121</v>
      </c>
      <c r="D143" s="1059">
        <v>0.121</v>
      </c>
      <c r="E143" s="1059">
        <v>0.108</v>
      </c>
      <c r="F143" s="1071"/>
    </row>
    <row r="144" spans="1:6" ht="14.5" thickBot="1">
      <c r="A144" s="835" t="s">
        <v>56</v>
      </c>
      <c r="B144" s="1063" t="s">
        <v>899</v>
      </c>
      <c r="C144" s="1064">
        <v>0.126</v>
      </c>
      <c r="D144" s="1064">
        <v>0.126</v>
      </c>
      <c r="E144" s="1064">
        <v>0.121</v>
      </c>
      <c r="F144" s="1071"/>
    </row>
    <row r="145" spans="1:6" ht="14.5" thickBot="1">
      <c r="A145" s="845" t="s">
        <v>56</v>
      </c>
      <c r="B145" s="1065" t="s">
        <v>900</v>
      </c>
      <c r="C145" s="1073"/>
      <c r="D145" s="1073"/>
      <c r="E145" s="1073"/>
      <c r="F145" s="1066">
        <v>0.05</v>
      </c>
    </row>
    <row r="146" spans="1:6" ht="26.5" thickBot="1">
      <c r="A146" s="1067" t="s">
        <v>56</v>
      </c>
      <c r="B146" s="839" t="s">
        <v>901</v>
      </c>
      <c r="C146" s="1072"/>
      <c r="D146" s="1072"/>
      <c r="E146" s="1072"/>
      <c r="F146" s="1068">
        <v>0.05</v>
      </c>
    </row>
    <row r="147" spans="1:6" ht="26.5" thickBot="1">
      <c r="A147" s="835" t="s">
        <v>56</v>
      </c>
      <c r="B147" s="829" t="s">
        <v>902</v>
      </c>
      <c r="C147" s="1072"/>
      <c r="D147" s="1072"/>
      <c r="E147" s="1072"/>
      <c r="F147" s="1060">
        <v>0.05</v>
      </c>
    </row>
    <row r="148" spans="1:6" ht="26.5" thickBot="1">
      <c r="A148" s="835" t="s">
        <v>56</v>
      </c>
      <c r="B148" s="829" t="s">
        <v>903</v>
      </c>
      <c r="C148" s="1072"/>
      <c r="D148" s="1072"/>
      <c r="E148" s="1072"/>
      <c r="F148" s="1060">
        <v>0.05</v>
      </c>
    </row>
    <row r="149" spans="1:6" ht="26.5" thickBot="1">
      <c r="A149" s="835" t="s">
        <v>56</v>
      </c>
      <c r="B149" s="829" t="s">
        <v>904</v>
      </c>
      <c r="C149" s="1072"/>
      <c r="D149" s="1072"/>
      <c r="E149" s="1072"/>
      <c r="F149" s="1060">
        <v>0.05</v>
      </c>
    </row>
    <row r="150" spans="1:6" ht="26.5" thickBot="1">
      <c r="A150" s="835" t="s">
        <v>56</v>
      </c>
      <c r="B150" s="829" t="s">
        <v>905</v>
      </c>
      <c r="C150" s="1072"/>
      <c r="D150" s="1072"/>
      <c r="E150" s="1072"/>
      <c r="F150" s="1060">
        <v>0.05</v>
      </c>
    </row>
    <row r="151" spans="1:6" ht="26.5" thickBot="1">
      <c r="A151" s="835" t="s">
        <v>56</v>
      </c>
      <c r="B151" s="829" t="s">
        <v>906</v>
      </c>
      <c r="C151" s="1072"/>
      <c r="D151" s="1072"/>
      <c r="E151" s="1072"/>
      <c r="F151" s="1060">
        <v>0.05</v>
      </c>
    </row>
    <row r="152" spans="1:6" ht="26.5" thickBot="1">
      <c r="A152" s="835" t="s">
        <v>56</v>
      </c>
      <c r="B152" s="829" t="s">
        <v>507</v>
      </c>
      <c r="C152" s="1072"/>
      <c r="D152" s="1072"/>
      <c r="E152" s="1072"/>
      <c r="F152" s="1060">
        <v>0.05</v>
      </c>
    </row>
    <row r="153" spans="1:6" ht="14.5" thickBot="1">
      <c r="A153" s="835" t="s">
        <v>56</v>
      </c>
      <c r="B153" s="829" t="s">
        <v>907</v>
      </c>
      <c r="C153" s="1072"/>
      <c r="D153" s="1072"/>
      <c r="E153" s="1072"/>
      <c r="F153" s="1060">
        <v>0.05</v>
      </c>
    </row>
    <row r="154" spans="1:6" ht="14.5" thickBot="1">
      <c r="A154" s="835" t="s">
        <v>56</v>
      </c>
      <c r="B154" s="829" t="s">
        <v>908</v>
      </c>
      <c r="C154" s="1072"/>
      <c r="D154" s="1072"/>
      <c r="E154" s="1072"/>
      <c r="F154" s="1060">
        <v>0.05</v>
      </c>
    </row>
    <row r="155" spans="1:6" ht="26.5" thickBot="1">
      <c r="A155" s="835" t="s">
        <v>56</v>
      </c>
      <c r="B155" s="829" t="s">
        <v>909</v>
      </c>
      <c r="C155" s="1072"/>
      <c r="D155" s="1072"/>
      <c r="E155" s="1072"/>
      <c r="F155" s="1060">
        <v>0.05</v>
      </c>
    </row>
    <row r="156" spans="1:6" ht="26.5" thickBot="1">
      <c r="A156" s="835" t="s">
        <v>56</v>
      </c>
      <c r="B156" s="829" t="s">
        <v>910</v>
      </c>
      <c r="C156" s="1072"/>
      <c r="D156" s="1072"/>
      <c r="E156" s="1072"/>
      <c r="F156" s="1060">
        <v>0.05</v>
      </c>
    </row>
    <row r="157" spans="1:6" ht="14.5" thickBot="1">
      <c r="A157" s="845" t="s">
        <v>56</v>
      </c>
      <c r="B157" s="841" t="s">
        <v>911</v>
      </c>
      <c r="C157" s="1069"/>
      <c r="D157" s="1069"/>
      <c r="E157" s="1069"/>
      <c r="F157" s="1062">
        <v>0.05</v>
      </c>
    </row>
    <row r="158" spans="1:6" ht="14.5" thickBot="1">
      <c r="A158" s="835" t="s">
        <v>526</v>
      </c>
      <c r="B158" s="836" t="s">
        <v>912</v>
      </c>
      <c r="C158" s="1057">
        <v>0.13</v>
      </c>
      <c r="D158" s="1057">
        <v>0.13</v>
      </c>
      <c r="E158" s="1057">
        <v>0.13</v>
      </c>
      <c r="F158" s="1058">
        <v>0.13</v>
      </c>
    </row>
    <row r="159" spans="1:6" ht="14.5" thickBot="1">
      <c r="A159" s="835" t="s">
        <v>526</v>
      </c>
      <c r="B159" s="829" t="s">
        <v>193</v>
      </c>
      <c r="C159" s="1059">
        <v>0.13</v>
      </c>
      <c r="D159" s="1059">
        <v>0.13</v>
      </c>
      <c r="E159" s="1059">
        <v>0.13</v>
      </c>
      <c r="F159" s="1060">
        <v>0.13</v>
      </c>
    </row>
    <row r="160" spans="1:6" ht="14.5" thickBot="1">
      <c r="A160" s="835" t="s">
        <v>526</v>
      </c>
      <c r="B160" s="829" t="s">
        <v>206</v>
      </c>
      <c r="C160" s="1059">
        <v>0.13</v>
      </c>
      <c r="D160" s="1059">
        <v>0.13</v>
      </c>
      <c r="E160" s="1059">
        <v>0.129</v>
      </c>
      <c r="F160" s="1060">
        <v>0.13</v>
      </c>
    </row>
    <row r="161" spans="1:6" ht="14.5" thickBot="1">
      <c r="A161" s="835" t="s">
        <v>526</v>
      </c>
      <c r="B161" s="829" t="s">
        <v>219</v>
      </c>
      <c r="C161" s="1059">
        <v>0.128</v>
      </c>
      <c r="D161" s="1059">
        <v>0.128</v>
      </c>
      <c r="E161" s="1059">
        <v>0.125</v>
      </c>
      <c r="F161" s="1060">
        <v>0.13</v>
      </c>
    </row>
    <row r="162" spans="1:6" ht="14.5" thickBot="1">
      <c r="A162" s="835" t="s">
        <v>526</v>
      </c>
      <c r="B162" s="829" t="s">
        <v>231</v>
      </c>
      <c r="C162" s="1059">
        <v>0.122</v>
      </c>
      <c r="D162" s="1059">
        <v>0.122</v>
      </c>
      <c r="E162" s="1059">
        <v>0.126</v>
      </c>
      <c r="F162" s="1060">
        <v>0.122</v>
      </c>
    </row>
    <row r="163" spans="1:6" ht="14.5" thickBot="1">
      <c r="A163" s="835" t="s">
        <v>526</v>
      </c>
      <c r="B163" s="829" t="s">
        <v>242</v>
      </c>
      <c r="C163" s="1059">
        <v>0.13</v>
      </c>
      <c r="D163" s="1059">
        <v>0.13</v>
      </c>
      <c r="E163" s="1059">
        <v>0.125</v>
      </c>
      <c r="F163" s="1060">
        <v>0.13</v>
      </c>
    </row>
    <row r="164" spans="1:6" ht="14.5" thickBot="1">
      <c r="A164" s="835" t="s">
        <v>526</v>
      </c>
      <c r="B164" s="829" t="s">
        <v>253</v>
      </c>
      <c r="C164" s="1059">
        <v>0.13</v>
      </c>
      <c r="D164" s="1059">
        <v>0.13</v>
      </c>
      <c r="E164" s="1059">
        <v>0.13</v>
      </c>
      <c r="F164" s="1060">
        <v>0.13</v>
      </c>
    </row>
    <row r="165" spans="1:6" ht="14.5" thickBot="1">
      <c r="A165" s="835" t="s">
        <v>526</v>
      </c>
      <c r="B165" s="829" t="s">
        <v>264</v>
      </c>
      <c r="C165" s="1059">
        <v>0.13</v>
      </c>
      <c r="D165" s="1059">
        <v>0.13</v>
      </c>
      <c r="E165" s="1059">
        <v>0.124</v>
      </c>
      <c r="F165" s="1060">
        <v>0.13</v>
      </c>
    </row>
    <row r="166" spans="1:6" ht="14.5" thickBot="1">
      <c r="A166" s="835" t="s">
        <v>526</v>
      </c>
      <c r="B166" s="829" t="s">
        <v>276</v>
      </c>
      <c r="C166" s="1059">
        <v>0.13</v>
      </c>
      <c r="D166" s="1059">
        <v>0.13</v>
      </c>
      <c r="E166" s="1059">
        <v>0.13</v>
      </c>
      <c r="F166" s="1060">
        <v>0.13</v>
      </c>
    </row>
    <row r="167" spans="1:6" ht="14.5" thickBot="1">
      <c r="A167" s="835" t="s">
        <v>526</v>
      </c>
      <c r="B167" s="829" t="s">
        <v>286</v>
      </c>
      <c r="C167" s="1059">
        <v>0.125</v>
      </c>
      <c r="D167" s="1059">
        <v>0.125</v>
      </c>
      <c r="E167" s="1059">
        <v>0.121</v>
      </c>
      <c r="F167" s="1071"/>
    </row>
    <row r="168" spans="1:6" ht="14.5" thickBot="1">
      <c r="A168" s="835" t="s">
        <v>526</v>
      </c>
      <c r="B168" s="829" t="s">
        <v>296</v>
      </c>
      <c r="C168" s="1059">
        <v>0.13</v>
      </c>
      <c r="D168" s="1059">
        <v>0.13</v>
      </c>
      <c r="E168" s="1059">
        <v>0.126</v>
      </c>
      <c r="F168" s="1071"/>
    </row>
    <row r="169" spans="1:6" ht="14.5" thickBot="1">
      <c r="A169" s="835" t="s">
        <v>526</v>
      </c>
      <c r="B169" s="829" t="s">
        <v>306</v>
      </c>
      <c r="C169" s="1059">
        <v>0.128</v>
      </c>
      <c r="D169" s="1059">
        <v>0.129</v>
      </c>
      <c r="E169" s="1059">
        <v>0.13</v>
      </c>
      <c r="F169" s="1071"/>
    </row>
    <row r="170" spans="1:6" ht="14.5" thickBot="1">
      <c r="A170" s="835" t="s">
        <v>526</v>
      </c>
      <c r="B170" s="829" t="s">
        <v>316</v>
      </c>
      <c r="C170" s="1059">
        <v>0.14099999999999999</v>
      </c>
      <c r="D170" s="1059">
        <v>0.13</v>
      </c>
      <c r="E170" s="1059">
        <v>0.125</v>
      </c>
      <c r="F170" s="1071"/>
    </row>
    <row r="171" spans="1:6" ht="14.5" thickBot="1">
      <c r="A171" s="835" t="s">
        <v>526</v>
      </c>
      <c r="B171" s="829" t="s">
        <v>913</v>
      </c>
      <c r="C171" s="1059">
        <v>0.127</v>
      </c>
      <c r="D171" s="1059">
        <v>0.126</v>
      </c>
      <c r="E171" s="1059">
        <v>0.126</v>
      </c>
      <c r="F171" s="1060">
        <v>0.11799999999999999</v>
      </c>
    </row>
    <row r="172" spans="1:6" ht="14.5" thickBot="1">
      <c r="A172" s="835" t="s">
        <v>526</v>
      </c>
      <c r="B172" s="829" t="s">
        <v>914</v>
      </c>
      <c r="C172" s="1059">
        <v>0.13</v>
      </c>
      <c r="D172" s="1059">
        <v>0.13</v>
      </c>
      <c r="E172" s="1059">
        <v>0.13</v>
      </c>
      <c r="F172" s="1071"/>
    </row>
    <row r="173" spans="1:6" ht="14.5" thickBot="1">
      <c r="A173" s="835" t="s">
        <v>526</v>
      </c>
      <c r="B173" s="829" t="s">
        <v>348</v>
      </c>
      <c r="C173" s="1059">
        <v>0.13</v>
      </c>
      <c r="D173" s="1059">
        <v>0.13</v>
      </c>
      <c r="E173" s="1059">
        <v>0.13</v>
      </c>
      <c r="F173" s="1071"/>
    </row>
    <row r="174" spans="1:6" ht="14.5" thickBot="1">
      <c r="A174" s="835" t="s">
        <v>526</v>
      </c>
      <c r="B174" s="829" t="s">
        <v>915</v>
      </c>
      <c r="C174" s="1059">
        <v>0.13</v>
      </c>
      <c r="D174" s="1059">
        <v>0.13</v>
      </c>
      <c r="E174" s="1059">
        <v>0.13</v>
      </c>
      <c r="F174" s="1060">
        <v>0.13</v>
      </c>
    </row>
    <row r="175" spans="1:6" ht="14.5" thickBot="1">
      <c r="A175" s="835" t="s">
        <v>526</v>
      </c>
      <c r="B175" s="829" t="s">
        <v>916</v>
      </c>
      <c r="C175" s="1059">
        <v>0.13</v>
      </c>
      <c r="D175" s="1059">
        <v>0.13</v>
      </c>
      <c r="E175" s="1059">
        <v>0.13</v>
      </c>
      <c r="F175" s="1060">
        <v>0.13</v>
      </c>
    </row>
    <row r="176" spans="1:6" ht="14.5" thickBot="1">
      <c r="A176" s="835" t="s">
        <v>526</v>
      </c>
      <c r="B176" s="829" t="s">
        <v>378</v>
      </c>
      <c r="C176" s="1059">
        <v>0.13</v>
      </c>
      <c r="D176" s="1059">
        <v>0.13</v>
      </c>
      <c r="E176" s="1059">
        <v>0.13</v>
      </c>
      <c r="F176" s="1060">
        <v>0.13</v>
      </c>
    </row>
    <row r="177" spans="1:6" ht="14.5" thickBot="1">
      <c r="A177" s="835" t="s">
        <v>526</v>
      </c>
      <c r="B177" s="829" t="s">
        <v>917</v>
      </c>
      <c r="C177" s="1059">
        <v>0.13</v>
      </c>
      <c r="D177" s="1059">
        <v>0.13</v>
      </c>
      <c r="E177" s="1059">
        <v>0.13</v>
      </c>
      <c r="F177" s="1060">
        <v>0.13</v>
      </c>
    </row>
    <row r="178" spans="1:6" ht="14.5" thickBot="1">
      <c r="A178" s="835" t="s">
        <v>526</v>
      </c>
      <c r="B178" s="829" t="s">
        <v>396</v>
      </c>
      <c r="C178" s="1059">
        <v>0.13</v>
      </c>
      <c r="D178" s="1059">
        <v>0.13</v>
      </c>
      <c r="E178" s="1059">
        <v>0.13</v>
      </c>
      <c r="F178" s="1060">
        <v>0.127</v>
      </c>
    </row>
    <row r="179" spans="1:6" ht="14.5" thickBot="1">
      <c r="A179" s="835" t="s">
        <v>526</v>
      </c>
      <c r="B179" s="829" t="s">
        <v>404</v>
      </c>
      <c r="C179" s="1059">
        <v>0.13</v>
      </c>
      <c r="D179" s="1059">
        <v>0.13</v>
      </c>
      <c r="E179" s="1059">
        <v>0.13</v>
      </c>
      <c r="F179" s="1071"/>
    </row>
    <row r="180" spans="1:6" ht="14.5" thickBot="1">
      <c r="A180" s="835" t="s">
        <v>526</v>
      </c>
      <c r="B180" s="829" t="s">
        <v>918</v>
      </c>
      <c r="C180" s="1059">
        <v>0.13</v>
      </c>
      <c r="D180" s="1059">
        <v>0.13</v>
      </c>
      <c r="E180" s="1059">
        <v>0.125</v>
      </c>
      <c r="F180" s="1060">
        <v>0.13</v>
      </c>
    </row>
    <row r="181" spans="1:6" ht="14.5" thickBot="1">
      <c r="A181" s="835" t="s">
        <v>526</v>
      </c>
      <c r="B181" s="829" t="s">
        <v>418</v>
      </c>
      <c r="C181" s="1059">
        <v>0.122</v>
      </c>
      <c r="D181" s="1059">
        <v>0.123</v>
      </c>
      <c r="E181" s="1059">
        <v>0.126</v>
      </c>
      <c r="F181" s="1060">
        <v>0.121</v>
      </c>
    </row>
    <row r="182" spans="1:6" ht="14.5" thickBot="1">
      <c r="A182" s="835" t="s">
        <v>526</v>
      </c>
      <c r="B182" s="829" t="s">
        <v>425</v>
      </c>
      <c r="C182" s="1059">
        <v>0.125</v>
      </c>
      <c r="D182" s="1059">
        <v>0.125</v>
      </c>
      <c r="E182" s="1059">
        <v>0.11700000000000001</v>
      </c>
      <c r="F182" s="1060">
        <v>0.13</v>
      </c>
    </row>
    <row r="183" spans="1:6" ht="14.5" thickBot="1">
      <c r="A183" s="835" t="s">
        <v>526</v>
      </c>
      <c r="B183" s="829" t="s">
        <v>432</v>
      </c>
      <c r="C183" s="1059">
        <v>0.127</v>
      </c>
      <c r="D183" s="1059">
        <v>0.127</v>
      </c>
      <c r="E183" s="1059">
        <v>0.128</v>
      </c>
      <c r="F183" s="1071"/>
    </row>
    <row r="184" spans="1:6" ht="14.5" thickBot="1">
      <c r="A184" s="835" t="s">
        <v>526</v>
      </c>
      <c r="B184" s="829" t="s">
        <v>439</v>
      </c>
      <c r="C184" s="1059">
        <v>0.125</v>
      </c>
      <c r="D184" s="1059">
        <v>0.125</v>
      </c>
      <c r="E184" s="1059">
        <v>0.127</v>
      </c>
      <c r="F184" s="1071"/>
    </row>
    <row r="185" spans="1:6" ht="14.5" thickBot="1">
      <c r="A185" s="835" t="s">
        <v>526</v>
      </c>
      <c r="B185" s="829" t="s">
        <v>919</v>
      </c>
      <c r="C185" s="1059">
        <v>0.127</v>
      </c>
      <c r="D185" s="1059">
        <v>0.127</v>
      </c>
      <c r="E185" s="1059">
        <v>0.128</v>
      </c>
      <c r="F185" s="1060">
        <v>0.13</v>
      </c>
    </row>
    <row r="186" spans="1:6" ht="26.5" thickBot="1">
      <c r="A186" s="835" t="s">
        <v>526</v>
      </c>
      <c r="B186" s="829" t="s">
        <v>920</v>
      </c>
      <c r="C186" s="1072"/>
      <c r="D186" s="1072"/>
      <c r="E186" s="1072"/>
      <c r="F186" s="1060">
        <v>0.05</v>
      </c>
    </row>
    <row r="187" spans="1:6" ht="14.5" thickBot="1">
      <c r="A187" s="835" t="s">
        <v>526</v>
      </c>
      <c r="B187" s="829" t="s">
        <v>921</v>
      </c>
      <c r="C187" s="1072"/>
      <c r="D187" s="1072"/>
      <c r="E187" s="1072"/>
      <c r="F187" s="1060">
        <v>0.05</v>
      </c>
    </row>
    <row r="188" spans="1:6" ht="26.5" thickBot="1">
      <c r="A188" s="835" t="s">
        <v>526</v>
      </c>
      <c r="B188" s="829" t="s">
        <v>922</v>
      </c>
      <c r="C188" s="1072"/>
      <c r="D188" s="1072"/>
      <c r="E188" s="1072"/>
      <c r="F188" s="1060">
        <v>0.05</v>
      </c>
    </row>
    <row r="189" spans="1:6" ht="26.5" thickBot="1">
      <c r="A189" s="835" t="s">
        <v>526</v>
      </c>
      <c r="B189" s="829" t="s">
        <v>923</v>
      </c>
      <c r="C189" s="1072"/>
      <c r="D189" s="1072"/>
      <c r="E189" s="1072"/>
      <c r="F189" s="1060">
        <v>0.05</v>
      </c>
    </row>
    <row r="190" spans="1:6" ht="26.5" thickBot="1">
      <c r="A190" s="835" t="s">
        <v>526</v>
      </c>
      <c r="B190" s="829" t="s">
        <v>924</v>
      </c>
      <c r="C190" s="1072"/>
      <c r="D190" s="1072"/>
      <c r="E190" s="1072"/>
      <c r="F190" s="1060">
        <v>0.05</v>
      </c>
    </row>
    <row r="191" spans="1:6" ht="26.5" thickBot="1">
      <c r="A191" s="835" t="s">
        <v>526</v>
      </c>
      <c r="B191" s="829" t="s">
        <v>925</v>
      </c>
      <c r="C191" s="1072"/>
      <c r="D191" s="1072"/>
      <c r="E191" s="1072"/>
      <c r="F191" s="1060">
        <v>0.05</v>
      </c>
    </row>
    <row r="192" spans="1:6" ht="26.5" thickBot="1">
      <c r="A192" s="835" t="s">
        <v>526</v>
      </c>
      <c r="B192" s="829" t="s">
        <v>926</v>
      </c>
      <c r="C192" s="1072"/>
      <c r="D192" s="1072"/>
      <c r="E192" s="1072"/>
      <c r="F192" s="1060">
        <v>0.05</v>
      </c>
    </row>
    <row r="193" spans="1:6" ht="26.5" thickBot="1">
      <c r="A193" s="835" t="s">
        <v>526</v>
      </c>
      <c r="B193" s="829" t="s">
        <v>927</v>
      </c>
      <c r="C193" s="1072"/>
      <c r="D193" s="1072"/>
      <c r="E193" s="1072"/>
      <c r="F193" s="1060">
        <v>0.05</v>
      </c>
    </row>
    <row r="194" spans="1:6" ht="26.5" thickBot="1">
      <c r="A194" s="835" t="s">
        <v>526</v>
      </c>
      <c r="B194" s="829" t="s">
        <v>928</v>
      </c>
      <c r="C194" s="1072"/>
      <c r="D194" s="1072"/>
      <c r="E194" s="1072"/>
      <c r="F194" s="1060">
        <v>0.05</v>
      </c>
    </row>
    <row r="195" spans="1:6" ht="14.5" thickBot="1">
      <c r="A195" s="835" t="s">
        <v>526</v>
      </c>
      <c r="B195" s="829" t="s">
        <v>929</v>
      </c>
      <c r="C195" s="1072"/>
      <c r="D195" s="1072"/>
      <c r="E195" s="1072"/>
      <c r="F195" s="1060">
        <v>0.05</v>
      </c>
    </row>
    <row r="196" spans="1:6" ht="26.5" thickBot="1">
      <c r="A196" s="835" t="s">
        <v>526</v>
      </c>
      <c r="B196" s="829" t="s">
        <v>930</v>
      </c>
      <c r="C196" s="1072"/>
      <c r="D196" s="1072"/>
      <c r="E196" s="1072"/>
      <c r="F196" s="1060">
        <v>0.05</v>
      </c>
    </row>
    <row r="197" spans="1:6" ht="26.5" thickBot="1">
      <c r="A197" s="835" t="s">
        <v>526</v>
      </c>
      <c r="B197" s="829" t="s">
        <v>931</v>
      </c>
      <c r="C197" s="1072"/>
      <c r="D197" s="1072"/>
      <c r="E197" s="1072"/>
      <c r="F197" s="1060">
        <v>0.05</v>
      </c>
    </row>
    <row r="198" spans="1:6" ht="26.5" thickBot="1">
      <c r="A198" s="835" t="s">
        <v>526</v>
      </c>
      <c r="B198" s="829" t="s">
        <v>932</v>
      </c>
      <c r="C198" s="1072"/>
      <c r="D198" s="1072"/>
      <c r="E198" s="1072"/>
      <c r="F198" s="1060">
        <v>0.05</v>
      </c>
    </row>
    <row r="199" spans="1:6" ht="26.5" thickBot="1">
      <c r="A199" s="835" t="s">
        <v>526</v>
      </c>
      <c r="B199" s="829" t="s">
        <v>933</v>
      </c>
      <c r="C199" s="1072"/>
      <c r="D199" s="1072"/>
      <c r="E199" s="1072"/>
      <c r="F199" s="1060">
        <v>0.05</v>
      </c>
    </row>
    <row r="200" spans="1:6" ht="26.5" thickBot="1">
      <c r="A200" s="835" t="s">
        <v>526</v>
      </c>
      <c r="B200" s="829" t="s">
        <v>934</v>
      </c>
      <c r="C200" s="1072"/>
      <c r="D200" s="1072"/>
      <c r="E200" s="1072"/>
      <c r="F200" s="1060">
        <v>0.05</v>
      </c>
    </row>
    <row r="201" spans="1:6" ht="26.5" thickBot="1">
      <c r="A201" s="835" t="s">
        <v>526</v>
      </c>
      <c r="B201" s="829" t="s">
        <v>935</v>
      </c>
      <c r="C201" s="1072"/>
      <c r="D201" s="1072"/>
      <c r="E201" s="1072"/>
      <c r="F201" s="1060">
        <v>0.05</v>
      </c>
    </row>
    <row r="202" spans="1:6" ht="26.5" thickBot="1">
      <c r="A202" s="835" t="s">
        <v>526</v>
      </c>
      <c r="B202" s="829" t="s">
        <v>936</v>
      </c>
      <c r="C202" s="1072"/>
      <c r="D202" s="1072"/>
      <c r="E202" s="1072"/>
      <c r="F202" s="1060">
        <v>0.05</v>
      </c>
    </row>
    <row r="203" spans="1:6" ht="26.5" thickBot="1">
      <c r="A203" s="835" t="s">
        <v>526</v>
      </c>
      <c r="B203" s="829" t="s">
        <v>937</v>
      </c>
      <c r="C203" s="1072"/>
      <c r="D203" s="1072"/>
      <c r="E203" s="1072"/>
      <c r="F203" s="1060">
        <v>0.05</v>
      </c>
    </row>
    <row r="204" spans="1:6" ht="14.5" thickBot="1">
      <c r="A204" s="835" t="s">
        <v>526</v>
      </c>
      <c r="B204" s="829" t="s">
        <v>938</v>
      </c>
      <c r="C204" s="1072"/>
      <c r="D204" s="1072"/>
      <c r="E204" s="1072"/>
      <c r="F204" s="1060">
        <v>0.05</v>
      </c>
    </row>
    <row r="205" spans="1:6" ht="14.5" thickBot="1">
      <c r="A205" s="845" t="s">
        <v>526</v>
      </c>
      <c r="B205" s="841" t="s">
        <v>939</v>
      </c>
      <c r="C205" s="1069"/>
      <c r="D205" s="1069"/>
      <c r="E205" s="1069"/>
      <c r="F205" s="1062">
        <v>0.05</v>
      </c>
    </row>
    <row r="206" spans="1:6" ht="14.5" thickBot="1">
      <c r="A206" s="835" t="s">
        <v>528</v>
      </c>
      <c r="B206" s="836" t="s">
        <v>940</v>
      </c>
      <c r="C206" s="1057">
        <v>0.15</v>
      </c>
      <c r="D206" s="1057">
        <v>0.15</v>
      </c>
      <c r="E206" s="1057">
        <v>0.15</v>
      </c>
      <c r="F206" s="1058">
        <v>0.15</v>
      </c>
    </row>
    <row r="207" spans="1:6" ht="14.5" thickBot="1">
      <c r="A207" s="835" t="s">
        <v>528</v>
      </c>
      <c r="B207" s="829" t="s">
        <v>194</v>
      </c>
      <c r="C207" s="1059">
        <v>0.15</v>
      </c>
      <c r="D207" s="1059">
        <v>0.15</v>
      </c>
      <c r="E207" s="1059">
        <v>0.15</v>
      </c>
      <c r="F207" s="1060">
        <v>0.14399999999999999</v>
      </c>
    </row>
    <row r="208" spans="1:6" ht="14.5" thickBot="1">
      <c r="A208" s="835" t="s">
        <v>528</v>
      </c>
      <c r="B208" s="829" t="s">
        <v>207</v>
      </c>
      <c r="C208" s="1059">
        <v>0.15</v>
      </c>
      <c r="D208" s="1059">
        <v>0.15</v>
      </c>
      <c r="E208" s="1059">
        <v>0.15</v>
      </c>
      <c r="F208" s="1060">
        <v>0.15</v>
      </c>
    </row>
    <row r="209" spans="1:6" ht="14.5" thickBot="1">
      <c r="A209" s="835" t="s">
        <v>528</v>
      </c>
      <c r="B209" s="829" t="s">
        <v>220</v>
      </c>
      <c r="C209" s="1059">
        <v>0.13700000000000001</v>
      </c>
      <c r="D209" s="1059">
        <v>0.13700000000000001</v>
      </c>
      <c r="E209" s="1059">
        <v>0.14000000000000001</v>
      </c>
      <c r="F209" s="1060">
        <v>0.11700000000000001</v>
      </c>
    </row>
    <row r="210" spans="1:6" ht="14.5" thickBot="1">
      <c r="A210" s="835" t="s">
        <v>528</v>
      </c>
      <c r="B210" s="829" t="s">
        <v>941</v>
      </c>
      <c r="C210" s="1059">
        <v>0.15</v>
      </c>
      <c r="D210" s="1059">
        <v>0.15</v>
      </c>
      <c r="E210" s="1059">
        <v>0.15</v>
      </c>
      <c r="F210" s="1060">
        <v>0.13800000000000001</v>
      </c>
    </row>
    <row r="211" spans="1:6" ht="14.5" thickBot="1">
      <c r="A211" s="835" t="s">
        <v>528</v>
      </c>
      <c r="B211" s="829" t="s">
        <v>942</v>
      </c>
      <c r="C211" s="1059">
        <v>0.13700000000000001</v>
      </c>
      <c r="D211" s="1059">
        <v>0.13500000000000001</v>
      </c>
      <c r="E211" s="1059">
        <v>0.13600000000000001</v>
      </c>
      <c r="F211" s="1060">
        <v>0.1</v>
      </c>
    </row>
    <row r="212" spans="1:6" ht="14.5" thickBot="1">
      <c r="A212" s="835" t="s">
        <v>528</v>
      </c>
      <c r="B212" s="829" t="s">
        <v>943</v>
      </c>
      <c r="C212" s="1059">
        <v>0.15</v>
      </c>
      <c r="D212" s="1059">
        <v>0.15</v>
      </c>
      <c r="E212" s="1059">
        <v>0.14799999999999999</v>
      </c>
      <c r="F212" s="1060">
        <v>0.13600000000000001</v>
      </c>
    </row>
    <row r="213" spans="1:6" ht="14.5" thickBot="1">
      <c r="A213" s="835" t="s">
        <v>528</v>
      </c>
      <c r="B213" s="829" t="s">
        <v>265</v>
      </c>
      <c r="C213" s="1059">
        <v>0.15</v>
      </c>
      <c r="D213" s="1059">
        <v>0.15</v>
      </c>
      <c r="E213" s="1059">
        <v>0.15</v>
      </c>
      <c r="F213" s="1060">
        <v>0.13800000000000001</v>
      </c>
    </row>
    <row r="214" spans="1:6" ht="14.5" thickBot="1">
      <c r="A214" s="835" t="s">
        <v>528</v>
      </c>
      <c r="B214" s="829" t="s">
        <v>277</v>
      </c>
      <c r="C214" s="1059">
        <v>9.0999999999999998E-2</v>
      </c>
      <c r="D214" s="1059">
        <v>0.09</v>
      </c>
      <c r="E214" s="1059">
        <v>9.1999999999999998E-2</v>
      </c>
      <c r="F214" s="1071"/>
    </row>
    <row r="215" spans="1:6" ht="14.5" thickBot="1">
      <c r="A215" s="835" t="s">
        <v>528</v>
      </c>
      <c r="B215" s="829" t="s">
        <v>944</v>
      </c>
      <c r="C215" s="1059">
        <v>0.15</v>
      </c>
      <c r="D215" s="1059">
        <v>0.15</v>
      </c>
      <c r="E215" s="1059">
        <v>0.15</v>
      </c>
      <c r="F215" s="1060">
        <v>0.15</v>
      </c>
    </row>
    <row r="216" spans="1:6" ht="14.5" thickBot="1">
      <c r="A216" s="835" t="s">
        <v>528</v>
      </c>
      <c r="B216" s="829" t="s">
        <v>297</v>
      </c>
      <c r="C216" s="1059">
        <v>0.14699999999999999</v>
      </c>
      <c r="D216" s="1059">
        <v>0.14699999999999999</v>
      </c>
      <c r="E216" s="1059">
        <v>0.15</v>
      </c>
      <c r="F216" s="1060">
        <v>0.14000000000000001</v>
      </c>
    </row>
    <row r="217" spans="1:6" ht="14.5" thickBot="1">
      <c r="A217" s="835" t="s">
        <v>528</v>
      </c>
      <c r="B217" s="829" t="s">
        <v>307</v>
      </c>
      <c r="C217" s="1059">
        <v>0.15</v>
      </c>
      <c r="D217" s="1059">
        <v>0.15</v>
      </c>
      <c r="E217" s="1059">
        <v>0.15</v>
      </c>
      <c r="F217" s="1060">
        <v>0.15</v>
      </c>
    </row>
    <row r="218" spans="1:6" ht="14.5" thickBot="1">
      <c r="A218" s="835" t="s">
        <v>528</v>
      </c>
      <c r="B218" s="829" t="s">
        <v>945</v>
      </c>
      <c r="C218" s="1059">
        <v>0.15</v>
      </c>
      <c r="D218" s="1059">
        <v>0.15</v>
      </c>
      <c r="E218" s="1059">
        <v>0.15</v>
      </c>
      <c r="F218" s="1060">
        <v>0.15</v>
      </c>
    </row>
    <row r="219" spans="1:6" ht="14.5" thickBot="1">
      <c r="A219" s="835" t="s">
        <v>528</v>
      </c>
      <c r="B219" s="829" t="s">
        <v>328</v>
      </c>
      <c r="C219" s="1059">
        <v>0.15</v>
      </c>
      <c r="D219" s="1059">
        <v>0.15</v>
      </c>
      <c r="E219" s="1059">
        <v>0.15</v>
      </c>
      <c r="F219" s="1060">
        <v>0.14799999999999999</v>
      </c>
    </row>
    <row r="220" spans="1:6" ht="14.5" thickBot="1">
      <c r="A220" s="835" t="s">
        <v>528</v>
      </c>
      <c r="B220" s="829" t="s">
        <v>946</v>
      </c>
      <c r="C220" s="1059">
        <v>0.15</v>
      </c>
      <c r="D220" s="1059">
        <v>0.15</v>
      </c>
      <c r="E220" s="1059">
        <v>0.15</v>
      </c>
      <c r="F220" s="1060">
        <v>0.15</v>
      </c>
    </row>
    <row r="221" spans="1:6" ht="14.5" thickBot="1">
      <c r="A221" s="835" t="s">
        <v>528</v>
      </c>
      <c r="B221" s="829" t="s">
        <v>349</v>
      </c>
      <c r="C221" s="1059"/>
      <c r="D221" s="1072"/>
      <c r="E221" s="1072"/>
      <c r="F221" s="1060">
        <v>0.14799999999999999</v>
      </c>
    </row>
    <row r="222" spans="1:6" ht="14.5" thickBot="1">
      <c r="A222" s="835" t="s">
        <v>528</v>
      </c>
      <c r="B222" s="829" t="s">
        <v>359</v>
      </c>
      <c r="C222" s="1059"/>
      <c r="D222" s="1072"/>
      <c r="E222" s="1072"/>
      <c r="F222" s="1060">
        <v>0.1</v>
      </c>
    </row>
    <row r="223" spans="1:6" ht="14.5" thickBot="1">
      <c r="A223" s="835" t="s">
        <v>528</v>
      </c>
      <c r="B223" s="829" t="s">
        <v>369</v>
      </c>
      <c r="C223" s="1059"/>
      <c r="D223" s="1072"/>
      <c r="E223" s="1072"/>
      <c r="F223" s="1060">
        <v>0.15</v>
      </c>
    </row>
    <row r="224" spans="1:6" ht="14.5" thickBot="1">
      <c r="A224" s="835" t="s">
        <v>528</v>
      </c>
      <c r="B224" s="829" t="s">
        <v>379</v>
      </c>
      <c r="C224" s="1059"/>
      <c r="D224" s="1072"/>
      <c r="E224" s="1072"/>
      <c r="F224" s="1060">
        <v>0.15</v>
      </c>
    </row>
    <row r="225" spans="1:6" ht="14.5" thickBot="1">
      <c r="A225" s="835" t="s">
        <v>528</v>
      </c>
      <c r="B225" s="829" t="s">
        <v>947</v>
      </c>
      <c r="C225" s="1059">
        <v>0.15</v>
      </c>
      <c r="D225" s="1059">
        <v>0.15</v>
      </c>
      <c r="E225" s="1059">
        <v>0.15</v>
      </c>
      <c r="F225" s="1060">
        <v>0.15</v>
      </c>
    </row>
    <row r="226" spans="1:6" ht="14.5" thickBot="1">
      <c r="A226" s="835" t="s">
        <v>528</v>
      </c>
      <c r="B226" s="829" t="s">
        <v>397</v>
      </c>
      <c r="C226" s="1059">
        <v>0.15</v>
      </c>
      <c r="D226" s="1059">
        <v>0.15</v>
      </c>
      <c r="E226" s="1059">
        <v>0.15</v>
      </c>
      <c r="F226" s="1060">
        <v>0.14799999999999999</v>
      </c>
    </row>
    <row r="227" spans="1:6" ht="14.5" thickBot="1">
      <c r="A227" s="835" t="s">
        <v>528</v>
      </c>
      <c r="B227" s="829" t="s">
        <v>948</v>
      </c>
      <c r="C227" s="1059">
        <v>0.15</v>
      </c>
      <c r="D227" s="1059">
        <v>0.15</v>
      </c>
      <c r="E227" s="1059">
        <v>0.15</v>
      </c>
      <c r="F227" s="1060">
        <v>0.15</v>
      </c>
    </row>
    <row r="228" spans="1:6" ht="14.5" thickBot="1">
      <c r="A228" s="835" t="s">
        <v>528</v>
      </c>
      <c r="B228" s="829" t="s">
        <v>412</v>
      </c>
      <c r="C228" s="1059">
        <v>0.15</v>
      </c>
      <c r="D228" s="1059">
        <v>0.15</v>
      </c>
      <c r="E228" s="1059">
        <v>0.15</v>
      </c>
      <c r="F228" s="1060">
        <v>0.15</v>
      </c>
    </row>
    <row r="229" spans="1:6" ht="14.5" thickBot="1">
      <c r="A229" s="835" t="s">
        <v>528</v>
      </c>
      <c r="B229" s="829" t="s">
        <v>419</v>
      </c>
      <c r="C229" s="1059">
        <v>0.15</v>
      </c>
      <c r="D229" s="1059">
        <v>0.15</v>
      </c>
      <c r="E229" s="1059">
        <v>0.15</v>
      </c>
      <c r="F229" s="1071"/>
    </row>
    <row r="230" spans="1:6" ht="14.5" thickBot="1">
      <c r="A230" s="835" t="s">
        <v>528</v>
      </c>
      <c r="B230" s="829" t="s">
        <v>426</v>
      </c>
      <c r="C230" s="1059">
        <v>0.14499999999999999</v>
      </c>
      <c r="D230" s="1059">
        <v>0.14499999999999999</v>
      </c>
      <c r="E230" s="1059">
        <v>0.14399999999999999</v>
      </c>
      <c r="F230" s="1071"/>
    </row>
    <row r="231" spans="1:6" ht="14.5" thickBot="1">
      <c r="A231" s="835" t="s">
        <v>528</v>
      </c>
      <c r="B231" s="829" t="s">
        <v>949</v>
      </c>
      <c r="C231" s="1059">
        <v>0.128</v>
      </c>
      <c r="D231" s="1059">
        <v>0.125</v>
      </c>
      <c r="E231" s="1059">
        <v>0.13200000000000001</v>
      </c>
      <c r="F231" s="1071"/>
    </row>
    <row r="232" spans="1:6" ht="14.5" thickBot="1">
      <c r="A232" s="835" t="s">
        <v>528</v>
      </c>
      <c r="B232" s="829" t="s">
        <v>950</v>
      </c>
      <c r="C232" s="1059">
        <v>0.14499999999999999</v>
      </c>
      <c r="D232" s="1059">
        <v>0.14399999999999999</v>
      </c>
      <c r="E232" s="1059">
        <v>0.14599999999999999</v>
      </c>
      <c r="F232" s="1060">
        <v>0.13800000000000001</v>
      </c>
    </row>
    <row r="233" spans="1:6" ht="14.5" thickBot="1">
      <c r="A233" s="835" t="s">
        <v>528</v>
      </c>
      <c r="B233" s="829" t="s">
        <v>951</v>
      </c>
      <c r="C233" s="1059">
        <v>0.14499999999999999</v>
      </c>
      <c r="D233" s="1059">
        <v>0.14299999999999999</v>
      </c>
      <c r="E233" s="1059">
        <v>0.14199999999999999</v>
      </c>
      <c r="F233" s="1071"/>
    </row>
    <row r="234" spans="1:6" ht="14.5" thickBot="1">
      <c r="A234" s="835" t="s">
        <v>528</v>
      </c>
      <c r="B234" s="829" t="s">
        <v>952</v>
      </c>
      <c r="C234" s="1059">
        <v>0.14000000000000001</v>
      </c>
      <c r="D234" s="1059">
        <v>0.14000000000000001</v>
      </c>
      <c r="E234" s="1059">
        <v>0.14399999999999999</v>
      </c>
      <c r="F234" s="1071"/>
    </row>
    <row r="235" spans="1:6" ht="14.5" thickBot="1">
      <c r="A235" s="835" t="s">
        <v>528</v>
      </c>
      <c r="B235" s="829" t="s">
        <v>953</v>
      </c>
      <c r="C235" s="1059">
        <v>0.14099999999999999</v>
      </c>
      <c r="D235" s="1059">
        <v>0.14199999999999999</v>
      </c>
      <c r="E235" s="1059">
        <v>0.14499999999999999</v>
      </c>
      <c r="F235" s="1060">
        <v>0.15</v>
      </c>
    </row>
    <row r="236" spans="1:6" ht="14.5" thickBot="1">
      <c r="A236" s="835" t="s">
        <v>528</v>
      </c>
      <c r="B236" s="829" t="s">
        <v>461</v>
      </c>
      <c r="C236" s="1072"/>
      <c r="D236" s="1072"/>
      <c r="E236" s="1072"/>
      <c r="F236" s="1060">
        <v>0.14299999999999999</v>
      </c>
    </row>
    <row r="237" spans="1:6" ht="26.5" thickBot="1">
      <c r="A237" s="835" t="s">
        <v>528</v>
      </c>
      <c r="B237" s="829" t="s">
        <v>954</v>
      </c>
      <c r="C237" s="1072"/>
      <c r="D237" s="1072"/>
      <c r="E237" s="1072"/>
      <c r="F237" s="1060">
        <v>0.05</v>
      </c>
    </row>
    <row r="238" spans="1:6" ht="26.5" thickBot="1">
      <c r="A238" s="835" t="s">
        <v>528</v>
      </c>
      <c r="B238" s="829" t="s">
        <v>955</v>
      </c>
      <c r="C238" s="1072"/>
      <c r="D238" s="1072"/>
      <c r="E238" s="1072"/>
      <c r="F238" s="1060">
        <v>0.05</v>
      </c>
    </row>
    <row r="239" spans="1:6" ht="26.5" thickBot="1">
      <c r="A239" s="835" t="s">
        <v>528</v>
      </c>
      <c r="B239" s="829" t="s">
        <v>956</v>
      </c>
      <c r="C239" s="1072"/>
      <c r="D239" s="1072"/>
      <c r="E239" s="1072"/>
      <c r="F239" s="1060">
        <v>0.05</v>
      </c>
    </row>
    <row r="240" spans="1:6" ht="26.5" thickBot="1">
      <c r="A240" s="835" t="s">
        <v>528</v>
      </c>
      <c r="B240" s="829" t="s">
        <v>957</v>
      </c>
      <c r="C240" s="1072"/>
      <c r="D240" s="1072"/>
      <c r="E240" s="1072"/>
      <c r="F240" s="1060">
        <v>0.05</v>
      </c>
    </row>
    <row r="241" spans="1:6" ht="26.5" thickBot="1">
      <c r="A241" s="835" t="s">
        <v>528</v>
      </c>
      <c r="B241" s="829" t="s">
        <v>958</v>
      </c>
      <c r="C241" s="1072"/>
      <c r="D241" s="1072"/>
      <c r="E241" s="1072"/>
      <c r="F241" s="1060">
        <v>0.05</v>
      </c>
    </row>
    <row r="242" spans="1:6" ht="26.5" thickBot="1">
      <c r="A242" s="835" t="s">
        <v>528</v>
      </c>
      <c r="B242" s="829" t="s">
        <v>959</v>
      </c>
      <c r="C242" s="1072"/>
      <c r="D242" s="1072"/>
      <c r="E242" s="1072"/>
      <c r="F242" s="1060">
        <v>0.05</v>
      </c>
    </row>
    <row r="243" spans="1:6" ht="26.5" thickBot="1">
      <c r="A243" s="835" t="s">
        <v>528</v>
      </c>
      <c r="B243" s="829" t="s">
        <v>960</v>
      </c>
      <c r="C243" s="1072"/>
      <c r="D243" s="1072"/>
      <c r="E243" s="1072"/>
      <c r="F243" s="1060">
        <v>0.05</v>
      </c>
    </row>
    <row r="244" spans="1:6" ht="26.5" thickBot="1">
      <c r="A244" s="845" t="s">
        <v>528</v>
      </c>
      <c r="B244" s="841" t="s">
        <v>961</v>
      </c>
      <c r="C244" s="1069"/>
      <c r="D244" s="1069"/>
      <c r="E244" s="1069"/>
      <c r="F244" s="1062">
        <v>0.05</v>
      </c>
    </row>
    <row r="245" spans="1:6" ht="14.5" thickBot="1">
      <c r="A245" s="835" t="s">
        <v>530</v>
      </c>
      <c r="B245" s="836" t="s">
        <v>962</v>
      </c>
      <c r="C245" s="1057">
        <v>0.15</v>
      </c>
      <c r="D245" s="1057">
        <v>0.15</v>
      </c>
      <c r="E245" s="1057">
        <v>0.15</v>
      </c>
      <c r="F245" s="1058">
        <v>0.14299999999999999</v>
      </c>
    </row>
    <row r="246" spans="1:6" ht="14.5" thickBot="1">
      <c r="A246" s="835" t="s">
        <v>530</v>
      </c>
      <c r="B246" s="829" t="s">
        <v>195</v>
      </c>
      <c r="C246" s="1059">
        <v>0.15</v>
      </c>
      <c r="D246" s="1059">
        <v>0.15</v>
      </c>
      <c r="E246" s="1059">
        <v>0.15</v>
      </c>
      <c r="F246" s="1060">
        <v>0.114</v>
      </c>
    </row>
    <row r="247" spans="1:6" ht="14.5" thickBot="1">
      <c r="A247" s="835" t="s">
        <v>530</v>
      </c>
      <c r="B247" s="829" t="s">
        <v>963</v>
      </c>
      <c r="C247" s="1059">
        <v>0.15</v>
      </c>
      <c r="D247" s="1059">
        <v>0.15</v>
      </c>
      <c r="E247" s="1059">
        <v>0.15</v>
      </c>
      <c r="F247" s="1060">
        <v>0.15</v>
      </c>
    </row>
    <row r="248" spans="1:6" ht="14.5" thickBot="1">
      <c r="A248" s="835" t="s">
        <v>530</v>
      </c>
      <c r="B248" s="829" t="s">
        <v>964</v>
      </c>
      <c r="C248" s="1059">
        <v>0.15</v>
      </c>
      <c r="D248" s="1059">
        <v>0.15</v>
      </c>
      <c r="E248" s="1059">
        <v>0.15</v>
      </c>
      <c r="F248" s="1060">
        <v>0.14000000000000001</v>
      </c>
    </row>
    <row r="249" spans="1:6" ht="14.5" thickBot="1">
      <c r="A249" s="835" t="s">
        <v>530</v>
      </c>
      <c r="B249" s="829" t="s">
        <v>965</v>
      </c>
      <c r="C249" s="1059">
        <v>0.15</v>
      </c>
      <c r="D249" s="1059">
        <v>0.14899999999999999</v>
      </c>
      <c r="E249" s="1059">
        <v>0.15</v>
      </c>
      <c r="F249" s="1060">
        <v>0.1</v>
      </c>
    </row>
    <row r="250" spans="1:6" ht="14.5" thickBot="1">
      <c r="A250" s="835" t="s">
        <v>530</v>
      </c>
      <c r="B250" s="829" t="s">
        <v>966</v>
      </c>
      <c r="C250" s="1059">
        <v>0.15</v>
      </c>
      <c r="D250" s="1059">
        <v>0.15</v>
      </c>
      <c r="E250" s="1059">
        <v>0.15</v>
      </c>
      <c r="F250" s="1060">
        <v>0.14399999999999999</v>
      </c>
    </row>
    <row r="251" spans="1:6" ht="14.5" thickBot="1">
      <c r="A251" s="835" t="s">
        <v>530</v>
      </c>
      <c r="B251" s="829" t="s">
        <v>255</v>
      </c>
      <c r="C251" s="1059">
        <v>0.15</v>
      </c>
      <c r="D251" s="1059">
        <v>0.15</v>
      </c>
      <c r="E251" s="1059">
        <v>0.15</v>
      </c>
      <c r="F251" s="1060">
        <v>0.14299999999999999</v>
      </c>
    </row>
    <row r="252" spans="1:6" ht="14.5" thickBot="1">
      <c r="A252" s="835" t="s">
        <v>530</v>
      </c>
      <c r="B252" s="829" t="s">
        <v>266</v>
      </c>
      <c r="C252" s="1059">
        <v>0.15</v>
      </c>
      <c r="D252" s="1059">
        <v>0.15</v>
      </c>
      <c r="E252" s="1059">
        <v>0.15</v>
      </c>
      <c r="F252" s="1060">
        <v>0.1</v>
      </c>
    </row>
    <row r="253" spans="1:6" ht="14.5" thickBot="1">
      <c r="A253" s="835" t="s">
        <v>530</v>
      </c>
      <c r="B253" s="829" t="s">
        <v>278</v>
      </c>
      <c r="C253" s="1059">
        <v>0.15</v>
      </c>
      <c r="D253" s="1059">
        <v>0.15</v>
      </c>
      <c r="E253" s="1059">
        <v>0.15</v>
      </c>
      <c r="F253" s="1060">
        <v>0.1</v>
      </c>
    </row>
    <row r="254" spans="1:6" ht="14.5" thickBot="1">
      <c r="A254" s="835" t="s">
        <v>530</v>
      </c>
      <c r="B254" s="829" t="s">
        <v>288</v>
      </c>
      <c r="C254" s="1072"/>
      <c r="D254" s="1072"/>
      <c r="E254" s="1072"/>
      <c r="F254" s="1060">
        <v>0.15</v>
      </c>
    </row>
    <row r="255" spans="1:6" ht="14.5" thickBot="1">
      <c r="A255" s="835" t="s">
        <v>530</v>
      </c>
      <c r="B255" s="829" t="s">
        <v>298</v>
      </c>
      <c r="C255" s="1072"/>
      <c r="D255" s="1072"/>
      <c r="E255" s="1072"/>
      <c r="F255" s="1060">
        <v>0.14299999999999999</v>
      </c>
    </row>
    <row r="256" spans="1:6" ht="14.5" thickBot="1">
      <c r="A256" s="835" t="s">
        <v>530</v>
      </c>
      <c r="B256" s="829" t="s">
        <v>967</v>
      </c>
      <c r="C256" s="1059">
        <v>0.14599999999999999</v>
      </c>
      <c r="D256" s="1059">
        <v>0.14699999999999999</v>
      </c>
      <c r="E256" s="1059">
        <v>0.15</v>
      </c>
      <c r="F256" s="1060">
        <v>0.13200000000000001</v>
      </c>
    </row>
    <row r="257" spans="1:6" ht="14.5" thickBot="1">
      <c r="A257" s="835" t="s">
        <v>530</v>
      </c>
      <c r="B257" s="829" t="s">
        <v>318</v>
      </c>
      <c r="C257" s="1059">
        <v>0.15</v>
      </c>
      <c r="D257" s="1059">
        <v>0.15</v>
      </c>
      <c r="E257" s="1059">
        <v>0.15</v>
      </c>
      <c r="F257" s="1060">
        <v>0.13900000000000001</v>
      </c>
    </row>
    <row r="258" spans="1:6" ht="14.5" thickBot="1">
      <c r="A258" s="835" t="s">
        <v>530</v>
      </c>
      <c r="B258" s="829" t="s">
        <v>329</v>
      </c>
      <c r="C258" s="1059">
        <v>0.15</v>
      </c>
      <c r="D258" s="1059">
        <v>0.15</v>
      </c>
      <c r="E258" s="1059">
        <v>0.15</v>
      </c>
      <c r="F258" s="1060">
        <v>0.13</v>
      </c>
    </row>
    <row r="259" spans="1:6" ht="14.5" thickBot="1">
      <c r="A259" s="835" t="s">
        <v>530</v>
      </c>
      <c r="B259" s="829" t="s">
        <v>968</v>
      </c>
      <c r="C259" s="1059">
        <v>0.14799999999999999</v>
      </c>
      <c r="D259" s="1059">
        <v>0.14899999999999999</v>
      </c>
      <c r="E259" s="1059">
        <v>0.15</v>
      </c>
      <c r="F259" s="1060">
        <v>0.13700000000000001</v>
      </c>
    </row>
    <row r="260" spans="1:6" ht="14.5" thickBot="1">
      <c r="A260" s="835" t="s">
        <v>530</v>
      </c>
      <c r="B260" s="829" t="s">
        <v>350</v>
      </c>
      <c r="C260" s="1059">
        <v>0.15</v>
      </c>
      <c r="D260" s="1059">
        <v>0.15</v>
      </c>
      <c r="E260" s="1059">
        <v>0.15</v>
      </c>
      <c r="F260" s="1060">
        <v>0.14199999999999999</v>
      </c>
    </row>
    <row r="261" spans="1:6" ht="14.5" thickBot="1">
      <c r="A261" s="835" t="s">
        <v>530</v>
      </c>
      <c r="B261" s="829" t="s">
        <v>360</v>
      </c>
      <c r="C261" s="1059">
        <v>0.15</v>
      </c>
      <c r="D261" s="1059">
        <v>0.15</v>
      </c>
      <c r="E261" s="1059">
        <v>0.14899999999999999</v>
      </c>
      <c r="F261" s="1060">
        <v>0.14799999999999999</v>
      </c>
    </row>
    <row r="262" spans="1:6" ht="14.5" thickBot="1">
      <c r="A262" s="835" t="s">
        <v>530</v>
      </c>
      <c r="B262" s="829" t="s">
        <v>370</v>
      </c>
      <c r="C262" s="1059">
        <v>0.15</v>
      </c>
      <c r="D262" s="1059">
        <v>0.15</v>
      </c>
      <c r="E262" s="1059">
        <v>0.15</v>
      </c>
      <c r="F262" s="1071"/>
    </row>
    <row r="263" spans="1:6" ht="14.5" thickBot="1">
      <c r="A263" s="835" t="s">
        <v>530</v>
      </c>
      <c r="B263" s="829" t="s">
        <v>969</v>
      </c>
      <c r="C263" s="1059">
        <v>0.14899999999999999</v>
      </c>
      <c r="D263" s="1059">
        <v>0.14899999999999999</v>
      </c>
      <c r="E263" s="1059">
        <v>0.15</v>
      </c>
      <c r="F263" s="1060">
        <v>0.13</v>
      </c>
    </row>
    <row r="264" spans="1:6" ht="14.5" thickBot="1">
      <c r="A264" s="835" t="s">
        <v>530</v>
      </c>
      <c r="B264" s="829" t="s">
        <v>389</v>
      </c>
      <c r="C264" s="1059">
        <v>0.14799999999999999</v>
      </c>
      <c r="D264" s="1059">
        <v>0.14699999999999999</v>
      </c>
      <c r="E264" s="1059">
        <v>0.15</v>
      </c>
      <c r="F264" s="1060">
        <v>7.8E-2</v>
      </c>
    </row>
    <row r="265" spans="1:6" ht="14.5" thickBot="1">
      <c r="A265" s="835" t="s">
        <v>530</v>
      </c>
      <c r="B265" s="829" t="s">
        <v>398</v>
      </c>
      <c r="C265" s="1059">
        <v>0.15</v>
      </c>
      <c r="D265" s="1059">
        <v>0.15</v>
      </c>
      <c r="E265" s="1059">
        <v>0.15</v>
      </c>
      <c r="F265" s="1060">
        <v>7.3999999999999996E-2</v>
      </c>
    </row>
    <row r="266" spans="1:6" ht="14.5" thickBot="1">
      <c r="A266" s="835" t="s">
        <v>530</v>
      </c>
      <c r="B266" s="829" t="s">
        <v>406</v>
      </c>
      <c r="C266" s="1059">
        <v>0.14699999999999999</v>
      </c>
      <c r="D266" s="1059">
        <v>0.14699999999999999</v>
      </c>
      <c r="E266" s="1059">
        <v>0.15</v>
      </c>
      <c r="F266" s="1060">
        <v>0.14299999999999999</v>
      </c>
    </row>
    <row r="267" spans="1:6" ht="14.5" thickBot="1">
      <c r="A267" s="835" t="s">
        <v>530</v>
      </c>
      <c r="B267" s="829" t="s">
        <v>413</v>
      </c>
      <c r="C267" s="1059">
        <v>0.14199999999999999</v>
      </c>
      <c r="D267" s="1059">
        <v>0.14299999999999999</v>
      </c>
      <c r="E267" s="1059">
        <v>0.15</v>
      </c>
      <c r="F267" s="1071"/>
    </row>
    <row r="268" spans="1:6" ht="14.5" thickBot="1">
      <c r="A268" s="835" t="s">
        <v>530</v>
      </c>
      <c r="B268" s="829" t="s">
        <v>970</v>
      </c>
      <c r="C268" s="1059">
        <v>0.15</v>
      </c>
      <c r="D268" s="1059">
        <v>0.15</v>
      </c>
      <c r="E268" s="1059">
        <v>0.15</v>
      </c>
      <c r="F268" s="1060">
        <v>0.13</v>
      </c>
    </row>
    <row r="269" spans="1:6" ht="14.5" thickBot="1">
      <c r="A269" s="835" t="s">
        <v>530</v>
      </c>
      <c r="B269" s="829" t="s">
        <v>427</v>
      </c>
      <c r="C269" s="1059">
        <v>0.15</v>
      </c>
      <c r="D269" s="1059">
        <v>0.15</v>
      </c>
      <c r="E269" s="1059">
        <v>0.15</v>
      </c>
      <c r="F269" s="1060">
        <v>0.14299999999999999</v>
      </c>
    </row>
    <row r="270" spans="1:6" ht="14.5" thickBot="1">
      <c r="A270" s="835" t="s">
        <v>530</v>
      </c>
      <c r="B270" s="829" t="s">
        <v>434</v>
      </c>
      <c r="C270" s="1059">
        <v>0.14499999999999999</v>
      </c>
      <c r="D270" s="1059">
        <v>0.14499999999999999</v>
      </c>
      <c r="E270" s="1059">
        <v>0.15</v>
      </c>
      <c r="F270" s="1060">
        <v>0.14699999999999999</v>
      </c>
    </row>
    <row r="271" spans="1:6" ht="14.5" thickBot="1">
      <c r="A271" s="835" t="s">
        <v>530</v>
      </c>
      <c r="B271" s="829" t="s">
        <v>441</v>
      </c>
      <c r="C271" s="1059">
        <v>0.15</v>
      </c>
      <c r="D271" s="1059">
        <v>0.15</v>
      </c>
      <c r="E271" s="1059">
        <v>0.15</v>
      </c>
      <c r="F271" s="1060">
        <v>0.13800000000000001</v>
      </c>
    </row>
    <row r="272" spans="1:6" ht="14.5" thickBot="1">
      <c r="A272" s="835" t="s">
        <v>530</v>
      </c>
      <c r="B272" s="829" t="s">
        <v>448</v>
      </c>
      <c r="C272" s="1072"/>
      <c r="D272" s="1072"/>
      <c r="E272" s="1072"/>
      <c r="F272" s="1060">
        <v>0.14000000000000001</v>
      </c>
    </row>
    <row r="273" spans="1:6" ht="14.5" thickBot="1">
      <c r="A273" s="835" t="s">
        <v>530</v>
      </c>
      <c r="B273" s="829" t="s">
        <v>971</v>
      </c>
      <c r="C273" s="1059">
        <v>0.14199999999999999</v>
      </c>
      <c r="D273" s="1059">
        <v>0.14299999999999999</v>
      </c>
      <c r="E273" s="1059">
        <v>0.15</v>
      </c>
      <c r="F273" s="1060">
        <v>0.1</v>
      </c>
    </row>
    <row r="274" spans="1:6" ht="14.5" thickBot="1">
      <c r="A274" s="835" t="s">
        <v>530</v>
      </c>
      <c r="B274" s="829" t="s">
        <v>972</v>
      </c>
      <c r="C274" s="1059">
        <v>0.14799999999999999</v>
      </c>
      <c r="D274" s="1059">
        <v>0.14799999999999999</v>
      </c>
      <c r="E274" s="1059">
        <v>0.15</v>
      </c>
      <c r="F274" s="1060">
        <v>6.7000000000000004E-2</v>
      </c>
    </row>
    <row r="275" spans="1:6" ht="14.5" thickBot="1">
      <c r="A275" s="835" t="s">
        <v>530</v>
      </c>
      <c r="B275" s="829" t="s">
        <v>973</v>
      </c>
      <c r="C275" s="1059">
        <v>0.15</v>
      </c>
      <c r="D275" s="1059">
        <v>0.15</v>
      </c>
      <c r="E275" s="1059">
        <v>0.15</v>
      </c>
      <c r="F275" s="1060">
        <v>0.15</v>
      </c>
    </row>
    <row r="276" spans="1:6" ht="14.5" thickBot="1">
      <c r="A276" s="835" t="s">
        <v>530</v>
      </c>
      <c r="B276" s="829" t="s">
        <v>974</v>
      </c>
      <c r="C276" s="1059">
        <v>0.14499999999999999</v>
      </c>
      <c r="D276" s="1059">
        <v>0.14299999999999999</v>
      </c>
      <c r="E276" s="1059">
        <v>0.15</v>
      </c>
      <c r="F276" s="1060">
        <v>5.8999999999999997E-2</v>
      </c>
    </row>
    <row r="277" spans="1:6" ht="14.5" thickBot="1">
      <c r="A277" s="835" t="s">
        <v>530</v>
      </c>
      <c r="B277" s="829" t="s">
        <v>975</v>
      </c>
      <c r="C277" s="1059">
        <v>0.15</v>
      </c>
      <c r="D277" s="1059">
        <v>0.15</v>
      </c>
      <c r="E277" s="1059">
        <v>0.15</v>
      </c>
      <c r="F277" s="1060">
        <v>0.121</v>
      </c>
    </row>
    <row r="278" spans="1:6" ht="14.5" thickBot="1">
      <c r="A278" s="835" t="s">
        <v>530</v>
      </c>
      <c r="B278" s="829" t="s">
        <v>976</v>
      </c>
      <c r="C278" s="1059">
        <v>0.15</v>
      </c>
      <c r="D278" s="1059">
        <v>0.15</v>
      </c>
      <c r="E278" s="1059">
        <v>0.15</v>
      </c>
      <c r="F278" s="1060">
        <v>0.13800000000000001</v>
      </c>
    </row>
    <row r="279" spans="1:6" ht="26.5" thickBot="1">
      <c r="A279" s="835" t="s">
        <v>530</v>
      </c>
      <c r="B279" s="829" t="s">
        <v>977</v>
      </c>
      <c r="C279" s="1072"/>
      <c r="D279" s="1072"/>
      <c r="E279" s="1072"/>
      <c r="F279" s="1060">
        <v>0.05</v>
      </c>
    </row>
    <row r="280" spans="1:6" ht="26.5" thickBot="1">
      <c r="A280" s="835" t="s">
        <v>530</v>
      </c>
      <c r="B280" s="829" t="s">
        <v>978</v>
      </c>
      <c r="C280" s="1072"/>
      <c r="D280" s="1072"/>
      <c r="E280" s="1072"/>
      <c r="F280" s="1060">
        <v>0.05</v>
      </c>
    </row>
    <row r="281" spans="1:6" ht="26.5" thickBot="1">
      <c r="A281" s="835" t="s">
        <v>530</v>
      </c>
      <c r="B281" s="829" t="s">
        <v>979</v>
      </c>
      <c r="C281" s="1072"/>
      <c r="D281" s="1072"/>
      <c r="E281" s="1072"/>
      <c r="F281" s="1060">
        <v>0.05</v>
      </c>
    </row>
    <row r="282" spans="1:6" ht="26.5" thickBot="1">
      <c r="A282" s="835" t="s">
        <v>530</v>
      </c>
      <c r="B282" s="829" t="s">
        <v>980</v>
      </c>
      <c r="C282" s="1072"/>
      <c r="D282" s="1072"/>
      <c r="E282" s="1072"/>
      <c r="F282" s="1060">
        <v>0.05</v>
      </c>
    </row>
    <row r="283" spans="1:6" ht="26.5" thickBot="1">
      <c r="A283" s="835" t="s">
        <v>530</v>
      </c>
      <c r="B283" s="829" t="s">
        <v>981</v>
      </c>
      <c r="C283" s="1072"/>
      <c r="D283" s="1072"/>
      <c r="E283" s="1072"/>
      <c r="F283" s="1060">
        <v>0.05</v>
      </c>
    </row>
    <row r="284" spans="1:6" ht="26.5" thickBot="1">
      <c r="A284" s="835" t="s">
        <v>530</v>
      </c>
      <c r="B284" s="829" t="s">
        <v>982</v>
      </c>
      <c r="C284" s="1072"/>
      <c r="D284" s="1072"/>
      <c r="E284" s="1072"/>
      <c r="F284" s="1060">
        <v>0.05</v>
      </c>
    </row>
    <row r="285" spans="1:6" ht="26.5" thickBot="1">
      <c r="A285" s="835" t="s">
        <v>530</v>
      </c>
      <c r="B285" s="829" t="s">
        <v>983</v>
      </c>
      <c r="C285" s="1072"/>
      <c r="D285" s="1072"/>
      <c r="E285" s="1072"/>
      <c r="F285" s="1060">
        <v>0.05</v>
      </c>
    </row>
    <row r="286" spans="1:6" ht="26.5" thickBot="1">
      <c r="A286" s="835" t="s">
        <v>530</v>
      </c>
      <c r="B286" s="829" t="s">
        <v>984</v>
      </c>
      <c r="C286" s="1072"/>
      <c r="D286" s="1072"/>
      <c r="E286" s="1072"/>
      <c r="F286" s="1060">
        <v>0.05</v>
      </c>
    </row>
    <row r="287" spans="1:6" ht="26.5" thickBot="1">
      <c r="A287" s="835" t="s">
        <v>530</v>
      </c>
      <c r="B287" s="829" t="s">
        <v>985</v>
      </c>
      <c r="C287" s="1072"/>
      <c r="D287" s="1072"/>
      <c r="E287" s="1072"/>
      <c r="F287" s="1060">
        <v>0.05</v>
      </c>
    </row>
    <row r="288" spans="1:6" ht="26.5" thickBot="1">
      <c r="A288" s="835" t="s">
        <v>530</v>
      </c>
      <c r="B288" s="829" t="s">
        <v>986</v>
      </c>
      <c r="C288" s="1072"/>
      <c r="D288" s="1072"/>
      <c r="E288" s="1072"/>
      <c r="F288" s="1060">
        <v>0.05</v>
      </c>
    </row>
    <row r="289" spans="1:6" ht="26.5" thickBot="1">
      <c r="A289" s="845" t="s">
        <v>530</v>
      </c>
      <c r="B289" s="841" t="s">
        <v>987</v>
      </c>
      <c r="C289" s="1069"/>
      <c r="D289" s="1069"/>
      <c r="E289" s="1069"/>
      <c r="F289" s="1062">
        <v>0.05</v>
      </c>
    </row>
    <row r="290" spans="1:6" ht="14.5" thickBot="1">
      <c r="A290" s="835" t="s">
        <v>534</v>
      </c>
      <c r="B290" s="836" t="s">
        <v>988</v>
      </c>
      <c r="C290" s="1057">
        <v>0.15</v>
      </c>
      <c r="D290" s="1057">
        <v>0.15</v>
      </c>
      <c r="E290" s="1057">
        <v>0.15</v>
      </c>
      <c r="F290" s="1074"/>
    </row>
    <row r="291" spans="1:6" ht="14.5" thickBot="1">
      <c r="A291" s="835" t="s">
        <v>534</v>
      </c>
      <c r="B291" s="829" t="s">
        <v>196</v>
      </c>
      <c r="C291" s="1059">
        <v>0.15</v>
      </c>
      <c r="D291" s="1059">
        <v>0.15</v>
      </c>
      <c r="E291" s="1059">
        <v>0.15</v>
      </c>
      <c r="F291" s="1071"/>
    </row>
    <row r="292" spans="1:6" ht="14.5" thickBot="1">
      <c r="A292" s="835" t="s">
        <v>534</v>
      </c>
      <c r="B292" s="829" t="s">
        <v>989</v>
      </c>
      <c r="C292" s="1059">
        <v>0.15</v>
      </c>
      <c r="D292" s="1059">
        <v>0.15</v>
      </c>
      <c r="E292" s="1059">
        <v>0.15</v>
      </c>
      <c r="F292" s="1060">
        <v>0.14699999999999999</v>
      </c>
    </row>
    <row r="293" spans="1:6" ht="14.5" thickBot="1">
      <c r="A293" s="835" t="s">
        <v>534</v>
      </c>
      <c r="B293" s="829" t="s">
        <v>990</v>
      </c>
      <c r="C293" s="1072"/>
      <c r="D293" s="1072"/>
      <c r="E293" s="1072"/>
      <c r="F293" s="1060">
        <v>0.1</v>
      </c>
    </row>
    <row r="294" spans="1:6" ht="14.5" thickBot="1">
      <c r="A294" s="835" t="s">
        <v>534</v>
      </c>
      <c r="B294" s="829" t="s">
        <v>991</v>
      </c>
      <c r="C294" s="1059">
        <v>0.15</v>
      </c>
      <c r="D294" s="1059">
        <v>0.15</v>
      </c>
      <c r="E294" s="1059">
        <v>0.15</v>
      </c>
      <c r="F294" s="1060">
        <v>0.15</v>
      </c>
    </row>
    <row r="295" spans="1:6" ht="14.5" thickBot="1">
      <c r="A295" s="835" t="s">
        <v>534</v>
      </c>
      <c r="B295" s="829" t="s">
        <v>234</v>
      </c>
      <c r="C295" s="1059">
        <v>0.15</v>
      </c>
      <c r="D295" s="1059">
        <v>0.15</v>
      </c>
      <c r="E295" s="1059">
        <v>0.15</v>
      </c>
      <c r="F295" s="1060">
        <v>0.15</v>
      </c>
    </row>
    <row r="296" spans="1:6" ht="14.5" thickBot="1">
      <c r="A296" s="835" t="s">
        <v>534</v>
      </c>
      <c r="B296" s="829" t="s">
        <v>992</v>
      </c>
      <c r="C296" s="1059">
        <v>0.15</v>
      </c>
      <c r="D296" s="1059">
        <v>0.15</v>
      </c>
      <c r="E296" s="1059">
        <v>0.15</v>
      </c>
      <c r="F296" s="1060">
        <v>0.15</v>
      </c>
    </row>
    <row r="297" spans="1:6" ht="14.5" thickBot="1">
      <c r="A297" s="835" t="s">
        <v>534</v>
      </c>
      <c r="B297" s="829" t="s">
        <v>993</v>
      </c>
      <c r="C297" s="1059">
        <v>0.14799999999999999</v>
      </c>
      <c r="D297" s="1059">
        <v>0.14899999999999999</v>
      </c>
      <c r="E297" s="1059">
        <v>0.15</v>
      </c>
      <c r="F297" s="1060">
        <v>0.13700000000000001</v>
      </c>
    </row>
    <row r="298" spans="1:6" ht="14.5" thickBot="1">
      <c r="A298" s="835" t="s">
        <v>534</v>
      </c>
      <c r="B298" s="829" t="s">
        <v>267</v>
      </c>
      <c r="C298" s="1059">
        <v>0.13400000000000001</v>
      </c>
      <c r="D298" s="1059">
        <v>0.13400000000000001</v>
      </c>
      <c r="E298" s="1059">
        <v>0.14499999999999999</v>
      </c>
      <c r="F298" s="1060">
        <v>0.14799999999999999</v>
      </c>
    </row>
    <row r="299" spans="1:6" ht="14.5" thickBot="1">
      <c r="A299" s="835" t="s">
        <v>534</v>
      </c>
      <c r="B299" s="829" t="s">
        <v>279</v>
      </c>
      <c r="C299" s="1059">
        <v>0.15</v>
      </c>
      <c r="D299" s="1059">
        <v>0.15</v>
      </c>
      <c r="E299" s="1059">
        <v>0.15</v>
      </c>
      <c r="F299" s="1071"/>
    </row>
    <row r="300" spans="1:6" ht="14.5" thickBot="1">
      <c r="A300" s="835" t="s">
        <v>534</v>
      </c>
      <c r="B300" s="829" t="s">
        <v>994</v>
      </c>
      <c r="C300" s="1059">
        <v>0.15</v>
      </c>
      <c r="D300" s="1059">
        <v>0.15</v>
      </c>
      <c r="E300" s="1059">
        <v>0.15</v>
      </c>
      <c r="F300" s="1060">
        <v>0.15</v>
      </c>
    </row>
    <row r="301" spans="1:6" ht="14.5" thickBot="1">
      <c r="A301" s="835" t="s">
        <v>534</v>
      </c>
      <c r="B301" s="829" t="s">
        <v>299</v>
      </c>
      <c r="C301" s="1059">
        <v>0.15</v>
      </c>
      <c r="D301" s="1059">
        <v>0.15</v>
      </c>
      <c r="E301" s="1059">
        <v>0.15</v>
      </c>
      <c r="F301" s="1071"/>
    </row>
    <row r="302" spans="1:6" ht="14.5" thickBot="1">
      <c r="A302" s="835" t="s">
        <v>534</v>
      </c>
      <c r="B302" s="829" t="s">
        <v>995</v>
      </c>
      <c r="C302" s="1059">
        <v>0.15</v>
      </c>
      <c r="D302" s="1059">
        <v>0.15</v>
      </c>
      <c r="E302" s="1059">
        <v>0.15</v>
      </c>
      <c r="F302" s="1060">
        <v>0.15</v>
      </c>
    </row>
    <row r="303" spans="1:6" ht="14.5" thickBot="1">
      <c r="A303" s="835" t="s">
        <v>534</v>
      </c>
      <c r="B303" s="829" t="s">
        <v>319</v>
      </c>
      <c r="C303" s="1059">
        <v>0.15</v>
      </c>
      <c r="D303" s="1059">
        <v>0.15</v>
      </c>
      <c r="E303" s="1059">
        <v>0.15</v>
      </c>
      <c r="F303" s="1060">
        <v>0.15</v>
      </c>
    </row>
    <row r="304" spans="1:6" ht="14.5" thickBot="1">
      <c r="A304" s="835" t="s">
        <v>534</v>
      </c>
      <c r="B304" s="829" t="s">
        <v>330</v>
      </c>
      <c r="C304" s="1059">
        <v>0.15</v>
      </c>
      <c r="D304" s="1059">
        <v>0.15</v>
      </c>
      <c r="E304" s="1059">
        <v>0.15</v>
      </c>
      <c r="F304" s="1071"/>
    </row>
    <row r="305" spans="1:6" ht="14.5" thickBot="1">
      <c r="A305" s="835" t="s">
        <v>534</v>
      </c>
      <c r="B305" s="829" t="s">
        <v>996</v>
      </c>
      <c r="C305" s="1059">
        <v>0.15</v>
      </c>
      <c r="D305" s="1059">
        <v>0.15</v>
      </c>
      <c r="E305" s="1059">
        <v>0.15</v>
      </c>
      <c r="F305" s="1060">
        <v>0.14000000000000001</v>
      </c>
    </row>
    <row r="306" spans="1:6" ht="14.5" thickBot="1">
      <c r="A306" s="835" t="s">
        <v>534</v>
      </c>
      <c r="B306" s="829" t="s">
        <v>351</v>
      </c>
      <c r="C306" s="1059">
        <v>0.15</v>
      </c>
      <c r="D306" s="1059">
        <v>0.15</v>
      </c>
      <c r="E306" s="1059">
        <v>0.15</v>
      </c>
      <c r="F306" s="1071"/>
    </row>
    <row r="307" spans="1:6" ht="14.5" thickBot="1">
      <c r="A307" s="835" t="s">
        <v>534</v>
      </c>
      <c r="B307" s="829" t="s">
        <v>997</v>
      </c>
      <c r="C307" s="1059">
        <v>0.15</v>
      </c>
      <c r="D307" s="1059">
        <v>0.15</v>
      </c>
      <c r="E307" s="1059">
        <v>0.15</v>
      </c>
      <c r="F307" s="1060">
        <v>0.14299999999999999</v>
      </c>
    </row>
    <row r="308" spans="1:6" ht="14.5" thickBot="1">
      <c r="A308" s="835" t="s">
        <v>534</v>
      </c>
      <c r="B308" s="829" t="s">
        <v>371</v>
      </c>
      <c r="C308" s="1059">
        <v>0.15</v>
      </c>
      <c r="D308" s="1059">
        <v>0.15</v>
      </c>
      <c r="E308" s="1059">
        <v>0.15</v>
      </c>
      <c r="F308" s="1060">
        <v>0.15</v>
      </c>
    </row>
    <row r="309" spans="1:6" ht="14.5" thickBot="1">
      <c r="A309" s="835" t="s">
        <v>534</v>
      </c>
      <c r="B309" s="829" t="s">
        <v>381</v>
      </c>
      <c r="C309" s="1059">
        <v>0.15</v>
      </c>
      <c r="D309" s="1059">
        <v>0.15</v>
      </c>
      <c r="E309" s="1059">
        <v>0.15</v>
      </c>
      <c r="F309" s="1071"/>
    </row>
    <row r="310" spans="1:6" ht="14.5" thickBot="1">
      <c r="A310" s="835" t="s">
        <v>534</v>
      </c>
      <c r="B310" s="829" t="s">
        <v>998</v>
      </c>
      <c r="C310" s="1059">
        <v>0.15</v>
      </c>
      <c r="D310" s="1059">
        <v>0.15</v>
      </c>
      <c r="E310" s="1059">
        <v>0.15</v>
      </c>
      <c r="F310" s="1060">
        <v>0.13700000000000001</v>
      </c>
    </row>
    <row r="311" spans="1:6" ht="14.5" thickBot="1">
      <c r="A311" s="835" t="s">
        <v>534</v>
      </c>
      <c r="B311" s="829" t="s">
        <v>999</v>
      </c>
      <c r="C311" s="1059">
        <v>0.15</v>
      </c>
      <c r="D311" s="1059">
        <v>0.15</v>
      </c>
      <c r="E311" s="1059">
        <v>0.15</v>
      </c>
      <c r="F311" s="1060">
        <v>0.15</v>
      </c>
    </row>
    <row r="312" spans="1:6" ht="14.5" thickBot="1">
      <c r="A312" s="835" t="s">
        <v>534</v>
      </c>
      <c r="B312" s="829" t="s">
        <v>407</v>
      </c>
      <c r="C312" s="1059">
        <v>0.15</v>
      </c>
      <c r="D312" s="1059">
        <v>0.15</v>
      </c>
      <c r="E312" s="1059">
        <v>0.15</v>
      </c>
      <c r="F312" s="1060">
        <v>0.1</v>
      </c>
    </row>
    <row r="313" spans="1:6" ht="14.5" thickBot="1">
      <c r="A313" s="835" t="s">
        <v>534</v>
      </c>
      <c r="B313" s="829" t="s">
        <v>1000</v>
      </c>
      <c r="C313" s="1059">
        <v>0.15</v>
      </c>
      <c r="D313" s="1059">
        <v>0.15</v>
      </c>
      <c r="E313" s="1059">
        <v>0.15</v>
      </c>
      <c r="F313" s="1060">
        <v>0.15</v>
      </c>
    </row>
    <row r="314" spans="1:6" ht="26.5" thickBot="1">
      <c r="A314" s="835" t="s">
        <v>534</v>
      </c>
      <c r="B314" s="829" t="s">
        <v>1001</v>
      </c>
      <c r="C314" s="1072"/>
      <c r="D314" s="1072"/>
      <c r="E314" s="1072"/>
      <c r="F314" s="1060">
        <v>0.05</v>
      </c>
    </row>
    <row r="315" spans="1:6" ht="26.5" thickBot="1">
      <c r="A315" s="835" t="s">
        <v>534</v>
      </c>
      <c r="B315" s="829" t="s">
        <v>1002</v>
      </c>
      <c r="C315" s="1072"/>
      <c r="D315" s="1072"/>
      <c r="E315" s="1072"/>
      <c r="F315" s="1060">
        <v>0.05</v>
      </c>
    </row>
    <row r="316" spans="1:6" ht="26.5" thickBot="1">
      <c r="A316" s="845" t="s">
        <v>534</v>
      </c>
      <c r="B316" s="841" t="s">
        <v>1003</v>
      </c>
      <c r="C316" s="1069"/>
      <c r="D316" s="1069"/>
      <c r="E316" s="1069"/>
      <c r="F316" s="1062">
        <v>0.05</v>
      </c>
    </row>
    <row r="317" spans="1:6" ht="14.5" thickBot="1">
      <c r="A317" s="835" t="s">
        <v>1004</v>
      </c>
      <c r="B317" s="836" t="s">
        <v>1005</v>
      </c>
      <c r="C317" s="1057">
        <v>0.15</v>
      </c>
      <c r="D317" s="1057">
        <v>0.15</v>
      </c>
      <c r="E317" s="1057">
        <v>0.15</v>
      </c>
      <c r="F317" s="1058">
        <v>0.15</v>
      </c>
    </row>
    <row r="318" spans="1:6" ht="14.5" thickBot="1">
      <c r="A318" s="835" t="s">
        <v>1004</v>
      </c>
      <c r="B318" s="829" t="s">
        <v>1006</v>
      </c>
      <c r="C318" s="1059">
        <v>0.107</v>
      </c>
      <c r="D318" s="1059">
        <v>0.11</v>
      </c>
      <c r="E318" s="1059">
        <v>0.112</v>
      </c>
      <c r="F318" s="1071"/>
    </row>
    <row r="319" spans="1:6" ht="14.5" thickBot="1">
      <c r="A319" s="835" t="s">
        <v>1004</v>
      </c>
      <c r="B319" s="829" t="s">
        <v>1007</v>
      </c>
      <c r="C319" s="1059">
        <v>0.15</v>
      </c>
      <c r="D319" s="1059">
        <v>0.15</v>
      </c>
      <c r="E319" s="1059">
        <v>0.15</v>
      </c>
      <c r="F319" s="1060">
        <v>0.15</v>
      </c>
    </row>
    <row r="320" spans="1:6" ht="14.5" thickBot="1">
      <c r="A320" s="835" t="s">
        <v>1004</v>
      </c>
      <c r="B320" s="829" t="s">
        <v>223</v>
      </c>
      <c r="C320" s="1059">
        <v>0.15</v>
      </c>
      <c r="D320" s="1059">
        <v>0.15</v>
      </c>
      <c r="E320" s="1059">
        <v>0.15</v>
      </c>
      <c r="F320" s="1071"/>
    </row>
    <row r="321" spans="1:6" ht="14.5" thickBot="1">
      <c r="A321" s="835" t="s">
        <v>1004</v>
      </c>
      <c r="B321" s="829" t="s">
        <v>1008</v>
      </c>
      <c r="C321" s="1059">
        <v>0.15</v>
      </c>
      <c r="D321" s="1059">
        <v>0.15</v>
      </c>
      <c r="E321" s="1059">
        <v>0.15</v>
      </c>
      <c r="F321" s="1071"/>
    </row>
    <row r="322" spans="1:6" ht="14.5" thickBot="1">
      <c r="A322" s="835" t="s">
        <v>1004</v>
      </c>
      <c r="B322" s="829" t="s">
        <v>1009</v>
      </c>
      <c r="C322" s="1059">
        <v>0.15</v>
      </c>
      <c r="D322" s="1059">
        <v>0.15</v>
      </c>
      <c r="E322" s="1059">
        <v>0.15</v>
      </c>
      <c r="F322" s="1060">
        <v>0.15</v>
      </c>
    </row>
    <row r="323" spans="1:6" ht="14.5" thickBot="1">
      <c r="A323" s="835" t="s">
        <v>1004</v>
      </c>
      <c r="B323" s="829" t="s">
        <v>1010</v>
      </c>
      <c r="C323" s="1059">
        <v>0.15</v>
      </c>
      <c r="D323" s="1059">
        <v>0.15</v>
      </c>
      <c r="E323" s="1059">
        <v>0.15</v>
      </c>
      <c r="F323" s="1071"/>
    </row>
    <row r="324" spans="1:6" ht="14.5" thickBot="1">
      <c r="A324" s="835" t="s">
        <v>1004</v>
      </c>
      <c r="B324" s="829" t="s">
        <v>1011</v>
      </c>
      <c r="C324" s="1059">
        <v>0.15</v>
      </c>
      <c r="D324" s="1059">
        <v>0.15</v>
      </c>
      <c r="E324" s="1059">
        <v>0.15</v>
      </c>
      <c r="F324" s="1071"/>
    </row>
    <row r="325" spans="1:6" ht="14.5" thickBot="1">
      <c r="A325" s="835" t="s">
        <v>1004</v>
      </c>
      <c r="B325" s="829" t="s">
        <v>1012</v>
      </c>
      <c r="C325" s="1059">
        <v>0.15</v>
      </c>
      <c r="D325" s="1059">
        <v>0.15</v>
      </c>
      <c r="E325" s="1059">
        <v>0.15</v>
      </c>
      <c r="F325" s="1060">
        <v>0.14699999999999999</v>
      </c>
    </row>
    <row r="326" spans="1:6" ht="14.5" thickBot="1">
      <c r="A326" s="835" t="s">
        <v>1004</v>
      </c>
      <c r="B326" s="829" t="s">
        <v>290</v>
      </c>
      <c r="C326" s="1059">
        <v>0.15</v>
      </c>
      <c r="D326" s="1059">
        <v>0.15</v>
      </c>
      <c r="E326" s="1059">
        <v>0.15</v>
      </c>
      <c r="F326" s="1071"/>
    </row>
    <row r="327" spans="1:6" ht="14.5" thickBot="1">
      <c r="A327" s="835" t="s">
        <v>1004</v>
      </c>
      <c r="B327" s="829" t="s">
        <v>1013</v>
      </c>
      <c r="C327" s="1059">
        <v>0.15</v>
      </c>
      <c r="D327" s="1059">
        <v>0.15</v>
      </c>
      <c r="E327" s="1059">
        <v>0.15</v>
      </c>
      <c r="F327" s="1060">
        <v>0.15</v>
      </c>
    </row>
    <row r="328" spans="1:6" ht="14.5" thickBot="1">
      <c r="A328" s="835" t="s">
        <v>1004</v>
      </c>
      <c r="B328" s="829" t="s">
        <v>310</v>
      </c>
      <c r="C328" s="1059">
        <v>0.15</v>
      </c>
      <c r="D328" s="1059">
        <v>0.15</v>
      </c>
      <c r="E328" s="1059">
        <v>0.15</v>
      </c>
      <c r="F328" s="1060">
        <v>0.14099999999999999</v>
      </c>
    </row>
    <row r="329" spans="1:6" ht="14.5" thickBot="1">
      <c r="A329" s="835" t="s">
        <v>1004</v>
      </c>
      <c r="B329" s="829" t="s">
        <v>320</v>
      </c>
      <c r="C329" s="1059">
        <v>0.15</v>
      </c>
      <c r="D329" s="1059">
        <v>0.15</v>
      </c>
      <c r="E329" s="1059">
        <v>0.15</v>
      </c>
      <c r="F329" s="1060">
        <v>0.15</v>
      </c>
    </row>
    <row r="330" spans="1:6" ht="14.5" thickBot="1">
      <c r="A330" s="835" t="s">
        <v>1004</v>
      </c>
      <c r="B330" s="829" t="s">
        <v>331</v>
      </c>
      <c r="C330" s="1059">
        <v>0.15</v>
      </c>
      <c r="D330" s="1059">
        <v>0.15</v>
      </c>
      <c r="E330" s="1059">
        <v>0.15</v>
      </c>
      <c r="F330" s="1071"/>
    </row>
    <row r="331" spans="1:6" ht="14.5" thickBot="1">
      <c r="A331" s="835" t="s">
        <v>1004</v>
      </c>
      <c r="B331" s="829" t="s">
        <v>1014</v>
      </c>
      <c r="C331" s="1059">
        <v>0.15</v>
      </c>
      <c r="D331" s="1059">
        <v>0.15</v>
      </c>
      <c r="E331" s="1059">
        <v>0.15</v>
      </c>
      <c r="F331" s="1060">
        <v>0.15</v>
      </c>
    </row>
    <row r="332" spans="1:6" ht="14.5" thickBot="1">
      <c r="A332" s="835" t="s">
        <v>1004</v>
      </c>
      <c r="B332" s="829" t="s">
        <v>352</v>
      </c>
      <c r="C332" s="1059">
        <v>0.15</v>
      </c>
      <c r="D332" s="1059">
        <v>0.15</v>
      </c>
      <c r="E332" s="1059">
        <v>0.15</v>
      </c>
      <c r="F332" s="1060">
        <v>0.15</v>
      </c>
    </row>
    <row r="333" spans="1:6" ht="14.5" thickBot="1">
      <c r="A333" s="835" t="s">
        <v>1004</v>
      </c>
      <c r="B333" s="829" t="s">
        <v>1015</v>
      </c>
      <c r="C333" s="1059">
        <v>0.15</v>
      </c>
      <c r="D333" s="1059">
        <v>0.15</v>
      </c>
      <c r="E333" s="1059">
        <v>0.15</v>
      </c>
      <c r="F333" s="1060">
        <v>0.14099999999999999</v>
      </c>
    </row>
    <row r="334" spans="1:6" ht="14.5" thickBot="1">
      <c r="A334" s="835" t="s">
        <v>1004</v>
      </c>
      <c r="B334" s="829" t="s">
        <v>372</v>
      </c>
      <c r="C334" s="1059">
        <v>0.15</v>
      </c>
      <c r="D334" s="1059">
        <v>0.15</v>
      </c>
      <c r="E334" s="1059">
        <v>0.15</v>
      </c>
      <c r="F334" s="1060">
        <v>0.15</v>
      </c>
    </row>
    <row r="335" spans="1:6" ht="14.5" thickBot="1">
      <c r="A335" s="835" t="s">
        <v>1004</v>
      </c>
      <c r="B335" s="829" t="s">
        <v>382</v>
      </c>
      <c r="C335" s="1059">
        <v>0.15</v>
      </c>
      <c r="D335" s="1059">
        <v>0.15</v>
      </c>
      <c r="E335" s="1059">
        <v>0.15</v>
      </c>
      <c r="F335" s="1071"/>
    </row>
    <row r="336" spans="1:6" ht="14.5" thickBot="1">
      <c r="A336" s="835" t="s">
        <v>1004</v>
      </c>
      <c r="B336" s="829" t="s">
        <v>1016</v>
      </c>
      <c r="C336" s="1059">
        <v>0.15</v>
      </c>
      <c r="D336" s="1059">
        <v>0.15</v>
      </c>
      <c r="E336" s="1059">
        <v>0.15</v>
      </c>
      <c r="F336" s="1060">
        <v>0.11799999999999999</v>
      </c>
    </row>
    <row r="337" spans="1:6" ht="14.5" thickBot="1">
      <c r="A337" s="845" t="s">
        <v>1004</v>
      </c>
      <c r="B337" s="841" t="s">
        <v>400</v>
      </c>
      <c r="C337" s="1069"/>
      <c r="D337" s="1069"/>
      <c r="E337" s="1069"/>
      <c r="F337" s="1062">
        <v>0.14299999999999999</v>
      </c>
    </row>
    <row r="338" spans="1:6" ht="14.5" thickBot="1">
      <c r="A338" s="835" t="s">
        <v>1017</v>
      </c>
      <c r="B338" s="836" t="s">
        <v>1018</v>
      </c>
      <c r="C338" s="1057">
        <v>0.15</v>
      </c>
      <c r="D338" s="1057">
        <v>0.15</v>
      </c>
      <c r="E338" s="1057">
        <v>0.15</v>
      </c>
      <c r="F338" s="1074"/>
    </row>
    <row r="339" spans="1:6" ht="14.5" thickBot="1">
      <c r="A339" s="835" t="s">
        <v>1017</v>
      </c>
      <c r="B339" s="829" t="s">
        <v>1019</v>
      </c>
      <c r="C339" s="1059">
        <v>0.15</v>
      </c>
      <c r="D339" s="1059">
        <v>0.15</v>
      </c>
      <c r="E339" s="1059">
        <v>0.15</v>
      </c>
      <c r="F339" s="1071"/>
    </row>
    <row r="340" spans="1:6" ht="14.5" thickBot="1">
      <c r="A340" s="835" t="s">
        <v>1017</v>
      </c>
      <c r="B340" s="829" t="s">
        <v>1020</v>
      </c>
      <c r="C340" s="1059">
        <v>0.15</v>
      </c>
      <c r="D340" s="1059">
        <v>0.15</v>
      </c>
      <c r="E340" s="1059">
        <v>0.15</v>
      </c>
      <c r="F340" s="1071"/>
    </row>
    <row r="341" spans="1:6" ht="14.5" thickBot="1">
      <c r="A341" s="835" t="s">
        <v>1017</v>
      </c>
      <c r="B341" s="829" t="s">
        <v>1021</v>
      </c>
      <c r="C341" s="1059">
        <v>0.15</v>
      </c>
      <c r="D341" s="1059">
        <v>0.15</v>
      </c>
      <c r="E341" s="1059">
        <v>0.15</v>
      </c>
      <c r="F341" s="1060">
        <v>0.15</v>
      </c>
    </row>
    <row r="342" spans="1:6" ht="14.5" thickBot="1">
      <c r="A342" s="835" t="s">
        <v>1017</v>
      </c>
      <c r="B342" s="829" t="s">
        <v>1022</v>
      </c>
      <c r="C342" s="1059">
        <v>0.15</v>
      </c>
      <c r="D342" s="1059">
        <v>0.15</v>
      </c>
      <c r="E342" s="1059">
        <v>0.15</v>
      </c>
      <c r="F342" s="1060">
        <v>0.15</v>
      </c>
    </row>
    <row r="343" spans="1:6" ht="14.5" thickBot="1">
      <c r="A343" s="835" t="s">
        <v>1017</v>
      </c>
      <c r="B343" s="829" t="s">
        <v>1023</v>
      </c>
      <c r="C343" s="1059">
        <v>0.15</v>
      </c>
      <c r="D343" s="1059">
        <v>0.15</v>
      </c>
      <c r="E343" s="1059">
        <v>0.15</v>
      </c>
      <c r="F343" s="1060">
        <v>0.15</v>
      </c>
    </row>
    <row r="344" spans="1:6" ht="14.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1" sqref="I1"/>
    </sheetView>
  </sheetViews>
  <sheetFormatPr defaultRowHeight="14"/>
  <cols>
    <col min="1" max="1" width="4.90625" style="1633" customWidth="1"/>
    <col min="2" max="2" width="13.08984375" style="1639" customWidth="1"/>
    <col min="3" max="3" width="15.6328125" style="1639" customWidth="1"/>
    <col min="4" max="4" width="9.36328125" style="1639" bestFit="1" customWidth="1"/>
    <col min="5" max="5" width="13.453125" style="1639" customWidth="1"/>
    <col min="6" max="6" width="9" style="1639"/>
    <col min="7" max="7" width="9.36328125" style="1639" bestFit="1" customWidth="1"/>
    <col min="8" max="8" width="12.08984375" style="1639" customWidth="1"/>
    <col min="9" max="9" width="9" style="1639"/>
    <col min="10" max="10" width="9.36328125" style="1639" bestFit="1" customWidth="1"/>
    <col min="11" max="11" width="4" style="1633" customWidth="1"/>
    <col min="12" max="12" width="5.08984375" style="1639" customWidth="1"/>
    <col min="13" max="13" width="13.90625" style="1639" customWidth="1"/>
    <col min="14" max="256" width="9" style="1639"/>
    <col min="257" max="257" width="4.90625" style="1630" customWidth="1"/>
    <col min="258" max="258" width="13.08984375" style="1630" customWidth="1"/>
    <col min="259" max="259" width="15.6328125" style="1630" customWidth="1"/>
    <col min="260" max="260" width="9.36328125" style="1630" bestFit="1" customWidth="1"/>
    <col min="261" max="261" width="13.453125" style="1630" customWidth="1"/>
    <col min="262" max="262" width="9" style="1630"/>
    <col min="263" max="263" width="9.36328125" style="1630" bestFit="1" customWidth="1"/>
    <col min="264" max="265" width="9" style="1630"/>
    <col min="266" max="266" width="9.36328125" style="1630" bestFit="1" customWidth="1"/>
    <col min="267" max="267" width="4" style="1630" customWidth="1"/>
    <col min="268" max="268" width="5.08984375" style="1630" customWidth="1"/>
    <col min="269" max="269" width="13.90625" style="1630" customWidth="1"/>
    <col min="270" max="512" width="9" style="1630"/>
    <col min="513" max="513" width="4.90625" style="1630" customWidth="1"/>
    <col min="514" max="514" width="13.08984375" style="1630" customWidth="1"/>
    <col min="515" max="515" width="15.6328125" style="1630" customWidth="1"/>
    <col min="516" max="516" width="9.36328125" style="1630" bestFit="1" customWidth="1"/>
    <col min="517" max="517" width="13.453125" style="1630" customWidth="1"/>
    <col min="518" max="518" width="9" style="1630"/>
    <col min="519" max="519" width="9.36328125" style="1630" bestFit="1" customWidth="1"/>
    <col min="520" max="521" width="9" style="1630"/>
    <col min="522" max="522" width="9.36328125" style="1630" bestFit="1" customWidth="1"/>
    <col min="523" max="523" width="4" style="1630" customWidth="1"/>
    <col min="524" max="524" width="5.08984375" style="1630" customWidth="1"/>
    <col min="525" max="525" width="13.90625" style="1630" customWidth="1"/>
    <col min="526" max="768" width="9" style="1630"/>
    <col min="769" max="769" width="4.90625" style="1630" customWidth="1"/>
    <col min="770" max="770" width="13.08984375" style="1630" customWidth="1"/>
    <col min="771" max="771" width="15.6328125" style="1630" customWidth="1"/>
    <col min="772" max="772" width="9.36328125" style="1630" bestFit="1" customWidth="1"/>
    <col min="773" max="773" width="13.453125" style="1630" customWidth="1"/>
    <col min="774" max="774" width="9" style="1630"/>
    <col min="775" max="775" width="9.36328125" style="1630" bestFit="1" customWidth="1"/>
    <col min="776" max="777" width="9" style="1630"/>
    <col min="778" max="778" width="9.36328125" style="1630" bestFit="1" customWidth="1"/>
    <col min="779" max="779" width="4" style="1630" customWidth="1"/>
    <col min="780" max="780" width="5.08984375" style="1630" customWidth="1"/>
    <col min="781" max="781" width="13.90625" style="1630" customWidth="1"/>
    <col min="782" max="1024" width="9" style="1630"/>
    <col min="1025" max="1025" width="4.90625" style="1630" customWidth="1"/>
    <col min="1026" max="1026" width="13.08984375" style="1630" customWidth="1"/>
    <col min="1027" max="1027" width="15.6328125" style="1630" customWidth="1"/>
    <col min="1028" max="1028" width="9.36328125" style="1630" bestFit="1" customWidth="1"/>
    <col min="1029" max="1029" width="13.453125" style="1630" customWidth="1"/>
    <col min="1030" max="1030" width="9" style="1630"/>
    <col min="1031" max="1031" width="9.36328125" style="1630" bestFit="1" customWidth="1"/>
    <col min="1032" max="1033" width="9" style="1630"/>
    <col min="1034" max="1034" width="9.36328125" style="1630" bestFit="1" customWidth="1"/>
    <col min="1035" max="1035" width="4" style="1630" customWidth="1"/>
    <col min="1036" max="1036" width="5.08984375" style="1630" customWidth="1"/>
    <col min="1037" max="1037" width="13.90625" style="1630" customWidth="1"/>
    <col min="1038" max="1280" width="9" style="1630"/>
    <col min="1281" max="1281" width="4.90625" style="1630" customWidth="1"/>
    <col min="1282" max="1282" width="13.08984375" style="1630" customWidth="1"/>
    <col min="1283" max="1283" width="15.6328125" style="1630" customWidth="1"/>
    <col min="1284" max="1284" width="9.36328125" style="1630" bestFit="1" customWidth="1"/>
    <col min="1285" max="1285" width="13.453125" style="1630" customWidth="1"/>
    <col min="1286" max="1286" width="9" style="1630"/>
    <col min="1287" max="1287" width="9.36328125" style="1630" bestFit="1" customWidth="1"/>
    <col min="1288" max="1289" width="9" style="1630"/>
    <col min="1290" max="1290" width="9.36328125" style="1630" bestFit="1" customWidth="1"/>
    <col min="1291" max="1291" width="4" style="1630" customWidth="1"/>
    <col min="1292" max="1292" width="5.08984375" style="1630" customWidth="1"/>
    <col min="1293" max="1293" width="13.90625" style="1630" customWidth="1"/>
    <col min="1294" max="1536" width="9" style="1630"/>
    <col min="1537" max="1537" width="4.90625" style="1630" customWidth="1"/>
    <col min="1538" max="1538" width="13.08984375" style="1630" customWidth="1"/>
    <col min="1539" max="1539" width="15.6328125" style="1630" customWidth="1"/>
    <col min="1540" max="1540" width="9.36328125" style="1630" bestFit="1" customWidth="1"/>
    <col min="1541" max="1541" width="13.453125" style="1630" customWidth="1"/>
    <col min="1542" max="1542" width="9" style="1630"/>
    <col min="1543" max="1543" width="9.36328125" style="1630" bestFit="1" customWidth="1"/>
    <col min="1544" max="1545" width="9" style="1630"/>
    <col min="1546" max="1546" width="9.36328125" style="1630" bestFit="1" customWidth="1"/>
    <col min="1547" max="1547" width="4" style="1630" customWidth="1"/>
    <col min="1548" max="1548" width="5.08984375" style="1630" customWidth="1"/>
    <col min="1549" max="1549" width="13.90625" style="1630" customWidth="1"/>
    <col min="1550" max="1792" width="9" style="1630"/>
    <col min="1793" max="1793" width="4.90625" style="1630" customWidth="1"/>
    <col min="1794" max="1794" width="13.08984375" style="1630" customWidth="1"/>
    <col min="1795" max="1795" width="15.6328125" style="1630" customWidth="1"/>
    <col min="1796" max="1796" width="9.36328125" style="1630" bestFit="1" customWidth="1"/>
    <col min="1797" max="1797" width="13.453125" style="1630" customWidth="1"/>
    <col min="1798" max="1798" width="9" style="1630"/>
    <col min="1799" max="1799" width="9.36328125" style="1630" bestFit="1" customWidth="1"/>
    <col min="1800" max="1801" width="9" style="1630"/>
    <col min="1802" max="1802" width="9.36328125" style="1630" bestFit="1" customWidth="1"/>
    <col min="1803" max="1803" width="4" style="1630" customWidth="1"/>
    <col min="1804" max="1804" width="5.08984375" style="1630" customWidth="1"/>
    <col min="1805" max="1805" width="13.90625" style="1630" customWidth="1"/>
    <col min="1806" max="2048" width="9" style="1630"/>
    <col min="2049" max="2049" width="4.90625" style="1630" customWidth="1"/>
    <col min="2050" max="2050" width="13.08984375" style="1630" customWidth="1"/>
    <col min="2051" max="2051" width="15.6328125" style="1630" customWidth="1"/>
    <col min="2052" max="2052" width="9.36328125" style="1630" bestFit="1" customWidth="1"/>
    <col min="2053" max="2053" width="13.453125" style="1630" customWidth="1"/>
    <col min="2054" max="2054" width="9" style="1630"/>
    <col min="2055" max="2055" width="9.36328125" style="1630" bestFit="1" customWidth="1"/>
    <col min="2056" max="2057" width="9" style="1630"/>
    <col min="2058" max="2058" width="9.36328125" style="1630" bestFit="1" customWidth="1"/>
    <col min="2059" max="2059" width="4" style="1630" customWidth="1"/>
    <col min="2060" max="2060" width="5.08984375" style="1630" customWidth="1"/>
    <col min="2061" max="2061" width="13.90625" style="1630" customWidth="1"/>
    <col min="2062" max="2304" width="9" style="1630"/>
    <col min="2305" max="2305" width="4.90625" style="1630" customWidth="1"/>
    <col min="2306" max="2306" width="13.08984375" style="1630" customWidth="1"/>
    <col min="2307" max="2307" width="15.6328125" style="1630" customWidth="1"/>
    <col min="2308" max="2308" width="9.36328125" style="1630" bestFit="1" customWidth="1"/>
    <col min="2309" max="2309" width="13.453125" style="1630" customWidth="1"/>
    <col min="2310" max="2310" width="9" style="1630"/>
    <col min="2311" max="2311" width="9.36328125" style="1630" bestFit="1" customWidth="1"/>
    <col min="2312" max="2313" width="9" style="1630"/>
    <col min="2314" max="2314" width="9.36328125" style="1630" bestFit="1" customWidth="1"/>
    <col min="2315" max="2315" width="4" style="1630" customWidth="1"/>
    <col min="2316" max="2316" width="5.08984375" style="1630" customWidth="1"/>
    <col min="2317" max="2317" width="13.90625" style="1630" customWidth="1"/>
    <col min="2318" max="2560" width="9" style="1630"/>
    <col min="2561" max="2561" width="4.90625" style="1630" customWidth="1"/>
    <col min="2562" max="2562" width="13.08984375" style="1630" customWidth="1"/>
    <col min="2563" max="2563" width="15.6328125" style="1630" customWidth="1"/>
    <col min="2564" max="2564" width="9.36328125" style="1630" bestFit="1" customWidth="1"/>
    <col min="2565" max="2565" width="13.453125" style="1630" customWidth="1"/>
    <col min="2566" max="2566" width="9" style="1630"/>
    <col min="2567" max="2567" width="9.36328125" style="1630" bestFit="1" customWidth="1"/>
    <col min="2568" max="2569" width="9" style="1630"/>
    <col min="2570" max="2570" width="9.36328125" style="1630" bestFit="1" customWidth="1"/>
    <col min="2571" max="2571" width="4" style="1630" customWidth="1"/>
    <col min="2572" max="2572" width="5.08984375" style="1630" customWidth="1"/>
    <col min="2573" max="2573" width="13.90625" style="1630" customWidth="1"/>
    <col min="2574" max="2816" width="9" style="1630"/>
    <col min="2817" max="2817" width="4.90625" style="1630" customWidth="1"/>
    <col min="2818" max="2818" width="13.08984375" style="1630" customWidth="1"/>
    <col min="2819" max="2819" width="15.6328125" style="1630" customWidth="1"/>
    <col min="2820" max="2820" width="9.36328125" style="1630" bestFit="1" customWidth="1"/>
    <col min="2821" max="2821" width="13.453125" style="1630" customWidth="1"/>
    <col min="2822" max="2822" width="9" style="1630"/>
    <col min="2823" max="2823" width="9.36328125" style="1630" bestFit="1" customWidth="1"/>
    <col min="2824" max="2825" width="9" style="1630"/>
    <col min="2826" max="2826" width="9.36328125" style="1630" bestFit="1" customWidth="1"/>
    <col min="2827" max="2827" width="4" style="1630" customWidth="1"/>
    <col min="2828" max="2828" width="5.08984375" style="1630" customWidth="1"/>
    <col min="2829" max="2829" width="13.90625" style="1630" customWidth="1"/>
    <col min="2830" max="3072" width="9" style="1630"/>
    <col min="3073" max="3073" width="4.90625" style="1630" customWidth="1"/>
    <col min="3074" max="3074" width="13.08984375" style="1630" customWidth="1"/>
    <col min="3075" max="3075" width="15.6328125" style="1630" customWidth="1"/>
    <col min="3076" max="3076" width="9.36328125" style="1630" bestFit="1" customWidth="1"/>
    <col min="3077" max="3077" width="13.453125" style="1630" customWidth="1"/>
    <col min="3078" max="3078" width="9" style="1630"/>
    <col min="3079" max="3079" width="9.36328125" style="1630" bestFit="1" customWidth="1"/>
    <col min="3080" max="3081" width="9" style="1630"/>
    <col min="3082" max="3082" width="9.36328125" style="1630" bestFit="1" customWidth="1"/>
    <col min="3083" max="3083" width="4" style="1630" customWidth="1"/>
    <col min="3084" max="3084" width="5.08984375" style="1630" customWidth="1"/>
    <col min="3085" max="3085" width="13.90625" style="1630" customWidth="1"/>
    <col min="3086" max="3328" width="9" style="1630"/>
    <col min="3329" max="3329" width="4.90625" style="1630" customWidth="1"/>
    <col min="3330" max="3330" width="13.08984375" style="1630" customWidth="1"/>
    <col min="3331" max="3331" width="15.6328125" style="1630" customWidth="1"/>
    <col min="3332" max="3332" width="9.36328125" style="1630" bestFit="1" customWidth="1"/>
    <col min="3333" max="3333" width="13.453125" style="1630" customWidth="1"/>
    <col min="3334" max="3334" width="9" style="1630"/>
    <col min="3335" max="3335" width="9.36328125" style="1630" bestFit="1" customWidth="1"/>
    <col min="3336" max="3337" width="9" style="1630"/>
    <col min="3338" max="3338" width="9.36328125" style="1630" bestFit="1" customWidth="1"/>
    <col min="3339" max="3339" width="4" style="1630" customWidth="1"/>
    <col min="3340" max="3340" width="5.08984375" style="1630" customWidth="1"/>
    <col min="3341" max="3341" width="13.90625" style="1630" customWidth="1"/>
    <col min="3342" max="3584" width="9" style="1630"/>
    <col min="3585" max="3585" width="4.90625" style="1630" customWidth="1"/>
    <col min="3586" max="3586" width="13.08984375" style="1630" customWidth="1"/>
    <col min="3587" max="3587" width="15.6328125" style="1630" customWidth="1"/>
    <col min="3588" max="3588" width="9.36328125" style="1630" bestFit="1" customWidth="1"/>
    <col min="3589" max="3589" width="13.453125" style="1630" customWidth="1"/>
    <col min="3590" max="3590" width="9" style="1630"/>
    <col min="3591" max="3591" width="9.36328125" style="1630" bestFit="1" customWidth="1"/>
    <col min="3592" max="3593" width="9" style="1630"/>
    <col min="3594" max="3594" width="9.36328125" style="1630" bestFit="1" customWidth="1"/>
    <col min="3595" max="3595" width="4" style="1630" customWidth="1"/>
    <col min="3596" max="3596" width="5.08984375" style="1630" customWidth="1"/>
    <col min="3597" max="3597" width="13.90625" style="1630" customWidth="1"/>
    <col min="3598" max="3840" width="9" style="1630"/>
    <col min="3841" max="3841" width="4.90625" style="1630" customWidth="1"/>
    <col min="3842" max="3842" width="13.08984375" style="1630" customWidth="1"/>
    <col min="3843" max="3843" width="15.6328125" style="1630" customWidth="1"/>
    <col min="3844" max="3844" width="9.36328125" style="1630" bestFit="1" customWidth="1"/>
    <col min="3845" max="3845" width="13.453125" style="1630" customWidth="1"/>
    <col min="3846" max="3846" width="9" style="1630"/>
    <col min="3847" max="3847" width="9.36328125" style="1630" bestFit="1" customWidth="1"/>
    <col min="3848" max="3849" width="9" style="1630"/>
    <col min="3850" max="3850" width="9.36328125" style="1630" bestFit="1" customWidth="1"/>
    <col min="3851" max="3851" width="4" style="1630" customWidth="1"/>
    <col min="3852" max="3852" width="5.08984375" style="1630" customWidth="1"/>
    <col min="3853" max="3853" width="13.90625" style="1630" customWidth="1"/>
    <col min="3854" max="4096" width="9" style="1630"/>
    <col min="4097" max="4097" width="4.90625" style="1630" customWidth="1"/>
    <col min="4098" max="4098" width="13.08984375" style="1630" customWidth="1"/>
    <col min="4099" max="4099" width="15.6328125" style="1630" customWidth="1"/>
    <col min="4100" max="4100" width="9.36328125" style="1630" bestFit="1" customWidth="1"/>
    <col min="4101" max="4101" width="13.453125" style="1630" customWidth="1"/>
    <col min="4102" max="4102" width="9" style="1630"/>
    <col min="4103" max="4103" width="9.36328125" style="1630" bestFit="1" customWidth="1"/>
    <col min="4104" max="4105" width="9" style="1630"/>
    <col min="4106" max="4106" width="9.36328125" style="1630" bestFit="1" customWidth="1"/>
    <col min="4107" max="4107" width="4" style="1630" customWidth="1"/>
    <col min="4108" max="4108" width="5.08984375" style="1630" customWidth="1"/>
    <col min="4109" max="4109" width="13.90625" style="1630" customWidth="1"/>
    <col min="4110" max="4352" width="9" style="1630"/>
    <col min="4353" max="4353" width="4.90625" style="1630" customWidth="1"/>
    <col min="4354" max="4354" width="13.08984375" style="1630" customWidth="1"/>
    <col min="4355" max="4355" width="15.6328125" style="1630" customWidth="1"/>
    <col min="4356" max="4356" width="9.36328125" style="1630" bestFit="1" customWidth="1"/>
    <col min="4357" max="4357" width="13.453125" style="1630" customWidth="1"/>
    <col min="4358" max="4358" width="9" style="1630"/>
    <col min="4359" max="4359" width="9.36328125" style="1630" bestFit="1" customWidth="1"/>
    <col min="4360" max="4361" width="9" style="1630"/>
    <col min="4362" max="4362" width="9.36328125" style="1630" bestFit="1" customWidth="1"/>
    <col min="4363" max="4363" width="4" style="1630" customWidth="1"/>
    <col min="4364" max="4364" width="5.08984375" style="1630" customWidth="1"/>
    <col min="4365" max="4365" width="13.90625" style="1630" customWidth="1"/>
    <col min="4366" max="4608" width="9" style="1630"/>
    <col min="4609" max="4609" width="4.90625" style="1630" customWidth="1"/>
    <col min="4610" max="4610" width="13.08984375" style="1630" customWidth="1"/>
    <col min="4611" max="4611" width="15.6328125" style="1630" customWidth="1"/>
    <col min="4612" max="4612" width="9.36328125" style="1630" bestFit="1" customWidth="1"/>
    <col min="4613" max="4613" width="13.453125" style="1630" customWidth="1"/>
    <col min="4614" max="4614" width="9" style="1630"/>
    <col min="4615" max="4615" width="9.36328125" style="1630" bestFit="1" customWidth="1"/>
    <col min="4616" max="4617" width="9" style="1630"/>
    <col min="4618" max="4618" width="9.36328125" style="1630" bestFit="1" customWidth="1"/>
    <col min="4619" max="4619" width="4" style="1630" customWidth="1"/>
    <col min="4620" max="4620" width="5.08984375" style="1630" customWidth="1"/>
    <col min="4621" max="4621" width="13.90625" style="1630" customWidth="1"/>
    <col min="4622" max="4864" width="9" style="1630"/>
    <col min="4865" max="4865" width="4.90625" style="1630" customWidth="1"/>
    <col min="4866" max="4866" width="13.08984375" style="1630" customWidth="1"/>
    <col min="4867" max="4867" width="15.6328125" style="1630" customWidth="1"/>
    <col min="4868" max="4868" width="9.36328125" style="1630" bestFit="1" customWidth="1"/>
    <col min="4869" max="4869" width="13.453125" style="1630" customWidth="1"/>
    <col min="4870" max="4870" width="9" style="1630"/>
    <col min="4871" max="4871" width="9.36328125" style="1630" bestFit="1" customWidth="1"/>
    <col min="4872" max="4873" width="9" style="1630"/>
    <col min="4874" max="4874" width="9.36328125" style="1630" bestFit="1" customWidth="1"/>
    <col min="4875" max="4875" width="4" style="1630" customWidth="1"/>
    <col min="4876" max="4876" width="5.08984375" style="1630" customWidth="1"/>
    <col min="4877" max="4877" width="13.90625" style="1630" customWidth="1"/>
    <col min="4878" max="5120" width="9" style="1630"/>
    <col min="5121" max="5121" width="4.90625" style="1630" customWidth="1"/>
    <col min="5122" max="5122" width="13.08984375" style="1630" customWidth="1"/>
    <col min="5123" max="5123" width="15.6328125" style="1630" customWidth="1"/>
    <col min="5124" max="5124" width="9.36328125" style="1630" bestFit="1" customWidth="1"/>
    <col min="5125" max="5125" width="13.453125" style="1630" customWidth="1"/>
    <col min="5126" max="5126" width="9" style="1630"/>
    <col min="5127" max="5127" width="9.36328125" style="1630" bestFit="1" customWidth="1"/>
    <col min="5128" max="5129" width="9" style="1630"/>
    <col min="5130" max="5130" width="9.36328125" style="1630" bestFit="1" customWidth="1"/>
    <col min="5131" max="5131" width="4" style="1630" customWidth="1"/>
    <col min="5132" max="5132" width="5.08984375" style="1630" customWidth="1"/>
    <col min="5133" max="5133" width="13.90625" style="1630" customWidth="1"/>
    <col min="5134" max="5376" width="9" style="1630"/>
    <col min="5377" max="5377" width="4.90625" style="1630" customWidth="1"/>
    <col min="5378" max="5378" width="13.08984375" style="1630" customWidth="1"/>
    <col min="5379" max="5379" width="15.6328125" style="1630" customWidth="1"/>
    <col min="5380" max="5380" width="9.36328125" style="1630" bestFit="1" customWidth="1"/>
    <col min="5381" max="5381" width="13.453125" style="1630" customWidth="1"/>
    <col min="5382" max="5382" width="9" style="1630"/>
    <col min="5383" max="5383" width="9.36328125" style="1630" bestFit="1" customWidth="1"/>
    <col min="5384" max="5385" width="9" style="1630"/>
    <col min="5386" max="5386" width="9.36328125" style="1630" bestFit="1" customWidth="1"/>
    <col min="5387" max="5387" width="4" style="1630" customWidth="1"/>
    <col min="5388" max="5388" width="5.08984375" style="1630" customWidth="1"/>
    <col min="5389" max="5389" width="13.90625" style="1630" customWidth="1"/>
    <col min="5390" max="5632" width="9" style="1630"/>
    <col min="5633" max="5633" width="4.90625" style="1630" customWidth="1"/>
    <col min="5634" max="5634" width="13.08984375" style="1630" customWidth="1"/>
    <col min="5635" max="5635" width="15.6328125" style="1630" customWidth="1"/>
    <col min="5636" max="5636" width="9.36328125" style="1630" bestFit="1" customWidth="1"/>
    <col min="5637" max="5637" width="13.453125" style="1630" customWidth="1"/>
    <col min="5638" max="5638" width="9" style="1630"/>
    <col min="5639" max="5639" width="9.36328125" style="1630" bestFit="1" customWidth="1"/>
    <col min="5640" max="5641" width="9" style="1630"/>
    <col min="5642" max="5642" width="9.36328125" style="1630" bestFit="1" customWidth="1"/>
    <col min="5643" max="5643" width="4" style="1630" customWidth="1"/>
    <col min="5644" max="5644" width="5.08984375" style="1630" customWidth="1"/>
    <col min="5645" max="5645" width="13.90625" style="1630" customWidth="1"/>
    <col min="5646" max="5888" width="9" style="1630"/>
    <col min="5889" max="5889" width="4.90625" style="1630" customWidth="1"/>
    <col min="5890" max="5890" width="13.08984375" style="1630" customWidth="1"/>
    <col min="5891" max="5891" width="15.6328125" style="1630" customWidth="1"/>
    <col min="5892" max="5892" width="9.36328125" style="1630" bestFit="1" customWidth="1"/>
    <col min="5893" max="5893" width="13.453125" style="1630" customWidth="1"/>
    <col min="5894" max="5894" width="9" style="1630"/>
    <col min="5895" max="5895" width="9.36328125" style="1630" bestFit="1" customWidth="1"/>
    <col min="5896" max="5897" width="9" style="1630"/>
    <col min="5898" max="5898" width="9.36328125" style="1630" bestFit="1" customWidth="1"/>
    <col min="5899" max="5899" width="4" style="1630" customWidth="1"/>
    <col min="5900" max="5900" width="5.08984375" style="1630" customWidth="1"/>
    <col min="5901" max="5901" width="13.90625" style="1630" customWidth="1"/>
    <col min="5902" max="6144" width="9" style="1630"/>
    <col min="6145" max="6145" width="4.90625" style="1630" customWidth="1"/>
    <col min="6146" max="6146" width="13.08984375" style="1630" customWidth="1"/>
    <col min="6147" max="6147" width="15.6328125" style="1630" customWidth="1"/>
    <col min="6148" max="6148" width="9.36328125" style="1630" bestFit="1" customWidth="1"/>
    <col min="6149" max="6149" width="13.453125" style="1630" customWidth="1"/>
    <col min="6150" max="6150" width="9" style="1630"/>
    <col min="6151" max="6151" width="9.36328125" style="1630" bestFit="1" customWidth="1"/>
    <col min="6152" max="6153" width="9" style="1630"/>
    <col min="6154" max="6154" width="9.36328125" style="1630" bestFit="1" customWidth="1"/>
    <col min="6155" max="6155" width="4" style="1630" customWidth="1"/>
    <col min="6156" max="6156" width="5.08984375" style="1630" customWidth="1"/>
    <col min="6157" max="6157" width="13.90625" style="1630" customWidth="1"/>
    <col min="6158" max="6400" width="9" style="1630"/>
    <col min="6401" max="6401" width="4.90625" style="1630" customWidth="1"/>
    <col min="6402" max="6402" width="13.08984375" style="1630" customWidth="1"/>
    <col min="6403" max="6403" width="15.6328125" style="1630" customWidth="1"/>
    <col min="6404" max="6404" width="9.36328125" style="1630" bestFit="1" customWidth="1"/>
    <col min="6405" max="6405" width="13.453125" style="1630" customWidth="1"/>
    <col min="6406" max="6406" width="9" style="1630"/>
    <col min="6407" max="6407" width="9.36328125" style="1630" bestFit="1" customWidth="1"/>
    <col min="6408" max="6409" width="9" style="1630"/>
    <col min="6410" max="6410" width="9.36328125" style="1630" bestFit="1" customWidth="1"/>
    <col min="6411" max="6411" width="4" style="1630" customWidth="1"/>
    <col min="6412" max="6412" width="5.08984375" style="1630" customWidth="1"/>
    <col min="6413" max="6413" width="13.90625" style="1630" customWidth="1"/>
    <col min="6414" max="6656" width="9" style="1630"/>
    <col min="6657" max="6657" width="4.90625" style="1630" customWidth="1"/>
    <col min="6658" max="6658" width="13.08984375" style="1630" customWidth="1"/>
    <col min="6659" max="6659" width="15.6328125" style="1630" customWidth="1"/>
    <col min="6660" max="6660" width="9.36328125" style="1630" bestFit="1" customWidth="1"/>
    <col min="6661" max="6661" width="13.453125" style="1630" customWidth="1"/>
    <col min="6662" max="6662" width="9" style="1630"/>
    <col min="6663" max="6663" width="9.36328125" style="1630" bestFit="1" customWidth="1"/>
    <col min="6664" max="6665" width="9" style="1630"/>
    <col min="6666" max="6666" width="9.36328125" style="1630" bestFit="1" customWidth="1"/>
    <col min="6667" max="6667" width="4" style="1630" customWidth="1"/>
    <col min="6668" max="6668" width="5.08984375" style="1630" customWidth="1"/>
    <col min="6669" max="6669" width="13.90625" style="1630" customWidth="1"/>
    <col min="6670" max="6912" width="9" style="1630"/>
    <col min="6913" max="6913" width="4.90625" style="1630" customWidth="1"/>
    <col min="6914" max="6914" width="13.08984375" style="1630" customWidth="1"/>
    <col min="6915" max="6915" width="15.6328125" style="1630" customWidth="1"/>
    <col min="6916" max="6916" width="9.36328125" style="1630" bestFit="1" customWidth="1"/>
    <col min="6917" max="6917" width="13.453125" style="1630" customWidth="1"/>
    <col min="6918" max="6918" width="9" style="1630"/>
    <col min="6919" max="6919" width="9.36328125" style="1630" bestFit="1" customWidth="1"/>
    <col min="6920" max="6921" width="9" style="1630"/>
    <col min="6922" max="6922" width="9.36328125" style="1630" bestFit="1" customWidth="1"/>
    <col min="6923" max="6923" width="4" style="1630" customWidth="1"/>
    <col min="6924" max="6924" width="5.08984375" style="1630" customWidth="1"/>
    <col min="6925" max="6925" width="13.90625" style="1630" customWidth="1"/>
    <col min="6926" max="7168" width="9" style="1630"/>
    <col min="7169" max="7169" width="4.90625" style="1630" customWidth="1"/>
    <col min="7170" max="7170" width="13.08984375" style="1630" customWidth="1"/>
    <col min="7171" max="7171" width="15.6328125" style="1630" customWidth="1"/>
    <col min="7172" max="7172" width="9.36328125" style="1630" bestFit="1" customWidth="1"/>
    <col min="7173" max="7173" width="13.453125" style="1630" customWidth="1"/>
    <col min="7174" max="7174" width="9" style="1630"/>
    <col min="7175" max="7175" width="9.36328125" style="1630" bestFit="1" customWidth="1"/>
    <col min="7176" max="7177" width="9" style="1630"/>
    <col min="7178" max="7178" width="9.36328125" style="1630" bestFit="1" customWidth="1"/>
    <col min="7179" max="7179" width="4" style="1630" customWidth="1"/>
    <col min="7180" max="7180" width="5.08984375" style="1630" customWidth="1"/>
    <col min="7181" max="7181" width="13.90625" style="1630" customWidth="1"/>
    <col min="7182" max="7424" width="9" style="1630"/>
    <col min="7425" max="7425" width="4.90625" style="1630" customWidth="1"/>
    <col min="7426" max="7426" width="13.08984375" style="1630" customWidth="1"/>
    <col min="7427" max="7427" width="15.6328125" style="1630" customWidth="1"/>
    <col min="7428" max="7428" width="9.36328125" style="1630" bestFit="1" customWidth="1"/>
    <col min="7429" max="7429" width="13.453125" style="1630" customWidth="1"/>
    <col min="7430" max="7430" width="9" style="1630"/>
    <col min="7431" max="7431" width="9.36328125" style="1630" bestFit="1" customWidth="1"/>
    <col min="7432" max="7433" width="9" style="1630"/>
    <col min="7434" max="7434" width="9.36328125" style="1630" bestFit="1" customWidth="1"/>
    <col min="7435" max="7435" width="4" style="1630" customWidth="1"/>
    <col min="7436" max="7436" width="5.08984375" style="1630" customWidth="1"/>
    <col min="7437" max="7437" width="13.90625" style="1630" customWidth="1"/>
    <col min="7438" max="7680" width="9" style="1630"/>
    <col min="7681" max="7681" width="4.90625" style="1630" customWidth="1"/>
    <col min="7682" max="7682" width="13.08984375" style="1630" customWidth="1"/>
    <col min="7683" max="7683" width="15.6328125" style="1630" customWidth="1"/>
    <col min="7684" max="7684" width="9.36328125" style="1630" bestFit="1" customWidth="1"/>
    <col min="7685" max="7685" width="13.453125" style="1630" customWidth="1"/>
    <col min="7686" max="7686" width="9" style="1630"/>
    <col min="7687" max="7687" width="9.36328125" style="1630" bestFit="1" customWidth="1"/>
    <col min="7688" max="7689" width="9" style="1630"/>
    <col min="7690" max="7690" width="9.36328125" style="1630" bestFit="1" customWidth="1"/>
    <col min="7691" max="7691" width="4" style="1630" customWidth="1"/>
    <col min="7692" max="7692" width="5.08984375" style="1630" customWidth="1"/>
    <col min="7693" max="7693" width="13.90625" style="1630" customWidth="1"/>
    <col min="7694" max="7936" width="9" style="1630"/>
    <col min="7937" max="7937" width="4.90625" style="1630" customWidth="1"/>
    <col min="7938" max="7938" width="13.08984375" style="1630" customWidth="1"/>
    <col min="7939" max="7939" width="15.6328125" style="1630" customWidth="1"/>
    <col min="7940" max="7940" width="9.36328125" style="1630" bestFit="1" customWidth="1"/>
    <col min="7941" max="7941" width="13.453125" style="1630" customWidth="1"/>
    <col min="7942" max="7942" width="9" style="1630"/>
    <col min="7943" max="7943" width="9.36328125" style="1630" bestFit="1" customWidth="1"/>
    <col min="7944" max="7945" width="9" style="1630"/>
    <col min="7946" max="7946" width="9.36328125" style="1630" bestFit="1" customWidth="1"/>
    <col min="7947" max="7947" width="4" style="1630" customWidth="1"/>
    <col min="7948" max="7948" width="5.08984375" style="1630" customWidth="1"/>
    <col min="7949" max="7949" width="13.90625" style="1630" customWidth="1"/>
    <col min="7950" max="8192" width="9" style="1630"/>
    <col min="8193" max="8193" width="4.90625" style="1630" customWidth="1"/>
    <col min="8194" max="8194" width="13.08984375" style="1630" customWidth="1"/>
    <col min="8195" max="8195" width="15.6328125" style="1630" customWidth="1"/>
    <col min="8196" max="8196" width="9.36328125" style="1630" bestFit="1" customWidth="1"/>
    <col min="8197" max="8197" width="13.453125" style="1630" customWidth="1"/>
    <col min="8198" max="8198" width="9" style="1630"/>
    <col min="8199" max="8199" width="9.36328125" style="1630" bestFit="1" customWidth="1"/>
    <col min="8200" max="8201" width="9" style="1630"/>
    <col min="8202" max="8202" width="9.36328125" style="1630" bestFit="1" customWidth="1"/>
    <col min="8203" max="8203" width="4" style="1630" customWidth="1"/>
    <col min="8204" max="8204" width="5.08984375" style="1630" customWidth="1"/>
    <col min="8205" max="8205" width="13.90625" style="1630" customWidth="1"/>
    <col min="8206" max="8448" width="9" style="1630"/>
    <col min="8449" max="8449" width="4.90625" style="1630" customWidth="1"/>
    <col min="8450" max="8450" width="13.08984375" style="1630" customWidth="1"/>
    <col min="8451" max="8451" width="15.6328125" style="1630" customWidth="1"/>
    <col min="8452" max="8452" width="9.36328125" style="1630" bestFit="1" customWidth="1"/>
    <col min="8453" max="8453" width="13.453125" style="1630" customWidth="1"/>
    <col min="8454" max="8454" width="9" style="1630"/>
    <col min="8455" max="8455" width="9.36328125" style="1630" bestFit="1" customWidth="1"/>
    <col min="8456" max="8457" width="9" style="1630"/>
    <col min="8458" max="8458" width="9.36328125" style="1630" bestFit="1" customWidth="1"/>
    <col min="8459" max="8459" width="4" style="1630" customWidth="1"/>
    <col min="8460" max="8460" width="5.08984375" style="1630" customWidth="1"/>
    <col min="8461" max="8461" width="13.90625" style="1630" customWidth="1"/>
    <col min="8462" max="8704" width="9" style="1630"/>
    <col min="8705" max="8705" width="4.90625" style="1630" customWidth="1"/>
    <col min="8706" max="8706" width="13.08984375" style="1630" customWidth="1"/>
    <col min="8707" max="8707" width="15.6328125" style="1630" customWidth="1"/>
    <col min="8708" max="8708" width="9.36328125" style="1630" bestFit="1" customWidth="1"/>
    <col min="8709" max="8709" width="13.453125" style="1630" customWidth="1"/>
    <col min="8710" max="8710" width="9" style="1630"/>
    <col min="8711" max="8711" width="9.36328125" style="1630" bestFit="1" customWidth="1"/>
    <col min="8712" max="8713" width="9" style="1630"/>
    <col min="8714" max="8714" width="9.36328125" style="1630" bestFit="1" customWidth="1"/>
    <col min="8715" max="8715" width="4" style="1630" customWidth="1"/>
    <col min="8716" max="8716" width="5.08984375" style="1630" customWidth="1"/>
    <col min="8717" max="8717" width="13.90625" style="1630" customWidth="1"/>
    <col min="8718" max="8960" width="9" style="1630"/>
    <col min="8961" max="8961" width="4.90625" style="1630" customWidth="1"/>
    <col min="8962" max="8962" width="13.08984375" style="1630" customWidth="1"/>
    <col min="8963" max="8963" width="15.6328125" style="1630" customWidth="1"/>
    <col min="8964" max="8964" width="9.36328125" style="1630" bestFit="1" customWidth="1"/>
    <col min="8965" max="8965" width="13.453125" style="1630" customWidth="1"/>
    <col min="8966" max="8966" width="9" style="1630"/>
    <col min="8967" max="8967" width="9.36328125" style="1630" bestFit="1" customWidth="1"/>
    <col min="8968" max="8969" width="9" style="1630"/>
    <col min="8970" max="8970" width="9.36328125" style="1630" bestFit="1" customWidth="1"/>
    <col min="8971" max="8971" width="4" style="1630" customWidth="1"/>
    <col min="8972" max="8972" width="5.08984375" style="1630" customWidth="1"/>
    <col min="8973" max="8973" width="13.90625" style="1630" customWidth="1"/>
    <col min="8974" max="9216" width="9" style="1630"/>
    <col min="9217" max="9217" width="4.90625" style="1630" customWidth="1"/>
    <col min="9218" max="9218" width="13.08984375" style="1630" customWidth="1"/>
    <col min="9219" max="9219" width="15.6328125" style="1630" customWidth="1"/>
    <col min="9220" max="9220" width="9.36328125" style="1630" bestFit="1" customWidth="1"/>
    <col min="9221" max="9221" width="13.453125" style="1630" customWidth="1"/>
    <col min="9222" max="9222" width="9" style="1630"/>
    <col min="9223" max="9223" width="9.36328125" style="1630" bestFit="1" customWidth="1"/>
    <col min="9224" max="9225" width="9" style="1630"/>
    <col min="9226" max="9226" width="9.36328125" style="1630" bestFit="1" customWidth="1"/>
    <col min="9227" max="9227" width="4" style="1630" customWidth="1"/>
    <col min="9228" max="9228" width="5.08984375" style="1630" customWidth="1"/>
    <col min="9229" max="9229" width="13.90625" style="1630" customWidth="1"/>
    <col min="9230" max="9472" width="9" style="1630"/>
    <col min="9473" max="9473" width="4.90625" style="1630" customWidth="1"/>
    <col min="9474" max="9474" width="13.08984375" style="1630" customWidth="1"/>
    <col min="9475" max="9475" width="15.6328125" style="1630" customWidth="1"/>
    <col min="9476" max="9476" width="9.36328125" style="1630" bestFit="1" customWidth="1"/>
    <col min="9477" max="9477" width="13.453125" style="1630" customWidth="1"/>
    <col min="9478" max="9478" width="9" style="1630"/>
    <col min="9479" max="9479" width="9.36328125" style="1630" bestFit="1" customWidth="1"/>
    <col min="9480" max="9481" width="9" style="1630"/>
    <col min="9482" max="9482" width="9.36328125" style="1630" bestFit="1" customWidth="1"/>
    <col min="9483" max="9483" width="4" style="1630" customWidth="1"/>
    <col min="9484" max="9484" width="5.08984375" style="1630" customWidth="1"/>
    <col min="9485" max="9485" width="13.90625" style="1630" customWidth="1"/>
    <col min="9486" max="9728" width="9" style="1630"/>
    <col min="9729" max="9729" width="4.90625" style="1630" customWidth="1"/>
    <col min="9730" max="9730" width="13.08984375" style="1630" customWidth="1"/>
    <col min="9731" max="9731" width="15.6328125" style="1630" customWidth="1"/>
    <col min="9732" max="9732" width="9.36328125" style="1630" bestFit="1" customWidth="1"/>
    <col min="9733" max="9733" width="13.453125" style="1630" customWidth="1"/>
    <col min="9734" max="9734" width="9" style="1630"/>
    <col min="9735" max="9735" width="9.36328125" style="1630" bestFit="1" customWidth="1"/>
    <col min="9736" max="9737" width="9" style="1630"/>
    <col min="9738" max="9738" width="9.36328125" style="1630" bestFit="1" customWidth="1"/>
    <col min="9739" max="9739" width="4" style="1630" customWidth="1"/>
    <col min="9740" max="9740" width="5.08984375" style="1630" customWidth="1"/>
    <col min="9741" max="9741" width="13.90625" style="1630" customWidth="1"/>
    <col min="9742" max="9984" width="9" style="1630"/>
    <col min="9985" max="9985" width="4.90625" style="1630" customWidth="1"/>
    <col min="9986" max="9986" width="13.08984375" style="1630" customWidth="1"/>
    <col min="9987" max="9987" width="15.6328125" style="1630" customWidth="1"/>
    <col min="9988" max="9988" width="9.36328125" style="1630" bestFit="1" customWidth="1"/>
    <col min="9989" max="9989" width="13.453125" style="1630" customWidth="1"/>
    <col min="9990" max="9990" width="9" style="1630"/>
    <col min="9991" max="9991" width="9.36328125" style="1630" bestFit="1" customWidth="1"/>
    <col min="9992" max="9993" width="9" style="1630"/>
    <col min="9994" max="9994" width="9.36328125" style="1630" bestFit="1" customWidth="1"/>
    <col min="9995" max="9995" width="4" style="1630" customWidth="1"/>
    <col min="9996" max="9996" width="5.08984375" style="1630" customWidth="1"/>
    <col min="9997" max="9997" width="13.90625" style="1630" customWidth="1"/>
    <col min="9998" max="10240" width="9" style="1630"/>
    <col min="10241" max="10241" width="4.90625" style="1630" customWidth="1"/>
    <col min="10242" max="10242" width="13.08984375" style="1630" customWidth="1"/>
    <col min="10243" max="10243" width="15.6328125" style="1630" customWidth="1"/>
    <col min="10244" max="10244" width="9.36328125" style="1630" bestFit="1" customWidth="1"/>
    <col min="10245" max="10245" width="13.453125" style="1630" customWidth="1"/>
    <col min="10246" max="10246" width="9" style="1630"/>
    <col min="10247" max="10247" width="9.36328125" style="1630" bestFit="1" customWidth="1"/>
    <col min="10248" max="10249" width="9" style="1630"/>
    <col min="10250" max="10250" width="9.36328125" style="1630" bestFit="1" customWidth="1"/>
    <col min="10251" max="10251" width="4" style="1630" customWidth="1"/>
    <col min="10252" max="10252" width="5.08984375" style="1630" customWidth="1"/>
    <col min="10253" max="10253" width="13.90625" style="1630" customWidth="1"/>
    <col min="10254" max="10496" width="9" style="1630"/>
    <col min="10497" max="10497" width="4.90625" style="1630" customWidth="1"/>
    <col min="10498" max="10498" width="13.08984375" style="1630" customWidth="1"/>
    <col min="10499" max="10499" width="15.6328125" style="1630" customWidth="1"/>
    <col min="10500" max="10500" width="9.36328125" style="1630" bestFit="1" customWidth="1"/>
    <col min="10501" max="10501" width="13.453125" style="1630" customWidth="1"/>
    <col min="10502" max="10502" width="9" style="1630"/>
    <col min="10503" max="10503" width="9.36328125" style="1630" bestFit="1" customWidth="1"/>
    <col min="10504" max="10505" width="9" style="1630"/>
    <col min="10506" max="10506" width="9.36328125" style="1630" bestFit="1" customWidth="1"/>
    <col min="10507" max="10507" width="4" style="1630" customWidth="1"/>
    <col min="10508" max="10508" width="5.08984375" style="1630" customWidth="1"/>
    <col min="10509" max="10509" width="13.90625" style="1630" customWidth="1"/>
    <col min="10510" max="10752" width="9" style="1630"/>
    <col min="10753" max="10753" width="4.90625" style="1630" customWidth="1"/>
    <col min="10754" max="10754" width="13.08984375" style="1630" customWidth="1"/>
    <col min="10755" max="10755" width="15.6328125" style="1630" customWidth="1"/>
    <col min="10756" max="10756" width="9.36328125" style="1630" bestFit="1" customWidth="1"/>
    <col min="10757" max="10757" width="13.453125" style="1630" customWidth="1"/>
    <col min="10758" max="10758" width="9" style="1630"/>
    <col min="10759" max="10759" width="9.36328125" style="1630" bestFit="1" customWidth="1"/>
    <col min="10760" max="10761" width="9" style="1630"/>
    <col min="10762" max="10762" width="9.36328125" style="1630" bestFit="1" customWidth="1"/>
    <col min="10763" max="10763" width="4" style="1630" customWidth="1"/>
    <col min="10764" max="10764" width="5.08984375" style="1630" customWidth="1"/>
    <col min="10765" max="10765" width="13.90625" style="1630" customWidth="1"/>
    <col min="10766" max="11008" width="9" style="1630"/>
    <col min="11009" max="11009" width="4.90625" style="1630" customWidth="1"/>
    <col min="11010" max="11010" width="13.08984375" style="1630" customWidth="1"/>
    <col min="11011" max="11011" width="15.6328125" style="1630" customWidth="1"/>
    <col min="11012" max="11012" width="9.36328125" style="1630" bestFit="1" customWidth="1"/>
    <col min="11013" max="11013" width="13.453125" style="1630" customWidth="1"/>
    <col min="11014" max="11014" width="9" style="1630"/>
    <col min="11015" max="11015" width="9.36328125" style="1630" bestFit="1" customWidth="1"/>
    <col min="11016" max="11017" width="9" style="1630"/>
    <col min="11018" max="11018" width="9.36328125" style="1630" bestFit="1" customWidth="1"/>
    <col min="11019" max="11019" width="4" style="1630" customWidth="1"/>
    <col min="11020" max="11020" width="5.08984375" style="1630" customWidth="1"/>
    <col min="11021" max="11021" width="13.90625" style="1630" customWidth="1"/>
    <col min="11022" max="11264" width="9" style="1630"/>
    <col min="11265" max="11265" width="4.90625" style="1630" customWidth="1"/>
    <col min="11266" max="11266" width="13.08984375" style="1630" customWidth="1"/>
    <col min="11267" max="11267" width="15.6328125" style="1630" customWidth="1"/>
    <col min="11268" max="11268" width="9.36328125" style="1630" bestFit="1" customWidth="1"/>
    <col min="11269" max="11269" width="13.453125" style="1630" customWidth="1"/>
    <col min="11270" max="11270" width="9" style="1630"/>
    <col min="11271" max="11271" width="9.36328125" style="1630" bestFit="1" customWidth="1"/>
    <col min="11272" max="11273" width="9" style="1630"/>
    <col min="11274" max="11274" width="9.36328125" style="1630" bestFit="1" customWidth="1"/>
    <col min="11275" max="11275" width="4" style="1630" customWidth="1"/>
    <col min="11276" max="11276" width="5.08984375" style="1630" customWidth="1"/>
    <col min="11277" max="11277" width="13.90625" style="1630" customWidth="1"/>
    <col min="11278" max="11520" width="9" style="1630"/>
    <col min="11521" max="11521" width="4.90625" style="1630" customWidth="1"/>
    <col min="11522" max="11522" width="13.08984375" style="1630" customWidth="1"/>
    <col min="11523" max="11523" width="15.6328125" style="1630" customWidth="1"/>
    <col min="11524" max="11524" width="9.36328125" style="1630" bestFit="1" customWidth="1"/>
    <col min="11525" max="11525" width="13.453125" style="1630" customWidth="1"/>
    <col min="11526" max="11526" width="9" style="1630"/>
    <col min="11527" max="11527" width="9.36328125" style="1630" bestFit="1" customWidth="1"/>
    <col min="11528" max="11529" width="9" style="1630"/>
    <col min="11530" max="11530" width="9.36328125" style="1630" bestFit="1" customWidth="1"/>
    <col min="11531" max="11531" width="4" style="1630" customWidth="1"/>
    <col min="11532" max="11532" width="5.08984375" style="1630" customWidth="1"/>
    <col min="11533" max="11533" width="13.90625" style="1630" customWidth="1"/>
    <col min="11534" max="11776" width="9" style="1630"/>
    <col min="11777" max="11777" width="4.90625" style="1630" customWidth="1"/>
    <col min="11778" max="11778" width="13.08984375" style="1630" customWidth="1"/>
    <col min="11779" max="11779" width="15.6328125" style="1630" customWidth="1"/>
    <col min="11780" max="11780" width="9.36328125" style="1630" bestFit="1" customWidth="1"/>
    <col min="11781" max="11781" width="13.453125" style="1630" customWidth="1"/>
    <col min="11782" max="11782" width="9" style="1630"/>
    <col min="11783" max="11783" width="9.36328125" style="1630" bestFit="1" customWidth="1"/>
    <col min="11784" max="11785" width="9" style="1630"/>
    <col min="11786" max="11786" width="9.36328125" style="1630" bestFit="1" customWidth="1"/>
    <col min="11787" max="11787" width="4" style="1630" customWidth="1"/>
    <col min="11788" max="11788" width="5.08984375" style="1630" customWidth="1"/>
    <col min="11789" max="11789" width="13.90625" style="1630" customWidth="1"/>
    <col min="11790" max="12032" width="9" style="1630"/>
    <col min="12033" max="12033" width="4.90625" style="1630" customWidth="1"/>
    <col min="12034" max="12034" width="13.08984375" style="1630" customWidth="1"/>
    <col min="12035" max="12035" width="15.6328125" style="1630" customWidth="1"/>
    <col min="12036" max="12036" width="9.36328125" style="1630" bestFit="1" customWidth="1"/>
    <col min="12037" max="12037" width="13.453125" style="1630" customWidth="1"/>
    <col min="12038" max="12038" width="9" style="1630"/>
    <col min="12039" max="12039" width="9.36328125" style="1630" bestFit="1" customWidth="1"/>
    <col min="12040" max="12041" width="9" style="1630"/>
    <col min="12042" max="12042" width="9.36328125" style="1630" bestFit="1" customWidth="1"/>
    <col min="12043" max="12043" width="4" style="1630" customWidth="1"/>
    <col min="12044" max="12044" width="5.08984375" style="1630" customWidth="1"/>
    <col min="12045" max="12045" width="13.90625" style="1630" customWidth="1"/>
    <col min="12046" max="12288" width="9" style="1630"/>
    <col min="12289" max="12289" width="4.90625" style="1630" customWidth="1"/>
    <col min="12290" max="12290" width="13.08984375" style="1630" customWidth="1"/>
    <col min="12291" max="12291" width="15.6328125" style="1630" customWidth="1"/>
    <col min="12292" max="12292" width="9.36328125" style="1630" bestFit="1" customWidth="1"/>
    <col min="12293" max="12293" width="13.453125" style="1630" customWidth="1"/>
    <col min="12294" max="12294" width="9" style="1630"/>
    <col min="12295" max="12295" width="9.36328125" style="1630" bestFit="1" customWidth="1"/>
    <col min="12296" max="12297" width="9" style="1630"/>
    <col min="12298" max="12298" width="9.36328125" style="1630" bestFit="1" customWidth="1"/>
    <col min="12299" max="12299" width="4" style="1630" customWidth="1"/>
    <col min="12300" max="12300" width="5.08984375" style="1630" customWidth="1"/>
    <col min="12301" max="12301" width="13.90625" style="1630" customWidth="1"/>
    <col min="12302" max="12544" width="9" style="1630"/>
    <col min="12545" max="12545" width="4.90625" style="1630" customWidth="1"/>
    <col min="12546" max="12546" width="13.08984375" style="1630" customWidth="1"/>
    <col min="12547" max="12547" width="15.6328125" style="1630" customWidth="1"/>
    <col min="12548" max="12548" width="9.36328125" style="1630" bestFit="1" customWidth="1"/>
    <col min="12549" max="12549" width="13.453125" style="1630" customWidth="1"/>
    <col min="12550" max="12550" width="9" style="1630"/>
    <col min="12551" max="12551" width="9.36328125" style="1630" bestFit="1" customWidth="1"/>
    <col min="12552" max="12553" width="9" style="1630"/>
    <col min="12554" max="12554" width="9.36328125" style="1630" bestFit="1" customWidth="1"/>
    <col min="12555" max="12555" width="4" style="1630" customWidth="1"/>
    <col min="12556" max="12556" width="5.08984375" style="1630" customWidth="1"/>
    <col min="12557" max="12557" width="13.90625" style="1630" customWidth="1"/>
    <col min="12558" max="12800" width="9" style="1630"/>
    <col min="12801" max="12801" width="4.90625" style="1630" customWidth="1"/>
    <col min="12802" max="12802" width="13.08984375" style="1630" customWidth="1"/>
    <col min="12803" max="12803" width="15.6328125" style="1630" customWidth="1"/>
    <col min="12804" max="12804" width="9.36328125" style="1630" bestFit="1" customWidth="1"/>
    <col min="12805" max="12805" width="13.453125" style="1630" customWidth="1"/>
    <col min="12806" max="12806" width="9" style="1630"/>
    <col min="12807" max="12807" width="9.36328125" style="1630" bestFit="1" customWidth="1"/>
    <col min="12808" max="12809" width="9" style="1630"/>
    <col min="12810" max="12810" width="9.36328125" style="1630" bestFit="1" customWidth="1"/>
    <col min="12811" max="12811" width="4" style="1630" customWidth="1"/>
    <col min="12812" max="12812" width="5.08984375" style="1630" customWidth="1"/>
    <col min="12813" max="12813" width="13.90625" style="1630" customWidth="1"/>
    <col min="12814" max="13056" width="9" style="1630"/>
    <col min="13057" max="13057" width="4.90625" style="1630" customWidth="1"/>
    <col min="13058" max="13058" width="13.08984375" style="1630" customWidth="1"/>
    <col min="13059" max="13059" width="15.6328125" style="1630" customWidth="1"/>
    <col min="13060" max="13060" width="9.36328125" style="1630" bestFit="1" customWidth="1"/>
    <col min="13061" max="13061" width="13.453125" style="1630" customWidth="1"/>
    <col min="13062" max="13062" width="9" style="1630"/>
    <col min="13063" max="13063" width="9.36328125" style="1630" bestFit="1" customWidth="1"/>
    <col min="13064" max="13065" width="9" style="1630"/>
    <col min="13066" max="13066" width="9.36328125" style="1630" bestFit="1" customWidth="1"/>
    <col min="13067" max="13067" width="4" style="1630" customWidth="1"/>
    <col min="13068" max="13068" width="5.08984375" style="1630" customWidth="1"/>
    <col min="13069" max="13069" width="13.90625" style="1630" customWidth="1"/>
    <col min="13070" max="13312" width="9" style="1630"/>
    <col min="13313" max="13313" width="4.90625" style="1630" customWidth="1"/>
    <col min="13314" max="13314" width="13.08984375" style="1630" customWidth="1"/>
    <col min="13315" max="13315" width="15.6328125" style="1630" customWidth="1"/>
    <col min="13316" max="13316" width="9.36328125" style="1630" bestFit="1" customWidth="1"/>
    <col min="13317" max="13317" width="13.453125" style="1630" customWidth="1"/>
    <col min="13318" max="13318" width="9" style="1630"/>
    <col min="13319" max="13319" width="9.36328125" style="1630" bestFit="1" customWidth="1"/>
    <col min="13320" max="13321" width="9" style="1630"/>
    <col min="13322" max="13322" width="9.36328125" style="1630" bestFit="1" customWidth="1"/>
    <col min="13323" max="13323" width="4" style="1630" customWidth="1"/>
    <col min="13324" max="13324" width="5.08984375" style="1630" customWidth="1"/>
    <col min="13325" max="13325" width="13.90625" style="1630" customWidth="1"/>
    <col min="13326" max="13568" width="9" style="1630"/>
    <col min="13569" max="13569" width="4.90625" style="1630" customWidth="1"/>
    <col min="13570" max="13570" width="13.08984375" style="1630" customWidth="1"/>
    <col min="13571" max="13571" width="15.6328125" style="1630" customWidth="1"/>
    <col min="13572" max="13572" width="9.36328125" style="1630" bestFit="1" customWidth="1"/>
    <col min="13573" max="13573" width="13.453125" style="1630" customWidth="1"/>
    <col min="13574" max="13574" width="9" style="1630"/>
    <col min="13575" max="13575" width="9.36328125" style="1630" bestFit="1" customWidth="1"/>
    <col min="13576" max="13577" width="9" style="1630"/>
    <col min="13578" max="13578" width="9.36328125" style="1630" bestFit="1" customWidth="1"/>
    <col min="13579" max="13579" width="4" style="1630" customWidth="1"/>
    <col min="13580" max="13580" width="5.08984375" style="1630" customWidth="1"/>
    <col min="13581" max="13581" width="13.90625" style="1630" customWidth="1"/>
    <col min="13582" max="13824" width="9" style="1630"/>
    <col min="13825" max="13825" width="4.90625" style="1630" customWidth="1"/>
    <col min="13826" max="13826" width="13.08984375" style="1630" customWidth="1"/>
    <col min="13827" max="13827" width="15.6328125" style="1630" customWidth="1"/>
    <col min="13828" max="13828" width="9.36328125" style="1630" bestFit="1" customWidth="1"/>
    <col min="13829" max="13829" width="13.453125" style="1630" customWidth="1"/>
    <col min="13830" max="13830" width="9" style="1630"/>
    <col min="13831" max="13831" width="9.36328125" style="1630" bestFit="1" customWidth="1"/>
    <col min="13832" max="13833" width="9" style="1630"/>
    <col min="13834" max="13834" width="9.36328125" style="1630" bestFit="1" customWidth="1"/>
    <col min="13835" max="13835" width="4" style="1630" customWidth="1"/>
    <col min="13836" max="13836" width="5.08984375" style="1630" customWidth="1"/>
    <col min="13837" max="13837" width="13.90625" style="1630" customWidth="1"/>
    <col min="13838" max="14080" width="9" style="1630"/>
    <col min="14081" max="14081" width="4.90625" style="1630" customWidth="1"/>
    <col min="14082" max="14082" width="13.08984375" style="1630" customWidth="1"/>
    <col min="14083" max="14083" width="15.6328125" style="1630" customWidth="1"/>
    <col min="14084" max="14084" width="9.36328125" style="1630" bestFit="1" customWidth="1"/>
    <col min="14085" max="14085" width="13.453125" style="1630" customWidth="1"/>
    <col min="14086" max="14086" width="9" style="1630"/>
    <col min="14087" max="14087" width="9.36328125" style="1630" bestFit="1" customWidth="1"/>
    <col min="14088" max="14089" width="9" style="1630"/>
    <col min="14090" max="14090" width="9.36328125" style="1630" bestFit="1" customWidth="1"/>
    <col min="14091" max="14091" width="4" style="1630" customWidth="1"/>
    <col min="14092" max="14092" width="5.08984375" style="1630" customWidth="1"/>
    <col min="14093" max="14093" width="13.90625" style="1630" customWidth="1"/>
    <col min="14094" max="14336" width="9" style="1630"/>
    <col min="14337" max="14337" width="4.90625" style="1630" customWidth="1"/>
    <col min="14338" max="14338" width="13.08984375" style="1630" customWidth="1"/>
    <col min="14339" max="14339" width="15.6328125" style="1630" customWidth="1"/>
    <col min="14340" max="14340" width="9.36328125" style="1630" bestFit="1" customWidth="1"/>
    <col min="14341" max="14341" width="13.453125" style="1630" customWidth="1"/>
    <col min="14342" max="14342" width="9" style="1630"/>
    <col min="14343" max="14343" width="9.36328125" style="1630" bestFit="1" customWidth="1"/>
    <col min="14344" max="14345" width="9" style="1630"/>
    <col min="14346" max="14346" width="9.36328125" style="1630" bestFit="1" customWidth="1"/>
    <col min="14347" max="14347" width="4" style="1630" customWidth="1"/>
    <col min="14348" max="14348" width="5.08984375" style="1630" customWidth="1"/>
    <col min="14349" max="14349" width="13.90625" style="1630" customWidth="1"/>
    <col min="14350" max="14592" width="9" style="1630"/>
    <col min="14593" max="14593" width="4.90625" style="1630" customWidth="1"/>
    <col min="14594" max="14594" width="13.08984375" style="1630" customWidth="1"/>
    <col min="14595" max="14595" width="15.6328125" style="1630" customWidth="1"/>
    <col min="14596" max="14596" width="9.36328125" style="1630" bestFit="1" customWidth="1"/>
    <col min="14597" max="14597" width="13.453125" style="1630" customWidth="1"/>
    <col min="14598" max="14598" width="9" style="1630"/>
    <col min="14599" max="14599" width="9.36328125" style="1630" bestFit="1" customWidth="1"/>
    <col min="14600" max="14601" width="9" style="1630"/>
    <col min="14602" max="14602" width="9.36328125" style="1630" bestFit="1" customWidth="1"/>
    <col min="14603" max="14603" width="4" style="1630" customWidth="1"/>
    <col min="14604" max="14604" width="5.08984375" style="1630" customWidth="1"/>
    <col min="14605" max="14605" width="13.90625" style="1630" customWidth="1"/>
    <col min="14606" max="14848" width="9" style="1630"/>
    <col min="14849" max="14849" width="4.90625" style="1630" customWidth="1"/>
    <col min="14850" max="14850" width="13.08984375" style="1630" customWidth="1"/>
    <col min="14851" max="14851" width="15.6328125" style="1630" customWidth="1"/>
    <col min="14852" max="14852" width="9.36328125" style="1630" bestFit="1" customWidth="1"/>
    <col min="14853" max="14853" width="13.453125" style="1630" customWidth="1"/>
    <col min="14854" max="14854" width="9" style="1630"/>
    <col min="14855" max="14855" width="9.36328125" style="1630" bestFit="1" customWidth="1"/>
    <col min="14856" max="14857" width="9" style="1630"/>
    <col min="14858" max="14858" width="9.36328125" style="1630" bestFit="1" customWidth="1"/>
    <col min="14859" max="14859" width="4" style="1630" customWidth="1"/>
    <col min="14860" max="14860" width="5.08984375" style="1630" customWidth="1"/>
    <col min="14861" max="14861" width="13.90625" style="1630" customWidth="1"/>
    <col min="14862" max="15104" width="9" style="1630"/>
    <col min="15105" max="15105" width="4.90625" style="1630" customWidth="1"/>
    <col min="15106" max="15106" width="13.08984375" style="1630" customWidth="1"/>
    <col min="15107" max="15107" width="15.6328125" style="1630" customWidth="1"/>
    <col min="15108" max="15108" width="9.36328125" style="1630" bestFit="1" customWidth="1"/>
    <col min="15109" max="15109" width="13.453125" style="1630" customWidth="1"/>
    <col min="15110" max="15110" width="9" style="1630"/>
    <col min="15111" max="15111" width="9.36328125" style="1630" bestFit="1" customWidth="1"/>
    <col min="15112" max="15113" width="9" style="1630"/>
    <col min="15114" max="15114" width="9.36328125" style="1630" bestFit="1" customWidth="1"/>
    <col min="15115" max="15115" width="4" style="1630" customWidth="1"/>
    <col min="15116" max="15116" width="5.08984375" style="1630" customWidth="1"/>
    <col min="15117" max="15117" width="13.90625" style="1630" customWidth="1"/>
    <col min="15118" max="15360" width="9" style="1630"/>
    <col min="15361" max="15361" width="4.90625" style="1630" customWidth="1"/>
    <col min="15362" max="15362" width="13.08984375" style="1630" customWidth="1"/>
    <col min="15363" max="15363" width="15.6328125" style="1630" customWidth="1"/>
    <col min="15364" max="15364" width="9.36328125" style="1630" bestFit="1" customWidth="1"/>
    <col min="15365" max="15365" width="13.453125" style="1630" customWidth="1"/>
    <col min="15366" max="15366" width="9" style="1630"/>
    <col min="15367" max="15367" width="9.36328125" style="1630" bestFit="1" customWidth="1"/>
    <col min="15368" max="15369" width="9" style="1630"/>
    <col min="15370" max="15370" width="9.36328125" style="1630" bestFit="1" customWidth="1"/>
    <col min="15371" max="15371" width="4" style="1630" customWidth="1"/>
    <col min="15372" max="15372" width="5.08984375" style="1630" customWidth="1"/>
    <col min="15373" max="15373" width="13.90625" style="1630" customWidth="1"/>
    <col min="15374" max="15616" width="9" style="1630"/>
    <col min="15617" max="15617" width="4.90625" style="1630" customWidth="1"/>
    <col min="15618" max="15618" width="13.08984375" style="1630" customWidth="1"/>
    <col min="15619" max="15619" width="15.6328125" style="1630" customWidth="1"/>
    <col min="15620" max="15620" width="9.36328125" style="1630" bestFit="1" customWidth="1"/>
    <col min="15621" max="15621" width="13.453125" style="1630" customWidth="1"/>
    <col min="15622" max="15622" width="9" style="1630"/>
    <col min="15623" max="15623" width="9.36328125" style="1630" bestFit="1" customWidth="1"/>
    <col min="15624" max="15625" width="9" style="1630"/>
    <col min="15626" max="15626" width="9.36328125" style="1630" bestFit="1" customWidth="1"/>
    <col min="15627" max="15627" width="4" style="1630" customWidth="1"/>
    <col min="15628" max="15628" width="5.08984375" style="1630" customWidth="1"/>
    <col min="15629" max="15629" width="13.90625" style="1630" customWidth="1"/>
    <col min="15630" max="15872" width="9" style="1630"/>
    <col min="15873" max="15873" width="4.90625" style="1630" customWidth="1"/>
    <col min="15874" max="15874" width="13.08984375" style="1630" customWidth="1"/>
    <col min="15875" max="15875" width="15.6328125" style="1630" customWidth="1"/>
    <col min="15876" max="15876" width="9.36328125" style="1630" bestFit="1" customWidth="1"/>
    <col min="15877" max="15877" width="13.453125" style="1630" customWidth="1"/>
    <col min="15878" max="15878" width="9" style="1630"/>
    <col min="15879" max="15879" width="9.36328125" style="1630" bestFit="1" customWidth="1"/>
    <col min="15880" max="15881" width="9" style="1630"/>
    <col min="15882" max="15882" width="9.36328125" style="1630" bestFit="1" customWidth="1"/>
    <col min="15883" max="15883" width="4" style="1630" customWidth="1"/>
    <col min="15884" max="15884" width="5.08984375" style="1630" customWidth="1"/>
    <col min="15885" max="15885" width="13.90625" style="1630" customWidth="1"/>
    <col min="15886" max="16128" width="9" style="1630"/>
    <col min="16129" max="16129" width="4.90625" style="1630" customWidth="1"/>
    <col min="16130" max="16130" width="13.08984375" style="1630" customWidth="1"/>
    <col min="16131" max="16131" width="15.6328125" style="1630" customWidth="1"/>
    <col min="16132" max="16132" width="9.36328125" style="1630" bestFit="1" customWidth="1"/>
    <col min="16133" max="16133" width="13.453125" style="1630" customWidth="1"/>
    <col min="16134" max="16134" width="9" style="1630"/>
    <col min="16135" max="16135" width="9.36328125" style="1630" bestFit="1" customWidth="1"/>
    <col min="16136" max="16137" width="9" style="1630"/>
    <col min="16138" max="16138" width="9.36328125" style="1630" bestFit="1" customWidth="1"/>
    <col min="16139" max="16139" width="4" style="1630" customWidth="1"/>
    <col min="16140" max="16140" width="5.08984375" style="1630" customWidth="1"/>
    <col min="16141" max="16141" width="13.90625" style="1630" customWidth="1"/>
    <col min="16142" max="16384" width="9" style="1630"/>
  </cols>
  <sheetData>
    <row r="1" spans="1:257" s="1694" customFormat="1" ht="14.5" thickBot="1">
      <c r="A1" s="1688"/>
      <c r="B1" s="1695" t="s">
        <v>1295</v>
      </c>
      <c r="C1" s="1689">
        <f>项目基本情况!D3</f>
        <v>43903</v>
      </c>
      <c r="D1" s="1695" t="s">
        <v>1296</v>
      </c>
      <c r="E1" s="1690">
        <f>'数据-取费表'!B22</f>
        <v>2.5</v>
      </c>
      <c r="F1" s="1695" t="s">
        <v>1297</v>
      </c>
      <c r="G1" s="1691">
        <f ca="1">INDIRECT("d"&amp;$K$1)/100</f>
        <v>4.7500000000000001E-2</v>
      </c>
      <c r="H1" s="1695" t="s">
        <v>1327</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1298</v>
      </c>
      <c r="E2" s="1631"/>
      <c r="F2" s="1631" t="s">
        <v>1299</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1300</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1301</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1302</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1303</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5" thickBot="1">
      <c r="B7" s="1645" t="s">
        <v>1304</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1">
      <c r="A9" s="1653"/>
      <c r="B9" s="1654" t="s">
        <v>1305</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3">
      <c r="A10" s="1659"/>
      <c r="B10" s="1660" t="s">
        <v>1306</v>
      </c>
      <c r="C10" s="1659"/>
      <c r="D10" s="1659"/>
      <c r="E10" s="1659"/>
      <c r="F10" s="1659"/>
      <c r="G10" s="1659"/>
      <c r="H10" s="1659"/>
      <c r="I10" s="1633"/>
      <c r="J10" s="1633"/>
      <c r="K10" s="1659"/>
      <c r="L10" s="1660" t="s">
        <v>1307</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1308</v>
      </c>
      <c r="C11" s="1664" t="s">
        <v>1309</v>
      </c>
      <c r="D11" s="1665" t="s">
        <v>1310</v>
      </c>
      <c r="E11" s="1666"/>
      <c r="F11" s="1665" t="s">
        <v>1311</v>
      </c>
      <c r="G11" s="1667"/>
      <c r="H11" s="1666"/>
      <c r="I11" s="1665" t="s">
        <v>1312</v>
      </c>
      <c r="J11" s="1666"/>
      <c r="K11" s="1662"/>
      <c r="L11" s="1663" t="s">
        <v>1308</v>
      </c>
      <c r="M11" s="1664" t="s">
        <v>1309</v>
      </c>
      <c r="N11" s="1663" t="s">
        <v>1313</v>
      </c>
      <c r="O11" s="1665" t="s">
        <v>1314</v>
      </c>
      <c r="P11" s="1667"/>
      <c r="Q11" s="1667"/>
      <c r="R11" s="1667"/>
      <c r="S11" s="1667"/>
      <c r="T11" s="1666"/>
      <c r="U11" s="1665" t="s">
        <v>1315</v>
      </c>
      <c r="V11" s="1667"/>
      <c r="W11" s="1666"/>
      <c r="X11" s="1663" t="s">
        <v>1316</v>
      </c>
      <c r="Y11" s="1663" t="s">
        <v>1317</v>
      </c>
      <c r="Z11" s="1663" t="s">
        <v>1318</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1319</v>
      </c>
      <c r="E12" s="1672" t="s">
        <v>1320</v>
      </c>
      <c r="F12" s="1672" t="s">
        <v>1321</v>
      </c>
      <c r="G12" s="1672" t="s">
        <v>1322</v>
      </c>
      <c r="H12" s="1672" t="s">
        <v>1304</v>
      </c>
      <c r="I12" s="1673" t="s">
        <v>1323</v>
      </c>
      <c r="J12" s="1673" t="s">
        <v>1323</v>
      </c>
      <c r="K12" s="1669"/>
      <c r="L12" s="1670"/>
      <c r="M12" s="1671"/>
      <c r="N12" s="1670"/>
      <c r="O12" s="1673" t="s">
        <v>1324</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0">
      <c r="A13" s="1675"/>
      <c r="B13" s="1676" t="s">
        <v>1325</v>
      </c>
      <c r="C13" s="1677">
        <v>42301</v>
      </c>
      <c r="D13" s="1678">
        <v>4.3499999999999996</v>
      </c>
      <c r="E13" s="1678">
        <v>4.3499999999999996</v>
      </c>
      <c r="F13" s="1678">
        <v>4.75</v>
      </c>
      <c r="G13" s="1678">
        <v>4.75</v>
      </c>
      <c r="H13" s="1678">
        <v>4.9000000000000004</v>
      </c>
      <c r="I13" s="1678">
        <v>2.75</v>
      </c>
      <c r="J13" s="1678">
        <v>3.25</v>
      </c>
      <c r="K13" s="1675"/>
      <c r="L13" s="1676" t="s">
        <v>1325</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1326</v>
      </c>
      <c r="Y42" s="1682" t="s">
        <v>1326</v>
      </c>
      <c r="Z42" s="1682" t="s">
        <v>1326</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1326</v>
      </c>
      <c r="Y43" s="1682" t="s">
        <v>1326</v>
      </c>
      <c r="Z43" s="1682" t="s">
        <v>1326</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1326</v>
      </c>
      <c r="Y44" s="1682" t="s">
        <v>1326</v>
      </c>
      <c r="Z44" s="1682" t="s">
        <v>1326</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1326</v>
      </c>
      <c r="Y45" s="1682" t="s">
        <v>1326</v>
      </c>
      <c r="Z45" s="1682" t="s">
        <v>1326</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1326</v>
      </c>
      <c r="Y46" s="1682" t="s">
        <v>1326</v>
      </c>
      <c r="Z46" s="1682" t="s">
        <v>1326</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1326</v>
      </c>
      <c r="Y47" s="1682" t="s">
        <v>1326</v>
      </c>
      <c r="Z47" s="1682" t="s">
        <v>1326</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1326</v>
      </c>
      <c r="Y48" s="1682" t="s">
        <v>1326</v>
      </c>
      <c r="Z48" s="1682" t="s">
        <v>1326</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1326</v>
      </c>
      <c r="Y49" s="1682" t="s">
        <v>1326</v>
      </c>
      <c r="Z49" s="1682" t="s">
        <v>1326</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1326</v>
      </c>
      <c r="Y50" s="1682" t="s">
        <v>1326</v>
      </c>
      <c r="Z50" s="1682" t="s">
        <v>1326</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1326</v>
      </c>
      <c r="V51" s="1682" t="s">
        <v>1326</v>
      </c>
      <c r="W51" s="1682" t="s">
        <v>1326</v>
      </c>
      <c r="X51" s="1682" t="s">
        <v>1326</v>
      </c>
      <c r="Y51" s="1682" t="s">
        <v>1326</v>
      </c>
      <c r="Z51" s="1682" t="s">
        <v>1326</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1326</v>
      </c>
      <c r="J55" s="1682" t="s">
        <v>1326</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39" customWidth="1"/>
    <col min="2" max="9" width="12.08984375" style="1939" customWidth="1"/>
    <col min="10" max="16384" width="9" style="1939"/>
  </cols>
  <sheetData>
    <row r="1" spans="1:9" ht="18.5" thickBot="1">
      <c r="A1" s="3061" t="str">
        <f>IF(项目基本情况!B9="房地产市场价值","估价结果一览表","结果表-2")</f>
        <v>结果表-2</v>
      </c>
      <c r="B1" s="3061"/>
      <c r="C1" s="3061"/>
      <c r="D1" s="3061"/>
      <c r="E1" s="3061"/>
      <c r="F1" s="3061"/>
      <c r="G1" s="3061"/>
      <c r="H1" s="3061"/>
      <c r="I1" s="3061"/>
    </row>
    <row r="2" spans="1:9" ht="30" customHeight="1" thickTop="1">
      <c r="A2" s="3062" t="s">
        <v>1635</v>
      </c>
      <c r="B2" s="3062" t="s">
        <v>1636</v>
      </c>
      <c r="C2" s="3062" t="s">
        <v>1637</v>
      </c>
      <c r="D2" s="3062" t="str">
        <f>结果表!D116</f>
        <v>出让国有建设用地使用权价值</v>
      </c>
      <c r="E2" s="3062"/>
      <c r="F2" s="3062" t="str">
        <f>结果表!F116</f>
        <v>在建建筑物价值</v>
      </c>
      <c r="G2" s="3062"/>
      <c r="H2" s="3062" t="str">
        <f>IF(项目基本情况!B9="房地产市场价值","房地产市场价值","房地产价值")</f>
        <v>房地产价值</v>
      </c>
      <c r="I2" s="3062"/>
    </row>
    <row r="3" spans="1:9" ht="16">
      <c r="A3" s="3056"/>
      <c r="B3" s="3056"/>
      <c r="C3" s="3056"/>
      <c r="D3" s="1039" t="s">
        <v>1632</v>
      </c>
      <c r="E3" s="1039" t="s">
        <v>1638</v>
      </c>
      <c r="F3" s="1039" t="s">
        <v>1632</v>
      </c>
      <c r="G3" s="1039" t="s">
        <v>1633</v>
      </c>
      <c r="H3" s="1039" t="s">
        <v>1632</v>
      </c>
      <c r="I3" s="1039" t="s">
        <v>1633</v>
      </c>
    </row>
    <row r="4" spans="1:9" ht="62">
      <c r="A4" s="1967" t="str">
        <f>项目基本情况!S2</f>
        <v>北京市怀柔区雁栖湖柏崖厂村HR-0009-0113地块出让国有建设用地使用权及在建建筑物房地产</v>
      </c>
      <c r="B4" s="1039">
        <f>项目基本情况!C17</f>
        <v>212264.80000000002</v>
      </c>
      <c r="C4" s="1039">
        <f>项目基本情况!C18</f>
        <v>104283.06</v>
      </c>
      <c r="D4" s="1039">
        <f ca="1">结果表!D118</f>
        <v>316008</v>
      </c>
      <c r="E4" s="1039">
        <f ca="1">结果表!E118</f>
        <v>14888</v>
      </c>
      <c r="F4" s="1039">
        <f ca="1">结果表!F118</f>
        <v>14890</v>
      </c>
      <c r="G4" s="1039">
        <f ca="1">结果表!G118</f>
        <v>701</v>
      </c>
      <c r="H4" s="1039">
        <f ca="1">结果表!H118</f>
        <v>330898</v>
      </c>
      <c r="I4" s="1039">
        <f ca="1">结果表!I118</f>
        <v>15589</v>
      </c>
    </row>
    <row r="5" spans="1:9" ht="30" customHeight="1">
      <c r="A5" s="3056" t="s">
        <v>1634</v>
      </c>
      <c r="B5" s="3056"/>
      <c r="C5" s="3056"/>
      <c r="D5" s="3057" t="str">
        <f ca="1">结果表!D119</f>
        <v>叁拾壹亿陆仟零捌万元整</v>
      </c>
      <c r="E5" s="3057"/>
      <c r="F5" s="3057" t="str">
        <f ca="1">结果表!F119</f>
        <v>壹亿肆仟捌佰玖拾万元整</v>
      </c>
      <c r="G5" s="3057"/>
      <c r="H5" s="3057" t="str">
        <f ca="1">结果表!H119</f>
        <v>叁拾叁亿零捌佰玖拾捌万元整</v>
      </c>
      <c r="I5" s="3057"/>
    </row>
    <row r="6" spans="1:9" ht="15.5">
      <c r="A6" s="3055" t="str">
        <f>结果表!A120</f>
        <v>估价师知悉的法定优先受偿款</v>
      </c>
      <c r="B6" s="3055"/>
      <c r="C6" s="3055"/>
      <c r="D6" s="3055">
        <f>结果表!D120</f>
        <v>0</v>
      </c>
      <c r="E6" s="3055"/>
      <c r="F6" s="3055"/>
      <c r="G6" s="3055"/>
      <c r="H6" s="3055"/>
      <c r="I6" s="3055"/>
    </row>
    <row r="7" spans="1:9" ht="15.5">
      <c r="A7" s="3056" t="s">
        <v>1634</v>
      </c>
      <c r="B7" s="3056"/>
      <c r="C7" s="3056"/>
      <c r="D7" s="3058" t="str">
        <f>结果表!D121</f>
        <v>零元整</v>
      </c>
      <c r="E7" s="3059"/>
      <c r="F7" s="3059"/>
      <c r="G7" s="3059"/>
      <c r="H7" s="3059"/>
      <c r="I7" s="3060"/>
    </row>
    <row r="8" spans="1:9" ht="15.5">
      <c r="A8" s="3055" t="str">
        <f>结果表!A122</f>
        <v/>
      </c>
      <c r="B8" s="3055"/>
      <c r="C8" s="3055"/>
      <c r="D8" s="3055" t="str">
        <f>结果表!D122</f>
        <v>——</v>
      </c>
      <c r="E8" s="3055"/>
      <c r="F8" s="3055"/>
      <c r="G8" s="3055"/>
      <c r="H8" s="3055"/>
      <c r="I8" s="3055"/>
    </row>
    <row r="9" spans="1:9" ht="15.5">
      <c r="A9" s="3056" t="s">
        <v>1634</v>
      </c>
      <c r="B9" s="3056"/>
      <c r="C9" s="3056"/>
      <c r="D9" s="3057" t="e">
        <f>结果表!D123</f>
        <v>#VALUE!</v>
      </c>
      <c r="E9" s="3057"/>
      <c r="F9" s="3057"/>
      <c r="G9" s="3057"/>
      <c r="H9" s="3057"/>
      <c r="I9" s="3057"/>
    </row>
    <row r="10" spans="1:9" ht="15.5">
      <c r="A10" s="3055" t="str">
        <f>结果表!A124</f>
        <v>抵押担保权已注销时的房地产抵押价值</v>
      </c>
      <c r="B10" s="3055"/>
      <c r="C10" s="3055"/>
      <c r="D10" s="3055">
        <f ca="1">结果表!D124</f>
        <v>330898</v>
      </c>
      <c r="E10" s="3055"/>
      <c r="F10" s="3055"/>
      <c r="G10" s="3055"/>
      <c r="H10" s="3055"/>
      <c r="I10" s="3055"/>
    </row>
    <row r="11" spans="1:9" ht="15.5">
      <c r="A11" s="3056" t="s">
        <v>1634</v>
      </c>
      <c r="B11" s="3056"/>
      <c r="C11" s="3056"/>
      <c r="D11" s="3057" t="str">
        <f ca="1">结果表!D125</f>
        <v>叁拾叁亿零捌佰玖拾捌万元整</v>
      </c>
      <c r="E11" s="3057"/>
      <c r="F11" s="3057"/>
      <c r="G11" s="3057"/>
      <c r="H11" s="3057"/>
      <c r="I11" s="3057"/>
    </row>
    <row r="12" spans="1:9" ht="15.5">
      <c r="A12" s="3055" t="str">
        <f>结果表!A126</f>
        <v>抵押净值</v>
      </c>
      <c r="B12" s="3055"/>
      <c r="C12" s="3055"/>
      <c r="D12" s="3055">
        <f ca="1">结果表!D126</f>
        <v>260226</v>
      </c>
      <c r="E12" s="3055"/>
      <c r="F12" s="3055"/>
      <c r="G12" s="3055"/>
      <c r="H12" s="3055"/>
      <c r="I12" s="3055"/>
    </row>
    <row r="13" spans="1:9" ht="16" thickBot="1">
      <c r="A13" s="3052" t="s">
        <v>1634</v>
      </c>
      <c r="B13" s="3052"/>
      <c r="C13" s="3052"/>
      <c r="D13" s="3053" t="str">
        <f ca="1">结果表!D127</f>
        <v>贰拾陆亿零贰佰贰拾陆万元整</v>
      </c>
      <c r="E13" s="3053"/>
      <c r="F13" s="3053"/>
      <c r="G13" s="3053"/>
      <c r="H13" s="3053"/>
      <c r="I13" s="3053"/>
    </row>
    <row r="14" spans="1:9" ht="14.5" thickTop="1">
      <c r="A14" s="3054" t="s">
        <v>1639</v>
      </c>
      <c r="B14" s="3054"/>
      <c r="C14" s="3054"/>
      <c r="D14" s="3054"/>
      <c r="E14" s="3054"/>
      <c r="F14" s="3054"/>
      <c r="G14" s="3054"/>
      <c r="H14" s="3054"/>
      <c r="I14" s="3054"/>
    </row>
    <row r="16" spans="1:9" ht="17.5">
      <c r="A16" s="1968" t="s">
        <v>1622</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4"/>
  <sheetData>
    <row r="1" spans="1:13" ht="27">
      <c r="A1" s="1777" t="s">
        <v>1367</v>
      </c>
      <c r="E1" s="1771" t="s">
        <v>1371</v>
      </c>
      <c r="F1" s="1772" t="s">
        <v>1375</v>
      </c>
    </row>
    <row r="2" spans="1:13" ht="20">
      <c r="A2" s="1778" t="s">
        <v>1368</v>
      </c>
    </row>
    <row r="3" spans="1:13" ht="16.5">
      <c r="A3" s="1779" t="s">
        <v>1369</v>
      </c>
    </row>
    <row r="4" spans="1:13">
      <c r="A4" s="1769" t="s">
        <v>1370</v>
      </c>
      <c r="B4" s="1774" t="s">
        <v>1372</v>
      </c>
      <c r="C4" s="1775"/>
      <c r="D4" s="1776"/>
      <c r="E4" s="1774" t="s">
        <v>27</v>
      </c>
      <c r="F4" s="1775"/>
      <c r="G4" s="1776"/>
      <c r="H4" s="1774" t="s">
        <v>1373</v>
      </c>
      <c r="I4" s="1775"/>
      <c r="J4" s="1776"/>
      <c r="K4" s="1774" t="s">
        <v>6</v>
      </c>
      <c r="L4" s="1775"/>
      <c r="M4" s="1776"/>
    </row>
    <row r="5" spans="1:13">
      <c r="A5" s="1770" t="s">
        <v>1374</v>
      </c>
      <c r="B5" s="1769" t="s">
        <v>1376</v>
      </c>
      <c r="C5" s="1769" t="s">
        <v>1377</v>
      </c>
      <c r="D5" s="1769" t="s">
        <v>1378</v>
      </c>
      <c r="E5" s="1769" t="s">
        <v>1376</v>
      </c>
      <c r="F5" s="1769" t="s">
        <v>1377</v>
      </c>
      <c r="G5" s="1769" t="s">
        <v>1378</v>
      </c>
      <c r="H5" s="1769" t="s">
        <v>1376</v>
      </c>
      <c r="I5" s="1769" t="s">
        <v>1377</v>
      </c>
      <c r="J5" s="1769" t="s">
        <v>1378</v>
      </c>
      <c r="K5" s="1769" t="s">
        <v>1376</v>
      </c>
      <c r="L5" s="1769" t="s">
        <v>1377</v>
      </c>
      <c r="M5" s="1769" t="s">
        <v>1378</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39" customWidth="1"/>
    <col min="2" max="3" width="22.36328125" style="1939" customWidth="1"/>
    <col min="4" max="4" width="23" style="1939" customWidth="1"/>
    <col min="5" max="16384" width="9" style="1939"/>
  </cols>
  <sheetData>
    <row r="1" spans="1:4" ht="18">
      <c r="A1" s="3069" t="s">
        <v>1656</v>
      </c>
      <c r="B1" s="3069"/>
      <c r="C1" s="3069"/>
      <c r="D1" s="3069"/>
    </row>
    <row r="2" spans="1:4" ht="18">
      <c r="A2" s="3070" t="s">
        <v>1640</v>
      </c>
      <c r="B2" s="3070"/>
      <c r="C2" s="3070"/>
      <c r="D2" s="3070"/>
    </row>
    <row r="3" spans="1:4" ht="17.5">
      <c r="A3" s="1971" t="s">
        <v>1641</v>
      </c>
      <c r="B3" s="1971" t="s">
        <v>1642</v>
      </c>
      <c r="C3" s="1971" t="s">
        <v>1643</v>
      </c>
      <c r="D3" s="1971" t="s">
        <v>1644</v>
      </c>
    </row>
    <row r="4" spans="1:4" ht="56.25" customHeight="1">
      <c r="A4" s="1972" t="str">
        <f>项目基本情况!B4</f>
        <v>崔锴</v>
      </c>
      <c r="B4" s="1973">
        <f ca="1">项目基本情况!C4</f>
        <v>1120100036</v>
      </c>
      <c r="C4" s="1974"/>
      <c r="D4" s="1975" t="s">
        <v>1645</v>
      </c>
    </row>
    <row r="5" spans="1:4" ht="56.25" customHeight="1">
      <c r="A5" s="1972" t="str">
        <f>项目基本情况!D4</f>
        <v>郑燚</v>
      </c>
      <c r="B5" s="1973">
        <f ca="1">项目基本情况!E4</f>
        <v>1120070131</v>
      </c>
      <c r="C5" s="1976"/>
      <c r="D5" s="1975" t="s">
        <v>1645</v>
      </c>
    </row>
    <row r="6" spans="1:4" ht="18">
      <c r="A6" s="3070" t="s">
        <v>1646</v>
      </c>
      <c r="B6" s="3070"/>
      <c r="C6" s="3070"/>
      <c r="D6" s="3070"/>
    </row>
    <row r="7" spans="1:4" ht="17.5">
      <c r="A7" s="1971" t="s">
        <v>1641</v>
      </c>
      <c r="B7" s="1973" t="s">
        <v>1647</v>
      </c>
      <c r="C7" s="1971" t="s">
        <v>1643</v>
      </c>
      <c r="D7" s="1971" t="s">
        <v>1644</v>
      </c>
    </row>
    <row r="8" spans="1:4" ht="56.25" customHeight="1">
      <c r="A8" s="1977" t="s">
        <v>865</v>
      </c>
      <c r="B8" s="1977" t="s">
        <v>1</v>
      </c>
      <c r="C8" s="1974"/>
      <c r="D8" s="1975" t="s">
        <v>1645</v>
      </c>
    </row>
    <row r="9" spans="1:4">
      <c r="A9" s="723"/>
      <c r="B9" s="723"/>
      <c r="C9" s="723"/>
      <c r="D9" s="723"/>
    </row>
    <row r="10" spans="1:4" ht="18">
      <c r="A10" s="1978" t="s">
        <v>1648</v>
      </c>
      <c r="B10" s="723"/>
      <c r="C10" s="723"/>
      <c r="D10" s="723"/>
    </row>
    <row r="11" spans="1:4" ht="30" customHeight="1">
      <c r="A11" s="3071" t="s">
        <v>1649</v>
      </c>
      <c r="B11" s="3063"/>
      <c r="C11" s="3063"/>
      <c r="D11" s="3063"/>
    </row>
    <row r="12" spans="1:4" ht="15.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8"/>
      <c r="C12" s="3068"/>
      <c r="D12" s="3068"/>
    </row>
    <row r="13" spans="1:4" ht="30" customHeight="1">
      <c r="A13" s="30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8"/>
      <c r="C13" s="3068"/>
      <c r="D13" s="3068"/>
    </row>
    <row r="14" spans="1:4" ht="15.75" customHeight="1">
      <c r="A14" s="3063" t="str">
        <f>IF(项目基本情况!B8="抵押","4.本次评估估价师所知悉的法定优先受偿款情况说明如下：","——")</f>
        <v>4.本次评估估价师所知悉的法定优先受偿款情况说明如下：</v>
      </c>
      <c r="B14" s="3068"/>
      <c r="C14" s="3068"/>
      <c r="D14" s="3068"/>
    </row>
    <row r="15" spans="1:4" ht="42" customHeight="1">
      <c r="A15" s="3063"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63"/>
      <c r="C15" s="3063"/>
      <c r="D15" s="3063"/>
    </row>
    <row r="16" spans="1:4" ht="30" customHeight="1">
      <c r="A16" s="3065" t="s">
        <v>1650</v>
      </c>
      <c r="B16" s="3065"/>
      <c r="C16" s="3065"/>
      <c r="D16" s="3065"/>
    </row>
    <row r="17" spans="1:4" ht="144" customHeight="1">
      <c r="A17" s="3065" t="s">
        <v>1651</v>
      </c>
      <c r="B17" s="3065"/>
      <c r="C17" s="3065"/>
      <c r="D17" s="3065"/>
    </row>
    <row r="18" spans="1:4" ht="15.75" customHeight="1">
      <c r="A18" s="3063" t="str">
        <f>IF(项目基本情况!B8="抵押",结果表!K120,"——")</f>
        <v>故，本次评估不存在估价师知悉的法定优先受偿款</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3"/>
      <c r="C20" s="3063"/>
      <c r="D20" s="3063"/>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6"/>
      <c r="C21" s="3066"/>
      <c r="D21" s="3066"/>
    </row>
    <row r="22" spans="1:4" ht="18.75" customHeight="1">
      <c r="A22" s="3067" t="s">
        <v>1652</v>
      </c>
      <c r="B22" s="3067"/>
      <c r="C22" s="3067"/>
      <c r="D22" s="3067"/>
    </row>
    <row r="23" spans="1:4">
      <c r="A23" s="1979"/>
      <c r="B23" s="1951"/>
      <c r="C23" s="1951"/>
      <c r="D23" s="1951"/>
    </row>
    <row r="24" spans="1:4">
      <c r="A24" s="1979"/>
      <c r="B24" s="1951"/>
      <c r="C24" s="1951"/>
      <c r="D24" s="1951"/>
    </row>
    <row r="25" spans="1:4" ht="17.5">
      <c r="A25" s="1980" t="s">
        <v>1653</v>
      </c>
    </row>
    <row r="26" spans="1:4" ht="17.5">
      <c r="A26" s="1949"/>
    </row>
    <row r="27" spans="1:4" ht="17.5">
      <c r="A27" s="1949" t="s">
        <v>1654</v>
      </c>
    </row>
    <row r="30" spans="1:4" ht="17.5">
      <c r="D30" s="1980" t="s">
        <v>1655</v>
      </c>
    </row>
    <row r="31" spans="1:4" ht="13.5" customHeight="1">
      <c r="C31" s="3064">
        <v>42551</v>
      </c>
      <c r="D31" s="30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37" customWidth="1"/>
    <col min="3" max="10" width="12.453125" style="1937" customWidth="1"/>
    <col min="11" max="16384" width="9" style="1937"/>
  </cols>
  <sheetData>
    <row r="1" spans="1:10" ht="17.5">
      <c r="A1" s="1970" t="s">
        <v>866</v>
      </c>
      <c r="B1" s="1981"/>
      <c r="C1" s="1981"/>
      <c r="D1" s="1981"/>
      <c r="E1" s="1981"/>
      <c r="F1" s="1981"/>
      <c r="G1" s="1981"/>
      <c r="H1" s="1981"/>
      <c r="I1" s="1981"/>
      <c r="J1" s="1981"/>
    </row>
    <row r="2" spans="1:10" ht="1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87" customWidth="1"/>
    <col min="2" max="16384" width="14.453125" style="1969"/>
  </cols>
  <sheetData>
    <row r="1" spans="1:7" s="1984" customFormat="1" ht="17.5">
      <c r="A1" s="1983" t="s">
        <v>1657</v>
      </c>
    </row>
    <row r="3" spans="1:7">
      <c r="A3" s="1985" t="s">
        <v>82</v>
      </c>
      <c r="B3" s="1969" t="s">
        <v>1658</v>
      </c>
      <c r="G3" s="1986"/>
    </row>
    <row r="4" spans="1:7">
      <c r="G4" s="1986"/>
    </row>
    <row r="5" spans="1:7">
      <c r="A5" s="1988" t="s">
        <v>73</v>
      </c>
      <c r="B5" s="1969" t="s">
        <v>1659</v>
      </c>
      <c r="G5" s="1986"/>
    </row>
    <row r="6" spans="1:7">
      <c r="G6" s="1986"/>
    </row>
    <row r="7" spans="1:7">
      <c r="A7" s="1989" t="s">
        <v>135</v>
      </c>
      <c r="B7" s="1969" t="s">
        <v>1660</v>
      </c>
      <c r="G7" s="1986"/>
    </row>
    <row r="8" spans="1:7">
      <c r="G8" s="1986"/>
    </row>
    <row r="9" spans="1:7">
      <c r="A9" s="1990" t="s">
        <v>74</v>
      </c>
      <c r="B9" s="1969" t="s">
        <v>1661</v>
      </c>
    </row>
    <row r="11" spans="1:7">
      <c r="A11" s="1991" t="s">
        <v>75</v>
      </c>
      <c r="B11" s="1992" t="s">
        <v>72</v>
      </c>
    </row>
    <row r="13" spans="1:7">
      <c r="A13" s="1993" t="s">
        <v>1662</v>
      </c>
    </row>
    <row r="15" spans="1:7" ht="14">
      <c r="A15" s="3077" t="s">
        <v>1663</v>
      </c>
      <c r="B15" s="3072" t="s">
        <v>136</v>
      </c>
      <c r="C15" s="3073"/>
    </row>
    <row r="16" spans="1:7" ht="14">
      <c r="A16" s="3078"/>
      <c r="B16" s="3072" t="s">
        <v>69</v>
      </c>
      <c r="C16" s="3073"/>
    </row>
    <row r="17" spans="1:3" ht="14">
      <c r="A17" s="3078"/>
      <c r="B17" s="3075" t="s">
        <v>1664</v>
      </c>
      <c r="C17" s="1994" t="s">
        <v>1663</v>
      </c>
    </row>
    <row r="18" spans="1:3" ht="14">
      <c r="A18" s="3078"/>
      <c r="B18" s="3075"/>
      <c r="C18" s="1994" t="s">
        <v>1665</v>
      </c>
    </row>
    <row r="19" spans="1:3" ht="14">
      <c r="A19" s="3078"/>
      <c r="B19" s="3075"/>
      <c r="C19" s="1994" t="s">
        <v>1666</v>
      </c>
    </row>
    <row r="20" spans="1:3" ht="14">
      <c r="A20" s="3079"/>
      <c r="B20" s="3074" t="s">
        <v>1667</v>
      </c>
      <c r="C20" s="3073"/>
    </row>
    <row r="21" spans="1:3" ht="14">
      <c r="A21" s="1995" t="s">
        <v>1668</v>
      </c>
      <c r="B21" s="1996"/>
      <c r="C21" s="1997"/>
    </row>
    <row r="22" spans="1:3" ht="14">
      <c r="A22" s="3076" t="s">
        <v>1669</v>
      </c>
      <c r="B22" s="3074" t="s">
        <v>1670</v>
      </c>
      <c r="C22" s="3073"/>
    </row>
    <row r="23" spans="1:3" ht="14">
      <c r="A23" s="3076"/>
      <c r="B23" s="3074" t="s">
        <v>1671</v>
      </c>
      <c r="C23" s="3073"/>
    </row>
    <row r="24" spans="1:3" ht="14">
      <c r="A24" s="3076"/>
      <c r="B24" s="3074" t="s">
        <v>1672</v>
      </c>
      <c r="C24" s="3073"/>
    </row>
    <row r="25" spans="1:3" ht="14">
      <c r="A25" s="3076"/>
      <c r="B25" s="3075" t="s">
        <v>1673</v>
      </c>
      <c r="C25" s="1994" t="s">
        <v>1674</v>
      </c>
    </row>
    <row r="26" spans="1:3" ht="14">
      <c r="A26" s="3076"/>
      <c r="B26" s="3075"/>
      <c r="C26" s="1994" t="s">
        <v>1675</v>
      </c>
    </row>
    <row r="27" spans="1:3" ht="14">
      <c r="A27" s="3076"/>
      <c r="B27" s="3075"/>
      <c r="C27" s="1994" t="s">
        <v>1676</v>
      </c>
    </row>
    <row r="28" spans="1:3" ht="14">
      <c r="A28" s="3076"/>
      <c r="B28" s="3075"/>
      <c r="C28" s="1994" t="s">
        <v>1677</v>
      </c>
    </row>
    <row r="29" spans="1:3" ht="14">
      <c r="A29" s="3076"/>
      <c r="B29" s="3075"/>
      <c r="C29" s="1994" t="s">
        <v>1678</v>
      </c>
    </row>
    <row r="30" spans="1:3" ht="14">
      <c r="A30" s="3076"/>
      <c r="B30" s="3075"/>
      <c r="C30" s="1994" t="s">
        <v>1679</v>
      </c>
    </row>
    <row r="31" spans="1:3" ht="14">
      <c r="A31" s="3076"/>
      <c r="B31" s="3075"/>
      <c r="C31" s="1994" t="s">
        <v>1680</v>
      </c>
    </row>
    <row r="32" spans="1:3" ht="14">
      <c r="A32" s="3076"/>
      <c r="B32" s="3075"/>
      <c r="C32" s="1994" t="s">
        <v>1681</v>
      </c>
    </row>
    <row r="33" spans="1:3" ht="14">
      <c r="A33" s="3076"/>
      <c r="B33" s="3075"/>
      <c r="C33" s="1994" t="s">
        <v>1682</v>
      </c>
    </row>
    <row r="34" spans="1:3">
      <c r="A34" s="1998" t="s">
        <v>76</v>
      </c>
    </row>
    <row r="37" spans="1:3">
      <c r="A37" s="1998" t="s">
        <v>1683</v>
      </c>
    </row>
    <row r="38" spans="1:3" ht="14">
      <c r="A38" s="1999" t="s">
        <v>77</v>
      </c>
    </row>
    <row r="39" spans="1:3" ht="14">
      <c r="A39" s="1999" t="s">
        <v>78</v>
      </c>
    </row>
    <row r="40" spans="1:3" ht="14">
      <c r="A40" s="1999" t="s">
        <v>79</v>
      </c>
    </row>
    <row r="41" spans="1:3" ht="14">
      <c r="A41" s="2000" t="s">
        <v>80</v>
      </c>
    </row>
    <row r="42" spans="1:3" ht="1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B19" sqref="B19"/>
    </sheetView>
  </sheetViews>
  <sheetFormatPr defaultColWidth="22.6328125" defaultRowHeight="24" customHeight="1"/>
  <cols>
    <col min="1" max="2" width="22.6328125" style="1010"/>
    <col min="3" max="3" width="32.08984375" style="1010" customWidth="1"/>
    <col min="4" max="5" width="22.6328125" style="1010"/>
    <col min="6" max="6" width="25.6328125" style="1010" customWidth="1"/>
    <col min="7" max="16384" width="22.6328125" style="1010"/>
  </cols>
  <sheetData>
    <row r="2" spans="1:6" ht="24" customHeight="1">
      <c r="A2" s="1012" t="s">
        <v>825</v>
      </c>
      <c r="B2" s="1013">
        <f ca="1">TODAY()</f>
        <v>43928</v>
      </c>
      <c r="C2" s="1014" t="s">
        <v>826</v>
      </c>
      <c r="D2" s="1014"/>
    </row>
    <row r="3" spans="1:6" ht="24" customHeight="1">
      <c r="A3" s="1015" t="s">
        <v>827</v>
      </c>
      <c r="B3" s="1016" t="s">
        <v>828</v>
      </c>
      <c r="C3" s="2332" t="s">
        <v>829</v>
      </c>
      <c r="D3" s="2335" t="s">
        <v>830</v>
      </c>
      <c r="E3" s="1017" t="s">
        <v>831</v>
      </c>
      <c r="F3" s="1016" t="s">
        <v>829</v>
      </c>
    </row>
    <row r="4" spans="1:6" ht="24" customHeight="1">
      <c r="A4" s="1697" t="s">
        <v>832</v>
      </c>
      <c r="B4" s="1017">
        <f ca="1">IF(C4&lt;B2,"已过期",1119970066)</f>
        <v>1119970066</v>
      </c>
      <c r="C4" s="2914">
        <v>44876</v>
      </c>
      <c r="D4" s="2336" t="s">
        <v>832</v>
      </c>
      <c r="E4" s="1017">
        <f ca="1">IF(F4&lt;B2,"已过期",96010014)</f>
        <v>96010014</v>
      </c>
      <c r="F4" s="1025">
        <v>47118</v>
      </c>
    </row>
    <row r="5" spans="1:6" ht="24" customHeight="1">
      <c r="A5" s="1697"/>
      <c r="B5" s="1017"/>
      <c r="C5" s="2333"/>
      <c r="D5" s="2336"/>
      <c r="E5" s="1017"/>
      <c r="F5" s="1025"/>
    </row>
    <row r="6" spans="1:6" ht="24" customHeight="1">
      <c r="A6" s="1697" t="s">
        <v>833</v>
      </c>
      <c r="B6" s="1017">
        <f ca="1">IF(C6&lt;B2,"已过期",1119970111)</f>
        <v>1119970111</v>
      </c>
      <c r="C6" s="2333">
        <v>44876</v>
      </c>
      <c r="D6" s="2336" t="s">
        <v>833</v>
      </c>
      <c r="E6" s="1017">
        <f ca="1">IF(F6&lt;B2,"已过期",94010078)</f>
        <v>94010078</v>
      </c>
      <c r="F6" s="1025">
        <v>46387</v>
      </c>
    </row>
    <row r="7" spans="1:6" ht="24" customHeight="1">
      <c r="A7" s="1697" t="s">
        <v>834</v>
      </c>
      <c r="B7" s="1017">
        <f ca="1">IF(C7&lt;B2,"已过期",1120050019)</f>
        <v>1120050019</v>
      </c>
      <c r="C7" s="2333">
        <v>44395</v>
      </c>
      <c r="D7" s="2336" t="s">
        <v>834</v>
      </c>
      <c r="E7" s="1017">
        <f ca="1">IF(F7&lt;B2,"已过期",2002110030)</f>
        <v>2002110030</v>
      </c>
      <c r="F7" s="1025">
        <v>46387</v>
      </c>
    </row>
    <row r="8" spans="1:6" ht="24" customHeight="1">
      <c r="A8" s="1697" t="s">
        <v>835</v>
      </c>
      <c r="B8" s="1017">
        <f ca="1">IF(C8&lt;B2,"已过期",1120000080)</f>
        <v>1120000080</v>
      </c>
      <c r="C8" s="2914">
        <v>44876</v>
      </c>
      <c r="D8" s="2336" t="s">
        <v>835</v>
      </c>
      <c r="E8" s="1017">
        <f ca="1">IF(F8&lt;B2,"已过期",2000110082)</f>
        <v>2000110082</v>
      </c>
      <c r="F8" s="1025">
        <v>46387</v>
      </c>
    </row>
    <row r="9" spans="1:6" ht="24" customHeight="1">
      <c r="A9" s="1697" t="s">
        <v>836</v>
      </c>
      <c r="B9" s="1017">
        <f ca="1">IF(C9&lt;B2,"已过期",1419970001)</f>
        <v>1419970001</v>
      </c>
      <c r="C9" s="2914">
        <v>44899</v>
      </c>
      <c r="D9" s="2336" t="s">
        <v>836</v>
      </c>
      <c r="E9" s="1017">
        <f ca="1">IF(F9&lt;B2,"已过期",2002110125)</f>
        <v>2002110125</v>
      </c>
      <c r="F9" s="1025">
        <v>47118</v>
      </c>
    </row>
    <row r="10" spans="1:6" ht="24" customHeight="1">
      <c r="A10" s="1697" t="s">
        <v>837</v>
      </c>
      <c r="B10" s="1017">
        <f ca="1">IF(C10&lt;B2,"已过期",1120060040)</f>
        <v>1120060040</v>
      </c>
      <c r="C10" s="2333">
        <v>44554</v>
      </c>
      <c r="D10" s="2336" t="s">
        <v>837</v>
      </c>
      <c r="E10" s="1017">
        <f ca="1">IF(F10&lt;B2,"已过期",2004110096)</f>
        <v>2004110096</v>
      </c>
      <c r="F10" s="1025">
        <v>47118</v>
      </c>
    </row>
    <row r="11" spans="1:6" ht="24" customHeight="1">
      <c r="A11" s="1697" t="s">
        <v>838</v>
      </c>
      <c r="B11" s="1017">
        <f ca="1">IF(C11&lt;B2,"已过期",1120100036)</f>
        <v>1120100036</v>
      </c>
      <c r="C11" s="2333">
        <v>44675</v>
      </c>
      <c r="D11" s="2336" t="s">
        <v>838</v>
      </c>
      <c r="E11" s="1017">
        <f ca="1">IF(F11&lt;B2,"已过期",2010110070)</f>
        <v>2010110070</v>
      </c>
      <c r="F11" s="1025">
        <v>47907</v>
      </c>
    </row>
    <row r="12" spans="1:6" ht="24" customHeight="1">
      <c r="A12" s="1697"/>
      <c r="B12" s="1017"/>
      <c r="C12" s="2914"/>
      <c r="D12" s="1697"/>
      <c r="E12" s="1017"/>
      <c r="F12" s="1025"/>
    </row>
    <row r="13" spans="1:6" ht="24" customHeight="1">
      <c r="A13" s="1697" t="s">
        <v>839</v>
      </c>
      <c r="B13" s="1017">
        <f ca="1">IF(C13&lt;B2,"已过期",1120070131)</f>
        <v>1120070131</v>
      </c>
      <c r="C13" s="2333">
        <v>44849</v>
      </c>
      <c r="D13" s="2336" t="s">
        <v>839</v>
      </c>
      <c r="E13" s="1017">
        <f ca="1">IF(F13&lt;B2,"已过期",2014110011)</f>
        <v>2014110011</v>
      </c>
      <c r="F13" s="1025">
        <v>49302</v>
      </c>
    </row>
    <row r="14" spans="1:6" ht="24" customHeight="1">
      <c r="A14" s="1697" t="s">
        <v>3035</v>
      </c>
      <c r="B14" s="1017">
        <f ca="1">IF(C14&lt;B2,"已过期",1120040230)</f>
        <v>1120040230</v>
      </c>
      <c r="C14" s="2333">
        <v>44864</v>
      </c>
      <c r="D14" s="2336" t="s">
        <v>3035</v>
      </c>
      <c r="E14" s="1017">
        <f ca="1">IF(F14&lt;B2,"已过期",98030020)</f>
        <v>98030020</v>
      </c>
      <c r="F14" s="1025">
        <v>47118</v>
      </c>
    </row>
    <row r="15" spans="1:6" ht="24" customHeight="1">
      <c r="A15" s="1698"/>
      <c r="B15" s="1017"/>
      <c r="C15" s="2333"/>
      <c r="D15" s="2337"/>
      <c r="E15" s="1017"/>
      <c r="F15" s="1018"/>
    </row>
    <row r="16" spans="1:6" ht="24" customHeight="1">
      <c r="A16" s="1697"/>
      <c r="B16" s="1017"/>
      <c r="C16" s="2914"/>
      <c r="D16" s="2336"/>
      <c r="E16" s="1017"/>
      <c r="F16" s="1025"/>
    </row>
    <row r="17" spans="1:7" ht="24" customHeight="1">
      <c r="A17" s="1697"/>
      <c r="B17" s="1017"/>
      <c r="C17" s="2333"/>
      <c r="D17" s="2336"/>
      <c r="E17" s="1017"/>
      <c r="F17" s="1025"/>
    </row>
    <row r="18" spans="1:7" ht="24" customHeight="1">
      <c r="A18" s="1697" t="s">
        <v>3042</v>
      </c>
      <c r="B18" s="1017">
        <v>1120190079</v>
      </c>
      <c r="C18" s="2914">
        <v>44826</v>
      </c>
      <c r="D18" s="2336"/>
      <c r="E18" s="1017"/>
      <c r="F18" s="1025"/>
    </row>
    <row r="19" spans="1:7" ht="24" customHeight="1">
      <c r="A19" s="1697"/>
      <c r="B19" s="1017"/>
      <c r="C19" s="2333"/>
      <c r="D19" s="2336"/>
      <c r="E19" s="1017"/>
      <c r="F19" s="1017"/>
    </row>
    <row r="20" spans="1:7" ht="24" customHeight="1">
      <c r="A20" s="1697"/>
      <c r="B20" s="1017"/>
      <c r="C20" s="2333"/>
      <c r="D20" s="2336"/>
      <c r="E20" s="1017"/>
      <c r="F20" s="1017"/>
    </row>
    <row r="21" spans="1:7" ht="24" customHeight="1">
      <c r="A21" s="1697"/>
      <c r="B21" s="1017"/>
      <c r="C21" s="2333"/>
      <c r="D21" s="2336" t="s">
        <v>840</v>
      </c>
      <c r="E21" s="1017">
        <f ca="1">IF(F21&lt;B2,"已过期",2011110090)</f>
        <v>2011110090</v>
      </c>
      <c r="F21" s="1025">
        <v>48302</v>
      </c>
    </row>
    <row r="22" spans="1:7" ht="24" customHeight="1">
      <c r="A22" s="1697" t="s">
        <v>841</v>
      </c>
      <c r="B22" s="1017">
        <f ca="1">IF(C22&lt;B2,"已过期",1120020033)</f>
        <v>1120020033</v>
      </c>
      <c r="C22" s="2914">
        <v>44339</v>
      </c>
      <c r="D22" s="2336" t="s">
        <v>841</v>
      </c>
      <c r="E22" s="1017">
        <f ca="1">IF(F22&lt;B2,"已过期",2000110137)</f>
        <v>2000110137</v>
      </c>
      <c r="F22" s="1025">
        <v>46387</v>
      </c>
    </row>
    <row r="23" spans="1:7" ht="24" customHeight="1">
      <c r="A23" s="1697" t="s">
        <v>3044</v>
      </c>
      <c r="B23" s="1017">
        <v>1119980106</v>
      </c>
      <c r="C23" s="2333">
        <v>43916</v>
      </c>
      <c r="D23" s="1697" t="s">
        <v>3047</v>
      </c>
      <c r="E23" s="1017">
        <v>96010063</v>
      </c>
      <c r="F23" s="1025">
        <v>47118</v>
      </c>
    </row>
    <row r="24" spans="1:7" s="1019" customFormat="1" ht="24" customHeight="1">
      <c r="A24" s="1698" t="s">
        <v>1328</v>
      </c>
      <c r="B24" s="1698" t="s">
        <v>1328</v>
      </c>
      <c r="C24" s="2334" t="s">
        <v>1328</v>
      </c>
      <c r="D24" s="2337" t="s">
        <v>1328</v>
      </c>
      <c r="E24" s="1698" t="s">
        <v>1328</v>
      </c>
      <c r="F24" s="1698" t="s">
        <v>1328</v>
      </c>
    </row>
    <row r="25" spans="1:7" ht="24" customHeight="1">
      <c r="A25" s="3080" t="s">
        <v>842</v>
      </c>
      <c r="B25" s="3080"/>
      <c r="C25" s="3080"/>
      <c r="D25" s="3080"/>
      <c r="E25" s="3080"/>
      <c r="F25" s="3080"/>
      <c r="G25" s="3080"/>
    </row>
    <row r="26" spans="1:7" s="1020" customFormat="1" ht="24" customHeight="1">
      <c r="A26" s="3081" t="s">
        <v>843</v>
      </c>
      <c r="B26" s="3081"/>
      <c r="C26" s="3082"/>
      <c r="D26" s="3083" t="s">
        <v>844</v>
      </c>
      <c r="E26" s="3081"/>
      <c r="F26" s="3081"/>
    </row>
    <row r="27" spans="1:7" s="1022" customFormat="1" ht="24" customHeight="1">
      <c r="A27" s="1021" t="s">
        <v>845</v>
      </c>
      <c r="B27" s="1016" t="s">
        <v>846</v>
      </c>
      <c r="C27" s="2332" t="s">
        <v>847</v>
      </c>
      <c r="D27" s="2339" t="s">
        <v>845</v>
      </c>
      <c r="E27" s="1016" t="s">
        <v>846</v>
      </c>
      <c r="F27" s="1016" t="s">
        <v>847</v>
      </c>
    </row>
    <row r="28" spans="1:7" s="1022" customFormat="1" ht="24" customHeight="1">
      <c r="A28" s="1023" t="s">
        <v>848</v>
      </c>
      <c r="B28" s="1024" t="s">
        <v>849</v>
      </c>
      <c r="C28" s="1025">
        <v>44820</v>
      </c>
      <c r="D28" s="2340" t="s">
        <v>850</v>
      </c>
      <c r="E28" s="1023" t="s">
        <v>851</v>
      </c>
      <c r="F28" s="1053">
        <v>44377</v>
      </c>
    </row>
    <row r="29" spans="1:7" s="1022" customFormat="1" ht="24" customHeight="1">
      <c r="A29" s="1023"/>
      <c r="B29" s="1023"/>
      <c r="C29" s="2338"/>
      <c r="D29" s="2340" t="s">
        <v>852</v>
      </c>
      <c r="E29" s="1197" t="s">
        <v>3043</v>
      </c>
      <c r="F29" s="1198">
        <v>44012</v>
      </c>
    </row>
    <row r="30" spans="1:7" ht="24" customHeight="1">
      <c r="C30" s="1026"/>
      <c r="D30" s="1026"/>
    </row>
  </sheetData>
  <sheetProtection sheet="1" objects="1" scenarios="1"/>
  <mergeCells count="3">
    <mergeCell ref="A25:G25"/>
    <mergeCell ref="A26:C26"/>
    <mergeCell ref="D26:F26"/>
  </mergeCells>
  <phoneticPr fontId="87"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已售清单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典型户型修正</vt:lpstr>
      <vt:lpstr>Sheet4</vt:lpstr>
      <vt:lpstr>收益法</vt:lpstr>
      <vt:lpstr>收益法 (车库)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(仓储) </vt:lpstr>
      <vt:lpstr>成本法（废）</vt:lpstr>
      <vt:lpstr>区片价</vt:lpstr>
      <vt:lpstr>因素修正幅度</vt:lpstr>
      <vt:lpstr>存贷款利率</vt:lpstr>
      <vt:lpstr>区片价（范围）</vt:lpstr>
      <vt:lpstr>估价师及机构信息!Print_Area</vt:lpstr>
      <vt:lpstr>收益法!Print_Area</vt:lpstr>
      <vt:lpstr>'收益法 (仓储) '!Print_Area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2020-04-07T07:14:45Z</dcterms:modified>
</cp:coreProperties>
</file>