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210" windowWidth="13020" windowHeight="112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66" i="40" l="1"/>
  <c r="G66" i="40" s="1"/>
  <c r="H66" i="40" s="1"/>
  <c r="I66" i="40" s="1"/>
  <c r="J66" i="40" s="1"/>
  <c r="K66" i="40" s="1"/>
  <c r="L66" i="40" s="1"/>
  <c r="M66" i="40" s="1"/>
  <c r="N66" i="40" s="1"/>
  <c r="E66" i="40"/>
  <c r="E109" i="40"/>
  <c r="F109" i="40" s="1"/>
  <c r="D109" i="40"/>
  <c r="I41" i="40"/>
  <c r="G41" i="40"/>
  <c r="E41" i="40"/>
  <c r="I34" i="40"/>
  <c r="G34" i="40"/>
  <c r="E34" i="40"/>
  <c r="C34" i="40"/>
  <c r="I7" i="40"/>
  <c r="G7" i="40"/>
  <c r="E7" i="40"/>
  <c r="I5" i="40"/>
  <c r="G5" i="40"/>
  <c r="E5" i="40"/>
  <c r="Y6" i="1"/>
  <c r="N6" i="1"/>
  <c r="O26" i="1"/>
  <c r="N26" i="1"/>
  <c r="L6" i="1" s="1"/>
  <c r="M26" i="1"/>
  <c r="M25" i="1"/>
  <c r="M23" i="1"/>
  <c r="M24" i="1"/>
  <c r="M22" i="1"/>
  <c r="L26" i="1"/>
  <c r="L23" i="1"/>
  <c r="L24" i="1"/>
  <c r="L25" i="1"/>
  <c r="L22" i="1"/>
  <c r="K23" i="1"/>
  <c r="K24" i="1"/>
  <c r="K25" i="1"/>
  <c r="K22" i="1"/>
  <c r="F19" i="6"/>
  <c r="O66" i="40" l="1"/>
  <c r="D3" i="4" l="1"/>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4" i="79"/>
  <c r="AK14" i="79" s="1"/>
  <c r="AH14" i="79"/>
  <c r="W19" i="79"/>
  <c r="AK19" i="79" s="1"/>
  <c r="AH19" i="79"/>
  <c r="W16" i="79"/>
  <c r="AK16" i="79" s="1"/>
  <c r="AH16" i="79"/>
  <c r="W50" i="79"/>
  <c r="AK50" i="79" s="1"/>
  <c r="AH50" i="79"/>
  <c r="W51" i="79"/>
  <c r="AK51" i="79" s="1"/>
  <c r="AH51" i="79"/>
  <c r="W44" i="79"/>
  <c r="AK44" i="79" s="1"/>
  <c r="AH44" i="79"/>
  <c r="W15" i="79"/>
  <c r="AK15" i="79" s="1"/>
  <c r="AH15" i="79"/>
  <c r="W13" i="79"/>
  <c r="AK13" i="79" s="1"/>
  <c r="AH13" i="79"/>
  <c r="W48" i="79"/>
  <c r="AK48" i="79" s="1"/>
  <c r="AH48" i="79"/>
  <c r="W49" i="79"/>
  <c r="AK49" i="79" s="1"/>
  <c r="AH49" i="79"/>
  <c r="W43" i="79"/>
  <c r="AK43" i="79" s="1"/>
  <c r="AH43" i="79"/>
  <c r="W38" i="79"/>
  <c r="AK38" i="79" s="1"/>
  <c r="AH38" i="79"/>
  <c r="W41" i="79"/>
  <c r="AK41" i="79" s="1"/>
  <c r="AH41" i="79"/>
  <c r="W46" i="79"/>
  <c r="AK46" i="79" s="1"/>
  <c r="AH46"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W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H5"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W8" i="40"/>
  <c r="AB39"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s="1"/>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27" i="40"/>
  <c r="S36" i="40"/>
  <c r="W37" i="40"/>
  <c r="AC14" i="40"/>
  <c r="S13" i="40"/>
  <c r="S33"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6" i="67"/>
  <c r="B9" i="76"/>
  <c r="M22" i="67"/>
  <c r="M23" i="15"/>
  <c r="F7" i="67"/>
  <c r="F43" i="67"/>
  <c r="J15" i="67"/>
  <c r="M29" i="15"/>
  <c r="E2" i="68"/>
  <c r="C76" i="67"/>
  <c r="J15" i="15"/>
  <c r="F3" i="73"/>
  <c r="F38" i="67"/>
  <c r="M8" i="67"/>
  <c r="E13" i="76"/>
  <c r="L48" i="67"/>
  <c r="F13" i="67"/>
  <c r="F7" i="73"/>
  <c r="E10" i="76"/>
  <c r="L48" i="15"/>
  <c r="F40" i="67"/>
  <c r="C76" i="15"/>
  <c r="F36" i="67"/>
  <c r="F20" i="31"/>
  <c r="F7" i="15"/>
  <c r="B7" i="76"/>
  <c r="E9" i="76"/>
  <c r="M9" i="67"/>
  <c r="M6" i="15"/>
  <c r="E7" i="76"/>
  <c r="D6" i="73"/>
  <c r="M8" i="15"/>
  <c r="F38" i="15"/>
  <c r="F42" i="15"/>
  <c r="F43" i="15"/>
  <c r="B10" i="76"/>
  <c r="F42" i="67"/>
  <c r="F9" i="67"/>
  <c r="M26" i="15"/>
  <c r="F40" i="15"/>
  <c r="F6" i="73"/>
  <c r="E2" i="69"/>
  <c r="F16" i="15"/>
  <c r="F36" i="15"/>
  <c r="M23" i="67"/>
  <c r="E8" i="76"/>
  <c r="B11" i="76"/>
  <c r="M22" i="15"/>
  <c r="F8" i="15"/>
  <c r="F37" i="15"/>
  <c r="E12" i="76"/>
  <c r="F6" i="15"/>
  <c r="L47" i="15"/>
  <c r="L47" i="67"/>
  <c r="F26" i="67"/>
  <c r="E11" i="76"/>
  <c r="M24" i="15"/>
  <c r="F37" i="67"/>
  <c r="B13" i="76"/>
  <c r="B8" i="76"/>
  <c r="F4" i="73"/>
  <c r="F5" i="73"/>
  <c r="F13" i="15"/>
  <c r="M9" i="15"/>
  <c r="AO13" i="1"/>
  <c r="M24" i="67"/>
  <c r="F16" i="67"/>
  <c r="M28" i="15"/>
  <c r="F9" i="15"/>
  <c r="M29" i="67"/>
  <c r="M6" i="67"/>
  <c r="M26" i="67"/>
  <c r="F8" i="67"/>
  <c r="B12" i="76"/>
  <c r="F26" i="15"/>
  <c r="M28" i="67"/>
  <c r="W34" i="40" l="1"/>
  <c r="I76" i="40"/>
  <c r="J76" i="40" s="1"/>
  <c r="K76" i="40" s="1"/>
  <c r="L76" i="40" s="1"/>
  <c r="M76" i="40" s="1"/>
  <c r="J11" i="40"/>
  <c r="W11" i="40" s="1"/>
  <c r="F11" i="40"/>
  <c r="AA11" i="40" s="1"/>
  <c r="H11" i="40"/>
  <c r="S34" i="40"/>
  <c r="U34" i="40"/>
  <c r="S25" i="40"/>
  <c r="U25" i="40"/>
  <c r="S23" i="40"/>
  <c r="U21" i="40"/>
  <c r="S21" i="40"/>
  <c r="W19" i="40"/>
  <c r="AB17" i="40"/>
  <c r="AC17" i="40"/>
  <c r="AA15" i="40"/>
  <c r="U9" i="40"/>
  <c r="AA9" i="40"/>
  <c r="F30" i="11"/>
  <c r="C48" i="11" s="1"/>
  <c r="D68" i="9"/>
  <c r="F30" i="69"/>
  <c r="F48" i="69" s="1"/>
  <c r="F31" i="12"/>
  <c r="C31" i="12" s="1"/>
  <c r="M18" i="15"/>
  <c r="M18" i="67"/>
  <c r="F54" i="9"/>
  <c r="F32" i="15"/>
  <c r="F60" i="15" s="1"/>
  <c r="F52" i="9"/>
  <c r="F30" i="68"/>
  <c r="F48" i="68" s="1"/>
  <c r="C21" i="68"/>
  <c r="C40" i="69"/>
  <c r="G26" i="12"/>
  <c r="G22" i="68"/>
  <c r="G22" i="69"/>
  <c r="G16" i="3"/>
  <c r="BB5" i="3"/>
  <c r="E14" i="6" s="1"/>
  <c r="BL15" i="3"/>
  <c r="AZ15" i="3"/>
  <c r="BL16" i="3"/>
  <c r="AZ16" i="3" s="1"/>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3" i="73"/>
  <c r="D5" i="73"/>
  <c r="C16" i="15"/>
  <c r="C16" i="67"/>
  <c r="D7" i="73"/>
  <c r="AC11" i="40" l="1"/>
  <c r="S11" i="40"/>
  <c r="AB11" i="40"/>
  <c r="U11" i="40"/>
  <c r="N94" i="46"/>
  <c r="P6" i="1"/>
  <c r="C13" i="12" s="1"/>
  <c r="G26" i="43"/>
  <c r="E63" i="39"/>
  <c r="E59" i="40"/>
  <c r="K16" i="1"/>
  <c r="N370" i="46"/>
  <c r="F26" i="43"/>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S10" i="39" l="1"/>
  <c r="J10" i="39"/>
  <c r="W10" i="39" s="1"/>
  <c r="D26" i="43"/>
  <c r="C25" i="43" s="1"/>
  <c r="C33" i="43" s="1"/>
  <c r="F10" i="40"/>
  <c r="S10" i="40" s="1"/>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C26" i="12" s="1"/>
  <c r="D25" i="12" s="1"/>
  <c r="D116" i="43"/>
  <c r="F22" i="68"/>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44" i="68" l="1"/>
  <c r="D41" i="68" s="1"/>
  <c r="H25" i="6"/>
  <c r="C44" i="1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8" i="1"/>
  <c r="AO9"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E14" i="74"/>
  <c r="F14" i="74"/>
  <c r="B5" i="74"/>
  <c r="D5" i="74" s="1"/>
  <c r="B3" i="40" l="1"/>
  <c r="C6" i="68"/>
  <c r="B6" i="74"/>
  <c r="D6" i="74" s="1"/>
  <c r="C7" i="68" l="1"/>
  <c r="C5" i="68" s="1"/>
  <c r="C23" i="68" l="1"/>
  <c r="C20" i="68"/>
  <c r="C28" i="68" l="1"/>
  <c r="C27" i="68" s="1"/>
  <c r="C25" i="68"/>
  <c r="C22" i="68" s="1"/>
  <c r="C31" i="68" s="1"/>
  <c r="C52" i="68" s="1"/>
  <c r="B2" i="68" l="1"/>
  <c r="C57" i="68"/>
  <c r="C56" i="68" s="1"/>
  <c r="C19" i="9"/>
  <c r="C102" i="9" l="1"/>
  <c r="C21" i="9"/>
  <c r="D22" i="9"/>
  <c r="G19" i="9"/>
  <c r="G21" i="9" s="1"/>
  <c r="B3" i="68"/>
  <c r="D35" i="9"/>
  <c r="D34" i="9"/>
  <c r="C20" i="9"/>
  <c r="C103" i="9" l="1"/>
  <c r="G20" i="9"/>
  <c r="C32" i="9" s="1"/>
  <c r="C35" i="9" s="1"/>
  <c r="C34" i="9" s="1"/>
  <c r="H118" i="9" l="1"/>
  <c r="I118" i="9" s="1"/>
  <c r="C105" i="9" s="1"/>
  <c r="I4" i="52" l="1"/>
  <c r="H102" i="9"/>
  <c r="D7" i="53" s="1"/>
  <c r="B21" i="72" s="1"/>
  <c r="D118" i="9"/>
  <c r="H101" i="9"/>
  <c r="H119" i="9"/>
  <c r="H5" i="52" s="1"/>
  <c r="H4" i="52"/>
  <c r="C104" i="9"/>
  <c r="C5" i="74" l="1"/>
  <c r="D4" i="52"/>
  <c r="B47" i="72" s="1"/>
  <c r="D119" i="9"/>
  <c r="D5" i="52" s="1"/>
  <c r="B49" i="72" s="1"/>
  <c r="M48" i="9"/>
  <c r="D5" i="53"/>
  <c r="H107" i="9"/>
  <c r="D45" i="9"/>
  <c r="B20" i="72" l="1"/>
  <c r="D6" i="53"/>
  <c r="B22" i="72" s="1"/>
  <c r="D52" i="9"/>
  <c r="C64" i="9"/>
  <c r="C63" i="9" s="1"/>
  <c r="C67" i="9" s="1"/>
  <c r="D53" i="9"/>
  <c r="C72" i="9"/>
  <c r="C79" i="9" s="1"/>
  <c r="C85" i="9"/>
  <c r="C93" i="9"/>
  <c r="C86" i="9" s="1"/>
  <c r="C78" i="9"/>
  <c r="C73" i="9" s="1"/>
  <c r="D55" i="9"/>
  <c r="M53" i="9" s="1"/>
  <c r="H108" i="9"/>
  <c r="D122" i="9"/>
  <c r="D13" i="53"/>
  <c r="M49" i="9"/>
  <c r="D8" i="52" l="1"/>
  <c r="D123" i="9"/>
  <c r="D9" i="52" s="1"/>
  <c r="D59" i="9"/>
  <c r="M55" i="9" s="1"/>
  <c r="C68" i="9"/>
  <c r="D54" i="9" s="1"/>
  <c r="C6" i="74"/>
  <c r="D15" i="53"/>
  <c r="B31" i="72" s="1"/>
  <c r="C95" i="9"/>
  <c r="L68" i="9"/>
  <c r="M68" i="9" s="1"/>
  <c r="L67" i="9"/>
  <c r="M67" i="9" s="1"/>
  <c r="L63" i="9"/>
  <c r="M63" i="9" s="1"/>
  <c r="L65" i="9"/>
  <c r="M65" i="9" s="1"/>
  <c r="L66" i="9"/>
  <c r="M66" i="9" s="1"/>
  <c r="L64" i="9"/>
  <c r="M64" i="9" s="1"/>
  <c r="C80" i="9"/>
  <c r="E80" i="9" s="1"/>
  <c r="E81" i="9" s="1"/>
  <c r="B30" i="72"/>
  <c r="D14" i="53"/>
  <c r="B32" i="72" s="1"/>
  <c r="C96" i="9" l="1"/>
  <c r="E96" i="9" s="1"/>
  <c r="E97" i="9" s="1"/>
  <c r="M69" i="9"/>
  <c r="N69" i="9" s="1"/>
  <c r="C81" i="9"/>
  <c r="C97" i="9" l="1"/>
  <c r="D58" i="9" s="1"/>
  <c r="D56" i="9" s="1"/>
  <c r="M54" i="9" s="1"/>
  <c r="N57" i="9" s="1"/>
  <c r="P57" i="9" l="1"/>
  <c r="N58" i="9"/>
  <c r="N59" i="9"/>
  <c r="N60" i="9" l="1"/>
  <c r="N61" i="9"/>
  <c r="F118" i="9"/>
  <c r="F119" i="9" s="1"/>
  <c r="F5" i="52" s="1"/>
  <c r="B53" i="72" s="1"/>
  <c r="F4" i="52" l="1"/>
  <c r="B51" i="72" s="1"/>
  <c r="G118" i="9"/>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<sst xmlns="http://schemas.openxmlformats.org/spreadsheetml/2006/main" count="8605" uniqueCount="3668">
  <si>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</si>
  <si>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</si>
  <si>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</si>
  <si>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</si>
  <si>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</si>
  <si>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</si>
  <si>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</si>
  <si>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</si>
  <si>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</si>
  <si>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</si>
  <si>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</si>
  <si>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</si>
  <si>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</si>
  <si>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</si>
  <si>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</si>
  <si>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</si>
  <si>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</si>
  <si>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</si>
  <si>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</si>
  <si>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</si>
  <si>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</si>
  <si>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</si>
  <si>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</si>
  <si>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</si>
  <si>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</si>
  <si>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</si>
  <si>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</si>
  <si>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</si>
  <si>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</si>
  <si>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</si>
  <si>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</si>
  <si>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</si>
  <si>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</si>
  <si>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</si>
  <si>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</si>
  <si>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</si>
  <si>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</si>
  <si>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</si>
  <si>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</si>
  <si>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</si>
  <si>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</si>
  <si>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</si>
  <si>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</si>
  <si>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</si>
  <si>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</si>
  <si>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</si>
  <si>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</si>
  <si>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</si>
  <si>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</si>
  <si>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</si>
  <si>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</si>
  <si>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</si>
  <si>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</si>
  <si>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</si>
  <si>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</si>
  <si>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</si>
  <si>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</si>
  <si>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</si>
  <si>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</si>
  <si>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</si>
  <si>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</si>
  <si>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</si>
  <si>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</si>
  <si>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</si>
  <si>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</si>
  <si>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</si>
  <si>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</si>
  <si>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</si>
  <si>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</si>
  <si>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</si>
  <si>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</si>
  <si>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</si>
  <si>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</si>
  <si>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</si>
  <si>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</si>
  <si>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</si>
  <si>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</si>
  <si>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</si>
  <si>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</si>
  <si>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</si>
  <si>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</si>
  <si>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</si>
  <si>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</si>
  <si>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</si>
  <si>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</si>
  <si>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</si>
  <si>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</si>
  <si>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</si>
  <si>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</si>
  <si>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</si>
  <si>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</si>
  <si>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</si>
  <si>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</si>
  <si>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</si>
  <si>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</si>
  <si>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</si>
  <si>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</si>
  <si>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</si>
  <si>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</si>
  <si>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</si>
  <si>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</si>
  <si>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</si>
  <si>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</si>
  <si>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</si>
  <si>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</si>
  <si>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</si>
  <si>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</si>
  <si>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</si>
  <si>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</si>
  <si>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</si>
  <si>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</si>
  <si>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</si>
  <si>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</si>
  <si>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</si>
  <si>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</si>
  <si>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</si>
  <si>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</si>
  <si>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</si>
  <si>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</si>
  <si>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</si>
  <si>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</si>
  <si>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</si>
  <si>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</si>
  <si>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</si>
  <si>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</si>
  <si>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</si>
  <si>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</si>
  <si>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</si>
  <si>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</si>
  <si>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</si>
  <si>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</si>
  <si>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</si>
  <si>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</si>
  <si>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</si>
  <si>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</si>
  <si>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</si>
  <si>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</si>
  <si>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</si>
  <si>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</si>
  <si>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</si>
  <si>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</si>
  <si>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</si>
  <si>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</si>
  <si>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</si>
  <si>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</si>
  <si>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</si>
  <si>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</si>
  <si>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</si>
  <si>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</si>
  <si>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</si>
  <si>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</si>
  <si>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</si>
  <si>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</si>
  <si>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</si>
  <si>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</si>
  <si>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</si>
  <si>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</si>
  <si>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</si>
  <si>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</si>
  <si>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</si>
  <si>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</si>
  <si>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</si>
  <si>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</si>
  <si>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</si>
  <si>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</si>
  <si>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</si>
  <si>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</si>
  <si>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</si>
  <si>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</si>
  <si>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</si>
  <si>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</si>
  <si>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</si>
  <si>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</si>
  <si>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</si>
  <si>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</si>
  <si>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</si>
  <si>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</si>
  <si>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</si>
  <si>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</si>
  <si>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</si>
  <si>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</si>
  <si>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</si>
  <si>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</si>
  <si>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</si>
  <si>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</si>
  <si>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</si>
  <si>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</si>
  <si>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</si>
  <si>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</si>
  <si>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</si>
  <si>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</si>
  <si>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</si>
  <si>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</si>
  <si>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</si>
  <si>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</si>
  <si>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</si>
  <si>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</si>
  <si>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</si>
  <si>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</si>
  <si>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</si>
  <si>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</si>
  <si>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</si>
  <si>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</si>
  <si>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</si>
  <si>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</si>
  <si>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</si>
  <si>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</si>
  <si>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</si>
  <si>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</si>
  <si>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</si>
  <si>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</si>
  <si>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</si>
  <si>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</si>
  <si>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</si>
  <si>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</si>
  <si>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</si>
  <si>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</si>
  <si>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</si>
  <si>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</si>
  <si>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</si>
  <si>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</si>
  <si>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</si>
  <si>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</si>
  <si>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</si>
  <si>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</si>
  <si>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</si>
  <si>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</si>
  <si>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</si>
  <si>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</si>
  <si>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</si>
  <si>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</si>
  <si>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</si>
  <si>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</si>
  <si>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</si>
  <si>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</si>
  <si>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</si>
  <si>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</si>
  <si>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</si>
  <si>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</si>
  <si>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</si>
  <si>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</si>
  <si>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</si>
  <si>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</si>
  <si>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</si>
  <si>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</si>
  <si>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</si>
  <si>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</si>
  <si>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</si>
  <si>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</si>
  <si>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</si>
  <si>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</si>
  <si>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</si>
  <si>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</si>
  <si>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</si>
  <si>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</si>
  <si>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</si>
  <si>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</si>
  <si>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</si>
  <si>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</si>
  <si>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</si>
  <si>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</si>
  <si>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</si>
  <si>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</si>
  <si>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</si>
  <si>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</si>
  <si>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</si>
  <si>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</si>
  <si>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</si>
  <si>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</si>
  <si>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</si>
  <si>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</si>
  <si>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</si>
  <si>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</si>
  <si>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</si>
  <si>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</si>
  <si>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</si>
  <si>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</si>
  <si>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</si>
  <si>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</si>
  <si>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</si>
  <si>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</si>
  <si>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</si>
  <si>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</si>
  <si>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</si>
  <si>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</si>
  <si>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</si>
  <si>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</si>
  <si>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</si>
  <si>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</si>
  <si>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</si>
  <si>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</si>
  <si>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</si>
  <si>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</si>
  <si>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</si>
  <si>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</si>
  <si>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</si>
  <si>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</si>
  <si>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</si>
  <si>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</si>
  <si>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</si>
  <si>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</si>
  <si>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</si>
  <si>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</si>
  <si>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</si>
  <si>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</si>
  <si>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</si>
  <si>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</si>
  <si>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</si>
  <si>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</si>
  <si>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</si>
  <si>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</si>
  <si>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</si>
  <si>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</si>
  <si>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</si>
  <si>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</si>
  <si>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</si>
  <si>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</si>
  <si>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</si>
  <si>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</si>
  <si>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</si>
  <si>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</si>
  <si>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</si>
  <si>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</si>
  <si>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</si>
  <si>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</si>
  <si>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</si>
  <si>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</si>
  <si>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</si>
  <si>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</si>
  <si>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</si>
  <si>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</si>
  <si>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</si>
  <si>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</si>
  <si>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</si>
  <si>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</si>
  <si>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</si>
  <si>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</si>
  <si>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</si>
  <si>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</si>
  <si>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</si>
  <si>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</si>
  <si>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</si>
  <si>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</si>
  <si>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</si>
  <si>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</si>
  <si>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</si>
  <si>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</si>
  <si>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</si>
  <si>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</si>
  <si>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</si>
  <si>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</si>
  <si>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</si>
  <si>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</si>
  <si>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</si>
  <si>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</si>
  <si>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</si>
  <si>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</si>
  <si>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</si>
  <si>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</si>
  <si>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</si>
  <si>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</si>
  <si>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</si>
  <si>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</si>
  <si>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</si>
  <si>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</si>
  <si>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</si>
  <si>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</si>
  <si>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</si>
  <si>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</si>
  <si>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</si>
  <si>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</si>
  <si>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</si>
  <si>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</si>
  <si>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</si>
  <si>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</si>
  <si>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</si>
  <si>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</si>
  <si>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</si>
  <si>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</si>
  <si>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</si>
  <si>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</si>
  <si>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</si>
  <si>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</si>
  <si>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</si>
  <si>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</si>
  <si>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</si>
  <si>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</si>
  <si>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</si>
  <si>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</si>
  <si>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</si>
  <si>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</si>
  <si>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</si>
  <si>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</si>
  <si>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</si>
  <si>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</si>
  <si>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</si>
  <si>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</si>
  <si>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</si>
  <si>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</si>
  <si>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</si>
  <si>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</si>
  <si>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</si>
  <si>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</si>
  <si>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</si>
  <si>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</si>
  <si>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</si>
  <si>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</si>
  <si>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</si>
  <si>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</si>
  <si>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</si>
  <si>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</si>
  <si>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</si>
  <si>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</si>
  <si>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</si>
  <si>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</si>
  <si>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</si>
  <si>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</si>
  <si>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</si>
  <si>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</si>
  <si>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</si>
  <si>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</si>
  <si>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</si>
  <si>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</si>
  <si>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</si>
  <si>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</si>
  <si>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</si>
  <si>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</si>
  <si>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</si>
  <si>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</si>
  <si>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</si>
  <si>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</si>
  <si>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</si>
  <si>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</si>
  <si>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</si>
  <si>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</si>
  <si>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</si>
  <si>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</si>
  <si>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</si>
  <si>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</si>
  <si>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</si>
  <si>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</si>
  <si>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</si>
  <si>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</si>
  <si>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</si>
  <si>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</si>
  <si>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</si>
  <si>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</si>
  <si>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</si>
  <si>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</si>
  <si>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</si>
  <si>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</si>
  <si>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</si>
  <si>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</si>
  <si>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</si>
  <si>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</si>
  <si>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</si>
  <si>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</si>
  <si>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</si>
  <si>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</si>
  <si>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</si>
  <si>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</si>
  <si>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</si>
  <si>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</si>
  <si>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</si>
  <si>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</si>
  <si>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</si>
  <si>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</si>
  <si>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</si>
  <si>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</si>
  <si>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</si>
  <si>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</si>
  <si>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</si>
  <si>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</si>
  <si>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</si>
  <si>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</si>
  <si>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</si>
  <si>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</si>
  <si>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</si>
  <si>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</si>
  <si>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</si>
  <si>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</si>
  <si>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</si>
  <si>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</si>
  <si>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</si>
  <si>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</si>
  <si>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</si>
  <si>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</si>
  <si>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</si>
  <si>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</si>
  <si>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</si>
  <si>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</si>
  <si>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</si>
  <si>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</si>
  <si>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</si>
  <si>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</si>
  <si>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</si>
  <si>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</si>
  <si>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</si>
  <si>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</si>
  <si>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</si>
  <si>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</si>
  <si>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</si>
  <si>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</si>
  <si>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</si>
  <si>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</si>
  <si>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</si>
  <si>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</si>
  <si>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</si>
  <si>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</si>
  <si>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</si>
  <si>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</si>
  <si>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</si>
  <si>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</si>
  <si>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</si>
  <si>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</si>
  <si>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</si>
  <si>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</si>
  <si>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</si>
  <si>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</si>
  <si>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</si>
  <si>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</si>
  <si>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</si>
  <si>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</si>
  <si>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</si>
  <si>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</si>
  <si>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</si>
  <si>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</si>
  <si>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</si>
  <si>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</si>
  <si>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</si>
  <si>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</si>
  <si>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</si>
  <si>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</si>
  <si>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</si>
  <si>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</si>
  <si>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</si>
  <si>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</si>
  <si>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</si>
  <si>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</si>
  <si>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</si>
  <si>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</si>
  <si>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</si>
  <si>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</si>
  <si>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</si>
  <si>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</si>
  <si>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</si>
  <si>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</si>
  <si>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</si>
  <si>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</si>
  <si>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</si>
  <si>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</si>
  <si>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</si>
  <si>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</si>
  <si>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</si>
  <si>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</si>
  <si>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</si>
  <si>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</si>
  <si>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</si>
  <si>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</si>
  <si>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</si>
  <si>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</si>
  <si>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</si>
  <si>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</si>
  <si>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</si>
  <si>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</si>
  <si>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</si>
  <si>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</si>
  <si>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</si>
  <si>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</si>
  <si>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</si>
  <si>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</si>
  <si>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</si>
  <si>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</si>
  <si>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</si>
  <si>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</si>
  <si>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</si>
  <si>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</si>
  <si>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</si>
  <si>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</si>
  <si>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</si>
  <si>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</si>
  <si>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</si>
  <si>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</si>
  <si>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</si>
  <si>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</si>
  <si>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</si>
  <si>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</si>
  <si>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</si>
  <si>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</si>
  <si>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</si>
  <si>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</si>
  <si>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</si>
  <si>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</si>
  <si>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</si>
  <si>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</si>
  <si>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</si>
  <si>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</si>
  <si>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</si>
  <si>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</si>
  <si>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</si>
  <si>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</si>
  <si>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</si>
  <si>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</si>
  <si>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</si>
  <si>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</si>
  <si>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</si>
  <si>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</si>
  <si>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</si>
  <si>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</si>
  <si>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</si>
  <si>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</si>
  <si>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</si>
  <si>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</si>
  <si>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</si>
  <si>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</si>
  <si>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</si>
  <si>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</si>
  <si>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</si>
  <si>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</si>
  <si>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</si>
  <si>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</si>
  <si>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</si>
  <si>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</si>
  <si>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</si>
  <si>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</si>
  <si>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</si>
  <si>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</si>
  <si>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</si>
  <si>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</si>
  <si>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</si>
  <si>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</si>
  <si>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</si>
  <si>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</si>
  <si>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</si>
  <si>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</si>
  <si>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</si>
  <si>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</si>
  <si>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</si>
  <si>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</si>
  <si>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</si>
  <si>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</si>
  <si>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</si>
  <si>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</si>
  <si>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</si>
  <si>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</si>
  <si>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</si>
  <si>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</si>
  <si>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</si>
  <si>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</si>
  <si>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</si>
  <si>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</si>
  <si>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</si>
  <si>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</si>
  <si>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</si>
  <si>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</si>
  <si>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</si>
  <si>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</si>
  <si>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</si>
  <si>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</si>
  <si>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</si>
  <si>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</si>
  <si>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</si>
  <si>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</si>
  <si>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</si>
  <si>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</si>
  <si>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</si>
  <si>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</si>
  <si>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</si>
  <si>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</si>
  <si>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</si>
  <si>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</si>
  <si>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</si>
  <si>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</si>
  <si>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</si>
  <si>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</si>
  <si>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</si>
  <si>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</si>
  <si>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</si>
  <si>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</si>
  <si>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</si>
  <si>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</si>
  <si>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</si>
  <si>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</si>
  <si>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</si>
  <si>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</si>
  <si>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</si>
  <si>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</si>
  <si>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</si>
  <si>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</si>
  <si>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</si>
  <si>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</si>
  <si>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</si>
  <si>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</si>
  <si>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</si>
  <si>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</si>
  <si>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</si>
  <si>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</si>
  <si>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</si>
  <si>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</si>
  <si>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</si>
  <si>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</si>
  <si>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</si>
  <si>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</si>
  <si>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</si>
  <si>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</si>
  <si>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</si>
  <si>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</si>
  <si>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</si>
  <si>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</si>
  <si>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</si>
  <si>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</si>
  <si>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</si>
  <si>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</si>
  <si>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</si>
  <si>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</si>
  <si>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</si>
  <si>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</si>
  <si>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</si>
  <si>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</si>
  <si>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</si>
  <si>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</si>
  <si>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</si>
  <si>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</si>
  <si>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</si>
  <si>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</si>
  <si>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</si>
  <si>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</si>
  <si>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</si>
  <si>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</si>
  <si>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</si>
  <si>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</si>
  <si>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</si>
  <si>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</si>
  <si>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</si>
  <si>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</si>
  <si>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</si>
  <si>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</si>
  <si>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</si>
  <si>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</si>
  <si>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</si>
  <si>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</si>
  <si>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</si>
  <si>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</si>
  <si>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</si>
  <si>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</si>
  <si>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</si>
  <si>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</si>
  <si>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</si>
  <si>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</si>
  <si>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</si>
  <si>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</si>
  <si>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</si>
  <si>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</si>
  <si>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</si>
  <si>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</si>
  <si>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</si>
  <si>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</si>
  <si>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</si>
  <si>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</si>
  <si>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</si>
  <si>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</si>
  <si>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</si>
  <si>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</si>
  <si>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</si>
  <si>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</si>
  <si>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</si>
  <si>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</si>
  <si>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</si>
  <si>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</si>
  <si>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</si>
  <si>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</si>
  <si>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</si>
  <si>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</si>
  <si>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</si>
  <si>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</si>
  <si>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</si>
  <si>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</si>
  <si>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</si>
  <si>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</si>
  <si>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</si>
  <si>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</si>
  <si>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</si>
  <si>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</si>
  <si>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</si>
  <si>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</si>
  <si>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</si>
  <si>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</si>
  <si>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</si>
  <si>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</si>
  <si>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</si>
  <si>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</si>
  <si>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</si>
  <si>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</si>
  <si>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</si>
  <si>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</si>
  <si>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</si>
  <si>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</si>
  <si>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</si>
  <si>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</si>
  <si>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</si>
  <si>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</si>
  <si>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</si>
  <si>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</si>
  <si>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</si>
  <si>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</si>
  <si>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</si>
  <si>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</si>
  <si>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</si>
  <si>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</si>
  <si>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</si>
  <si>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</si>
  <si>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</si>
  <si>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</si>
  <si>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</si>
  <si>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</si>
  <si>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</si>
  <si>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</si>
  <si>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</si>
  <si>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</si>
  <si>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</si>
  <si>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</si>
  <si>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</si>
  <si>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</si>
  <si>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</si>
  <si>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</si>
  <si>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</si>
  <si>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</si>
  <si>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</si>
  <si>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</si>
  <si>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</si>
  <si>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</si>
  <si>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</si>
  <si>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</si>
  <si>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</si>
  <si>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</si>
  <si>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</si>
  <si>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</si>
  <si>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</si>
  <si>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</si>
  <si>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</si>
  <si>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</si>
  <si>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</si>
  <si>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</si>
  <si>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</si>
  <si>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</si>
  <si>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</si>
  <si>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</si>
  <si>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</si>
  <si>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</si>
  <si>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</si>
  <si>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</si>
  <si>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</si>
  <si>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</si>
  <si>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</si>
  <si>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</si>
  <si>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</si>
  <si>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</si>
  <si>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</si>
  <si>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</si>
  <si>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</si>
  <si>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</si>
  <si>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</si>
  <si>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</si>
  <si>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</si>
  <si>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</si>
  <si>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</si>
  <si>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</si>
  <si>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</si>
  <si>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</si>
  <si>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</si>
  <si>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</si>
  <si>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</si>
  <si>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</si>
  <si>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</si>
  <si>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</si>
  <si>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</si>
  <si>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</si>
  <si>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</si>
  <si>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</si>
  <si>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</si>
  <si>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</si>
  <si>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</si>
  <si>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</si>
  <si>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</si>
  <si>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</si>
  <si>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</si>
  <si>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</si>
  <si>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</si>
  <si>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</si>
  <si>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</si>
  <si>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</si>
  <si>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</si>
  <si>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</si>
  <si>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</si>
  <si>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</si>
  <si>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</si>
  <si>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</si>
  <si>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</si>
  <si>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</si>
  <si>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</si>
  <si>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</si>
  <si>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</si>
  <si>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</si>
  <si>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</si>
  <si>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</si>
  <si>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</si>
  <si>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</si>
  <si>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</si>
  <si>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</si>
  <si>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</si>
  <si>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</si>
  <si>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</si>
  <si>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</si>
  <si>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</si>
  <si>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</si>
  <si>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</si>
  <si>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</si>
  <si>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</si>
  <si>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</si>
  <si>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</si>
  <si>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</si>
  <si>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</si>
  <si>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</si>
  <si>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</si>
  <si>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</si>
  <si>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</si>
  <si>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</si>
  <si>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</si>
  <si>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</si>
  <si>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</si>
  <si>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</si>
  <si>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</si>
  <si>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</si>
  <si>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</si>
  <si>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</si>
  <si>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</si>
  <si>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</si>
  <si>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</si>
  <si>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</si>
  <si>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</si>
  <si>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</si>
  <si>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</si>
  <si>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</si>
  <si>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</si>
  <si>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</si>
  <si>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</si>
  <si>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</si>
  <si>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</si>
  <si>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</si>
  <si>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</si>
  <si>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</si>
  <si>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</si>
  <si>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</si>
  <si>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</si>
  <si>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</si>
  <si>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</si>
  <si>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</si>
  <si>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</si>
  <si>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</si>
  <si>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</si>
  <si>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</si>
  <si>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</si>
  <si>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</si>
  <si>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</si>
  <si>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</si>
  <si>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</si>
  <si>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</si>
  <si>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</si>
  <si>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</si>
  <si>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</si>
  <si>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</si>
  <si>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</si>
  <si>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</si>
  <si>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</si>
  <si>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</si>
  <si>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</si>
  <si>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</si>
  <si>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</si>
  <si>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</si>
  <si>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</si>
  <si>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</si>
  <si>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</si>
  <si>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</si>
  <si>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</si>
  <si>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</si>
  <si>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</si>
  <si>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</si>
  <si>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</si>
  <si>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</si>
  <si>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</si>
  <si>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</si>
  <si>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</si>
  <si>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</si>
  <si>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</si>
  <si>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</si>
  <si>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</si>
  <si>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</si>
  <si>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</si>
  <si>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</si>
  <si>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</si>
  <si>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</si>
  <si>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</si>
  <si>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</si>
  <si>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</si>
  <si>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</si>
  <si>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</si>
  <si>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</si>
  <si>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</si>
  <si>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</si>
  <si>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</si>
  <si>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</si>
  <si>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</si>
  <si>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</si>
  <si>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</si>
  <si>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</si>
  <si>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</si>
  <si>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</si>
  <si>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</si>
  <si>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</si>
  <si>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</si>
  <si>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</si>
  <si>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</si>
  <si>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</si>
  <si>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</si>
  <si>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</si>
  <si>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</si>
  <si>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</si>
  <si>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</si>
  <si>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</si>
  <si>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</si>
  <si>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</si>
  <si>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</si>
  <si>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</si>
  <si>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</si>
  <si>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</si>
  <si>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</si>
  <si>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</si>
  <si>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</si>
  <si>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</si>
  <si>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</si>
  <si>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</si>
  <si>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</si>
  <si>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</si>
  <si>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</si>
  <si>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</si>
  <si>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</si>
  <si>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</si>
  <si>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</si>
  <si>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</si>
  <si>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</si>
  <si>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</si>
  <si>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</si>
  <si>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</si>
  <si>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</si>
  <si>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</si>
  <si>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</si>
  <si>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</si>
  <si>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</si>
  <si>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</si>
  <si>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</si>
  <si>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</si>
  <si>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</si>
  <si>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</si>
  <si>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</si>
  <si>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</si>
  <si>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</si>
  <si>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</si>
  <si>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</si>
  <si>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</si>
  <si>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</si>
  <si>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</si>
  <si>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</si>
  <si>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</si>
  <si>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</si>
  <si>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</si>
  <si>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</si>
  <si>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</si>
  <si>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</si>
  <si>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</si>
  <si>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</si>
  <si>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</si>
  <si>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</si>
  <si>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</si>
  <si>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</si>
  <si>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</si>
  <si>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</si>
  <si>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</si>
  <si>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</si>
  <si>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</si>
  <si>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</si>
  <si>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</si>
  <si>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</si>
  <si>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</si>
  <si>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</si>
  <si>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</si>
  <si>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</si>
  <si>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</si>
  <si>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</si>
  <si>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</si>
  <si>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</si>
  <si>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</si>
  <si>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</si>
  <si>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</si>
  <si>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</si>
  <si>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</si>
  <si>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</si>
  <si>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</si>
  <si>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</si>
  <si>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</si>
  <si>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</si>
  <si>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</si>
  <si>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</si>
  <si>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</si>
  <si>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</si>
  <si>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</si>
  <si>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</si>
  <si>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</si>
  <si>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</si>
  <si>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</si>
  <si>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</si>
  <si>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</si>
  <si>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</si>
  <si>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</si>
  <si>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</si>
  <si>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</si>
  <si>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</si>
  <si>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</si>
  <si>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</si>
  <si>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</si>
  <si>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</si>
  <si>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</si>
  <si>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</si>
  <si>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</si>
  <si>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</si>
  <si>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</si>
  <si>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</si>
  <si>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</si>
  <si>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</si>
  <si>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</si>
  <si>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</si>
  <si>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</si>
  <si>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</si>
  <si>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</si>
  <si>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</si>
  <si>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</si>
  <si>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</si>
  <si>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</si>
  <si>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</si>
  <si>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</si>
  <si>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</si>
  <si>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</si>
  <si>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</si>
  <si>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</si>
  <si>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</si>
  <si>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</si>
  <si>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</si>
  <si>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</si>
  <si>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</si>
  <si>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</si>
  <si>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</si>
  <si>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</si>
  <si>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</si>
  <si>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</si>
  <si>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</si>
  <si>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</si>
  <si>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</si>
  <si>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</si>
  <si>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</si>
  <si>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</si>
  <si>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</si>
  <si>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</si>
  <si>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</si>
  <si>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</si>
  <si>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</si>
  <si>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</si>
  <si>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</si>
  <si>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</si>
  <si>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</si>
  <si>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</si>
  <si>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</si>
  <si>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</si>
  <si>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</si>
  <si>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</si>
  <si>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</si>
  <si>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</si>
  <si>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</si>
  <si>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</si>
  <si>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</si>
  <si>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</si>
  <si>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</si>
  <si>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</si>
  <si>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</si>
  <si>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</si>
  <si>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</si>
  <si>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</si>
  <si>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</si>
  <si>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</si>
  <si>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</si>
  <si>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</si>
  <si>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</si>
  <si>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</si>
  <si>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</si>
  <si>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</si>
  <si>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</si>
  <si>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</si>
  <si>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</si>
  <si>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</si>
  <si>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</si>
  <si>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</si>
  <si>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</si>
  <si>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</si>
  <si>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</si>
  <si>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</si>
  <si>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</si>
  <si>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</si>
  <si>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</si>
  <si>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</si>
  <si>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</si>
  <si>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</si>
  <si>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</si>
  <si>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</si>
  <si>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</si>
  <si>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</si>
  <si>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</si>
  <si>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</si>
  <si>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</si>
  <si>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</si>
  <si>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</si>
  <si>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</si>
  <si>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</si>
  <si>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</si>
  <si>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</si>
  <si>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</si>
  <si>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</si>
  <si>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</si>
  <si>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</si>
  <si>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</si>
  <si>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</si>
  <si>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</si>
  <si>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</si>
  <si>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</si>
  <si>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</si>
  <si>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</si>
  <si>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</si>
  <si>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</si>
  <si>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</si>
  <si>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</si>
  <si>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</si>
  <si>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</si>
  <si>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</si>
  <si>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</si>
  <si>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</si>
  <si>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</si>
  <si>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</si>
  <si>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</si>
  <si>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</si>
  <si>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</si>
  <si>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</si>
  <si>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</si>
  <si>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</si>
  <si>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</si>
  <si>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</si>
  <si>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</si>
  <si>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</si>
  <si>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</si>
  <si>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</si>
  <si>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</si>
  <si>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</si>
  <si>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</si>
  <si>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</si>
  <si>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</si>
  <si>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</si>
  <si>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</si>
  <si>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</si>
  <si>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</si>
  <si>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</si>
  <si>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</si>
  <si>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</si>
  <si>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</si>
  <si>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</si>
  <si>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</si>
  <si>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</si>
  <si>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</si>
  <si>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</si>
  <si>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</si>
  <si>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</si>
  <si>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</si>
  <si>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</si>
  <si>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</si>
  <si>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</si>
  <si>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</si>
  <si>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</si>
  <si>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</si>
  <si>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</si>
  <si>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</si>
  <si>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</si>
  <si>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</si>
  <si>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</si>
  <si>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</si>
  <si>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</si>
  <si>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</si>
  <si>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</si>
  <si>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</si>
  <si>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</si>
  <si>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</si>
  <si>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</si>
  <si>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</si>
  <si>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</si>
  <si>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</si>
  <si>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</si>
  <si>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</si>
  <si>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</si>
  <si>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</si>
  <si>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</si>
  <si>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</si>
  <si>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</si>
  <si>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</si>
  <si>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</si>
  <si>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</si>
  <si>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</si>
  <si>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</si>
  <si>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</si>
  <si>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</si>
  <si>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</si>
  <si>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</si>
  <si>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</si>
  <si>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</si>
  <si>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</si>
  <si>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</si>
  <si>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</si>
  <si>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</si>
  <si>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</si>
  <si>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</si>
  <si>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</si>
  <si>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</si>
  <si>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</si>
  <si>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</si>
  <si>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</si>
  <si>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</si>
  <si>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</si>
  <si>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</si>
  <si>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</si>
  <si>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</si>
  <si>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</si>
  <si>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</si>
  <si>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</si>
  <si>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</si>
  <si>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</si>
  <si>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</si>
  <si>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</si>
  <si>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</si>
  <si>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</si>
  <si>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</si>
  <si>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</si>
  <si>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</si>
  <si>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</si>
  <si>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</si>
  <si>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</si>
  <si>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</si>
  <si>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</si>
  <si>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</si>
  <si>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</si>
  <si>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</si>
  <si>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</si>
  <si>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</si>
  <si>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</si>
  <si>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</si>
  <si>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</si>
  <si>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</si>
  <si>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</si>
  <si>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</si>
  <si>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</si>
  <si>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</si>
  <si>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</si>
  <si>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</si>
  <si>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</si>
  <si>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</si>
  <si>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</si>
  <si>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</si>
  <si>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</si>
  <si>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</si>
  <si>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</si>
  <si>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</si>
  <si>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</si>
  <si>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</si>
  <si>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</si>
  <si>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</si>
  <si>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</si>
  <si>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</si>
  <si>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</si>
  <si>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</si>
  <si>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</si>
  <si>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</si>
  <si>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</si>
  <si>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</si>
  <si>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</si>
  <si>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</si>
  <si>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</si>
  <si>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</si>
  <si>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</si>
  <si>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</si>
  <si>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</si>
  <si>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</si>
  <si>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</si>
  <si>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</si>
  <si>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</si>
  <si>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</si>
  <si>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</si>
  <si>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</si>
  <si>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</si>
  <si>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</si>
  <si>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</si>
  <si>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</si>
  <si>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</si>
  <si>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</si>
  <si>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</si>
  <si>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</si>
  <si>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</si>
  <si>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</si>
  <si>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</si>
  <si>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</si>
  <si>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</si>
  <si>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</si>
  <si>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</si>
  <si>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</si>
  <si>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</si>
  <si>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</si>
  <si>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</si>
  <si>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</si>
  <si>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</si>
  <si>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</si>
  <si>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</si>
  <si>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</si>
  <si>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</si>
  <si>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</si>
  <si>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</si>
  <si>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</si>
  <si>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</si>
  <si>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</si>
  <si>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</si>
  <si>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</si>
  <si>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</si>
  <si>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</si>
  <si>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</si>
  <si>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</si>
  <si>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</si>
  <si>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</si>
  <si>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</si>
  <si>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</si>
  <si>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</si>
  <si>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</si>
  <si>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</si>
  <si>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</si>
  <si>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</si>
  <si>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</si>
  <si>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</si>
  <si>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</si>
  <si>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</si>
  <si>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</si>
  <si>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</si>
  <si>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</si>
  <si>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</si>
  <si>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</si>
  <si>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</si>
  <si>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</si>
  <si>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</si>
  <si>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</si>
  <si>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</si>
  <si>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</si>
  <si>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</si>
  <si>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</si>
  <si>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</si>
  <si>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</si>
  <si>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</si>
  <si>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</si>
  <si>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</si>
  <si>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</si>
  <si>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</si>
  <si>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</si>
  <si>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</si>
  <si>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</si>
  <si>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</si>
  <si>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</si>
  <si>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</si>
  <si>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</si>
  <si>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</si>
  <si>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</si>
  <si>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</si>
  <si>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</si>
  <si>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</si>
  <si>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</si>
  <si>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</si>
  <si>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</si>
  <si>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</si>
  <si>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</si>
  <si>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</si>
  <si>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</si>
  <si>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</si>
  <si>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</si>
  <si>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</si>
  <si>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</si>
  <si>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</si>
  <si>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</si>
  <si>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</si>
  <si>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</si>
  <si>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</si>
  <si>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</si>
  <si>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</si>
  <si>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</si>
  <si>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</si>
  <si>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</si>
  <si>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</si>
  <si>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</si>
  <si>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</si>
  <si>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</si>
  <si>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</si>
  <si>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</si>
  <si>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</si>
  <si>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</si>
  <si>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</si>
  <si>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</si>
  <si>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</si>
  <si>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</si>
  <si>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</si>
  <si>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</si>
  <si>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</si>
  <si>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</si>
  <si>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</si>
  <si>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</si>
  <si>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</si>
  <si>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</si>
  <si>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</si>
  <si>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</si>
  <si>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</si>
  <si>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</si>
  <si>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</si>
  <si>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</si>
  <si>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</si>
  <si>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</si>
  <si>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</si>
  <si>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</si>
  <si>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</si>
  <si>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</si>
  <si>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</si>
  <si>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</si>
  <si>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</si>
  <si>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</si>
  <si>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</si>
  <si>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</si>
  <si>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</si>
  <si>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</si>
  <si>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</si>
  <si>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</si>
  <si>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</si>
  <si>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</si>
  <si>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</si>
  <si>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</si>
  <si>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</si>
  <si>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</si>
  <si>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</si>
  <si>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</si>
  <si>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</si>
  <si>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</si>
  <si>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</si>
  <si>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</si>
  <si>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</si>
  <si>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</si>
  <si>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</si>
  <si>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</si>
  <si>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</si>
  <si>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</si>
  <si>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</si>
  <si>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</si>
  <si>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</si>
  <si>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</si>
  <si>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</si>
  <si>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</si>
  <si>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</si>
  <si>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</si>
  <si>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</si>
  <si>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</si>
  <si>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</si>
  <si>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</si>
  <si>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</si>
  <si>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</si>
  <si>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</si>
  <si>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</si>
  <si>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</si>
  <si>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</si>
  <si>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</si>
  <si>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</si>
  <si>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</si>
  <si>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</si>
  <si>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</si>
  <si>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</si>
  <si>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</si>
  <si>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</si>
  <si>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</si>
  <si>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</si>
  <si>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</si>
  <si>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</si>
  <si>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</si>
  <si>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</si>
  <si>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</si>
  <si>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</si>
  <si>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</si>
  <si>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</si>
  <si>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</si>
  <si>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</si>
  <si>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</si>
  <si>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</si>
  <si>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</si>
  <si>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</si>
  <si>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</si>
  <si>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</si>
  <si>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</si>
  <si>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</si>
  <si>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</si>
  <si>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</si>
  <si>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</si>
  <si>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</si>
  <si>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</si>
  <si>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</si>
  <si>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</si>
  <si>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</si>
  <si>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</si>
  <si>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</si>
  <si>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</si>
  <si>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</si>
  <si>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</si>
  <si>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</si>
  <si>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</si>
  <si>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</si>
  <si>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</si>
  <si>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</si>
  <si>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</si>
  <si>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</si>
  <si>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</si>
  <si>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</si>
  <si>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</si>
  <si>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</si>
  <si>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</si>
  <si>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</si>
  <si>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</si>
  <si>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</si>
  <si>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</si>
  <si>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</si>
  <si>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</si>
  <si>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</si>
  <si>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</si>
  <si>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</si>
  <si>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</si>
  <si>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</si>
  <si>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</si>
  <si>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</si>
  <si>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</si>
  <si>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</si>
  <si>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</si>
  <si>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</si>
  <si>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</si>
  <si>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</si>
  <si>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</si>
  <si>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</si>
  <si>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</si>
  <si>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</si>
  <si>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</si>
  <si>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</si>
  <si>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</si>
  <si>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</si>
  <si>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</si>
  <si>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</si>
  <si>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</si>
  <si>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</si>
  <si>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</si>
  <si>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</si>
  <si>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</si>
  <si>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</si>
  <si>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</si>
  <si>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</si>
  <si>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</si>
  <si>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</si>
  <si>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</si>
  <si>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</si>
  <si>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</si>
  <si>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</si>
  <si>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</si>
  <si>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</si>
  <si>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</si>
  <si>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</si>
  <si>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</si>
  <si>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</si>
  <si>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</si>
  <si>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</si>
  <si>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</si>
  <si>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</si>
  <si>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</si>
  <si>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</si>
  <si>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</si>
  <si>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</si>
  <si>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</si>
  <si>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</si>
  <si>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</si>
  <si>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</si>
  <si>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</si>
  <si>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</si>
  <si>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</si>
  <si>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</si>
  <si>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</si>
  <si>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</si>
  <si>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</si>
  <si>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</si>
  <si>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</si>
  <si>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</si>
  <si>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</si>
  <si>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</si>
  <si>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</si>
  <si>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</si>
  <si>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</si>
  <si>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</si>
  <si>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</si>
  <si>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</si>
  <si>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</si>
  <si>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</si>
  <si>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</si>
  <si>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</si>
  <si>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</si>
  <si>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</si>
  <si>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</si>
  <si>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</si>
  <si>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</si>
  <si>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</si>
  <si>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</si>
  <si>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</si>
  <si>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</si>
  <si>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</si>
  <si>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</si>
  <si>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</si>
  <si>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</si>
  <si>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</si>
  <si>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</si>
  <si>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</si>
  <si>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</si>
  <si>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</si>
  <si>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</si>
  <si>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</si>
  <si>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</si>
  <si>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</si>
  <si>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</si>
  <si>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</si>
  <si>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</si>
  <si>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</si>
  <si>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</si>
  <si>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</si>
  <si>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</si>
  <si>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</si>
  <si>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</si>
  <si>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</si>
  <si>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</si>
  <si>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</si>
  <si>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</si>
  <si>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</si>
  <si>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</si>
  <si>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</si>
  <si>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</si>
  <si>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</si>
  <si>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</si>
  <si>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</si>
  <si>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</si>
  <si>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</si>
  <si>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</si>
  <si>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</si>
  <si>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</si>
  <si>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</si>
  <si>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</si>
  <si>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</si>
  <si>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</si>
  <si>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</si>
  <si>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</si>
  <si>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</si>
  <si>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</si>
  <si>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</si>
  <si>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</si>
  <si>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</si>
  <si>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</si>
  <si>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</si>
  <si>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</si>
  <si>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</si>
  <si>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</si>
  <si>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</si>
  <si>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</si>
  <si>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</si>
  <si>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</si>
  <si>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</si>
  <si>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</si>
  <si>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</si>
  <si>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</si>
  <si>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</si>
  <si>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</si>
  <si>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</si>
  <si>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</si>
  <si>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</si>
  <si>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</si>
  <si>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</si>
  <si>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</si>
  <si>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</si>
  <si>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</si>
  <si>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</si>
  <si>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</si>
  <si>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</si>
  <si>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</si>
  <si>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</si>
  <si>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</si>
  <si>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</si>
  <si>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</si>
  <si>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</si>
  <si>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</si>
  <si>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</si>
  <si>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</si>
  <si>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</si>
  <si>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</si>
  <si>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</si>
  <si>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</si>
  <si>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</si>
  <si>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</si>
  <si>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</si>
  <si>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</si>
  <si>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</si>
  <si>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</si>
  <si>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</si>
  <si>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</si>
  <si>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</si>
  <si>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</si>
  <si>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</si>
  <si>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</si>
  <si>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</si>
  <si>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</si>
  <si>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</si>
  <si>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</si>
  <si>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</si>
  <si>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</si>
  <si>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</si>
  <si>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</si>
  <si>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</si>
  <si>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</si>
  <si>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</si>
  <si>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</si>
  <si>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</si>
  <si>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</si>
  <si>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</si>
  <si>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</si>
  <si>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</si>
  <si>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</si>
  <si>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</si>
  <si>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</si>
  <si>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</si>
  <si>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</si>
  <si>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</si>
  <si>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</si>
  <si>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</si>
  <si>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</si>
  <si>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</si>
  <si>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</si>
  <si>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</si>
  <si>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</si>
  <si>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</si>
  <si>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</si>
  <si>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</si>
  <si>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</si>
  <si>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</si>
  <si>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</si>
  <si>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</si>
  <si>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</si>
  <si>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</si>
  <si>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</si>
  <si>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</si>
  <si>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</si>
  <si>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</si>
  <si>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</si>
  <si>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</si>
  <si>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</si>
  <si>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</si>
  <si>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</si>
  <si>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</si>
  <si>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</si>
  <si>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</si>
  <si>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</si>
  <si>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</si>
  <si>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</si>
  <si>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</si>
  <si>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</si>
  <si>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</si>
  <si>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</si>
  <si>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</si>
  <si>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</si>
  <si>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</si>
  <si>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</si>
  <si>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</si>
  <si>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</si>
  <si>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</si>
  <si>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</si>
  <si>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</si>
  <si>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</si>
  <si>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</si>
  <si>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</si>
  <si>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</si>
  <si>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</si>
  <si>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</si>
  <si>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</si>
  <si>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</si>
  <si>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</si>
  <si>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</si>
  <si>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</si>
  <si>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</si>
  <si>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</si>
  <si>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</si>
  <si>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</si>
  <si>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</si>
  <si>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</si>
  <si>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</si>
  <si>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</si>
  <si>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</si>
  <si>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</si>
  <si>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</si>
  <si>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</si>
  <si>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</si>
  <si>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</si>
  <si>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</si>
  <si>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</si>
  <si>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</si>
  <si>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</si>
  <si>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</si>
  <si>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</si>
  <si>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</si>
  <si>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</si>
  <si>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</si>
  <si>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</si>
  <si>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</si>
  <si>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</si>
  <si>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</si>
  <si>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</si>
  <si>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</si>
  <si>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</si>
  <si>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</si>
  <si>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</si>
  <si>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</si>
  <si>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</si>
  <si>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</si>
  <si>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</si>
  <si>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</si>
  <si>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</si>
  <si>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</si>
  <si>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</si>
  <si>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</si>
  <si>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</si>
  <si>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</si>
  <si>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</si>
  <si>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</si>
  <si>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</si>
  <si>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</si>
  <si>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</si>
  <si>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</si>
  <si>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</si>
  <si>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</si>
  <si>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</si>
  <si>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</si>
  <si>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</si>
  <si>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</si>
  <si>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</si>
  <si>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</si>
  <si>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</si>
  <si>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</si>
  <si>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</si>
  <si>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</si>
  <si>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</si>
  <si>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</si>
  <si>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</si>
  <si>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</si>
  <si>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</si>
  <si>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</si>
  <si>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</si>
  <si>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</si>
  <si>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</si>
  <si>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</si>
  <si>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</si>
  <si>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</si>
  <si>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</si>
  <si>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</si>
  <si>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</si>
  <si>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</si>
  <si>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</si>
  <si>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</si>
  <si>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</si>
  <si>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</si>
  <si>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</si>
  <si>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</si>
  <si>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</si>
  <si>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</si>
  <si>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</si>
  <si>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</si>
  <si>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</si>
  <si>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</si>
  <si>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</si>
  <si>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</si>
  <si>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</si>
  <si>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</si>
  <si>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</si>
  <si>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</si>
  <si>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</si>
  <si>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</si>
  <si>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</si>
  <si>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</si>
  <si>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</si>
  <si>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</si>
  <si>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</si>
  <si>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</si>
  <si>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</si>
  <si>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</si>
  <si>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</si>
  <si>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</si>
  <si>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</si>
  <si>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</si>
  <si>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</si>
  <si>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</si>
  <si>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</si>
  <si>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</si>
  <si>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</si>
  <si>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</si>
  <si>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</si>
  <si>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</si>
  <si>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</si>
  <si>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</si>
  <si>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</si>
  <si>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</si>
  <si>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</si>
  <si>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</si>
  <si>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</si>
  <si>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</si>
  <si>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</si>
  <si>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</si>
  <si>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</si>
  <si>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</si>
  <si>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</si>
  <si>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</si>
  <si>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</si>
  <si>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</si>
  <si>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</si>
  <si>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</si>
  <si>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</si>
  <si>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</si>
  <si>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</si>
  <si>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</si>
  <si>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</si>
  <si>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</si>
  <si>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</si>
  <si>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</si>
  <si>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</si>
  <si>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</si>
  <si>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</si>
  <si>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</si>
  <si>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</si>
  <si>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</si>
  <si>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</si>
  <si>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</si>
  <si>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</si>
  <si>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</si>
  <si>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</si>
  <si>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</si>
  <si>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</si>
  <si>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</si>
  <si>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</si>
  <si>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</si>
  <si>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</si>
  <si>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</si>
  <si>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</si>
  <si>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</si>
  <si>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</si>
  <si>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</si>
  <si>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</si>
  <si>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</si>
  <si>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</si>
  <si>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</si>
  <si>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</si>
  <si>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</si>
  <si>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</si>
  <si>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</si>
  <si>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</si>
  <si>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</si>
  <si>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</si>
  <si>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</si>
  <si>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</si>
  <si>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</si>
  <si>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</si>
  <si>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</si>
  <si>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</si>
  <si>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</si>
  <si>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</si>
  <si>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</si>
  <si>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</si>
  <si>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</si>
  <si>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</si>
  <si>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</si>
  <si>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</si>
  <si>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</si>
  <si>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</si>
  <si>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</si>
  <si>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</si>
  <si>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</si>
  <si>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</si>
  <si>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</si>
  <si>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</si>
  <si>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</si>
  <si>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</si>
  <si>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</si>
  <si>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</si>
  <si>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</si>
  <si>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</si>
  <si>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</si>
  <si>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</si>
  <si>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</si>
  <si>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</si>
  <si>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</si>
  <si>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</si>
  <si>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</si>
  <si>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</si>
  <si>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</si>
  <si>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</si>
  <si>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</si>
  <si>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</si>
  <si>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</si>
  <si>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</si>
  <si>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</si>
  <si>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</si>
  <si>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</si>
  <si>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</si>
  <si>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</si>
  <si>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</si>
  <si>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</si>
  <si>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</si>
  <si>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</si>
  <si>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</si>
  <si>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</si>
  <si>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</si>
  <si>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</si>
  <si>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</si>
  <si>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</si>
  <si>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</si>
  <si>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</si>
  <si>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</si>
  <si>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</si>
  <si>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</si>
  <si>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</si>
  <si>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</si>
  <si>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</si>
  <si>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</si>
  <si>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</si>
  <si>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</si>
  <si>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</si>
  <si>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</si>
  <si>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</si>
  <si>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</si>
  <si>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</si>
  <si>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</si>
  <si>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</si>
  <si>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</si>
  <si>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</si>
  <si>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</si>
  <si>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</si>
  <si>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</si>
  <si>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</si>
  <si>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</si>
  <si>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</si>
  <si>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</si>
  <si>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</si>
  <si>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</si>
  <si>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</si>
  <si>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</si>
  <si>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</si>
  <si>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</si>
  <si>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</si>
  <si>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</si>
  <si>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</si>
  <si>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</si>
  <si>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</si>
  <si>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</si>
  <si>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</si>
  <si>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</si>
  <si>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</si>
  <si>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</si>
  <si>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</si>
  <si>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</si>
  <si>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</si>
  <si>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</si>
  <si>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</si>
  <si>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</si>
  <si>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</si>
  <si>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</si>
  <si>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</si>
  <si>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</si>
  <si>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</si>
  <si>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</si>
  <si>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</si>
  <si>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</si>
  <si>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</si>
  <si>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</si>
  <si>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</si>
  <si>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</si>
  <si>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</si>
  <si>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</si>
  <si>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</si>
  <si>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</si>
  <si>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</si>
  <si>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</si>
  <si>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</si>
  <si>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</si>
  <si>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</si>
  <si>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</si>
  <si>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</si>
  <si>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</si>
  <si>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</si>
  <si>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</si>
  <si>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</si>
  <si>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</si>
  <si>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</si>
  <si>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</si>
  <si>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</si>
  <si>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</si>
  <si>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</si>
  <si>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</si>
  <si>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</si>
  <si>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</si>
  <si>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</si>
  <si>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</si>
  <si>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</si>
  <si>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</si>
  <si>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</si>
  <si>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</si>
  <si>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</si>
  <si>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</si>
  <si>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</si>
  <si>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</si>
  <si>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</si>
  <si>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</si>
  <si>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</si>
  <si>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</si>
  <si>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</si>
  <si>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</si>
  <si>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</si>
  <si>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</si>
  <si>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</si>
  <si>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</si>
  <si>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</si>
  <si>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</si>
  <si>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</si>
  <si>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</si>
  <si>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</si>
  <si>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</si>
  <si>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</si>
  <si>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</si>
  <si>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</si>
  <si>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</si>
  <si>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</si>
  <si>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</si>
  <si>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</si>
  <si>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</si>
  <si>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</si>
  <si>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</si>
  <si>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</si>
  <si>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</si>
  <si>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</si>
  <si>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</si>
  <si>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</si>
  <si>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</si>
  <si>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</si>
  <si>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</si>
  <si>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</si>
  <si>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</si>
  <si>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</si>
  <si>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</si>
  <si>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</si>
  <si>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</si>
  <si>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</si>
  <si>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</si>
  <si>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</si>
  <si>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</si>
  <si>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</si>
  <si>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</si>
  <si>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</si>
  <si>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</si>
  <si>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</si>
  <si>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</si>
  <si>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</si>
  <si>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</si>
  <si>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</si>
  <si>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</si>
  <si>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</si>
  <si>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</si>
  <si>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</si>
  <si>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</si>
  <si>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</si>
  <si>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</si>
  <si>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</si>
  <si>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</si>
  <si>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</si>
  <si>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</si>
  <si>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</si>
  <si>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</si>
  <si>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</si>
  <si>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</si>
  <si>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</si>
  <si>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</si>
  <si>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</si>
  <si>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</si>
  <si>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</si>
  <si>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</si>
  <si>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</si>
  <si>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</si>
  <si>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</si>
  <si>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</si>
  <si>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</si>
  <si>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</si>
  <si>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</si>
  <si>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</si>
  <si>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</si>
  <si>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</si>
  <si>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</si>
  <si>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</si>
  <si>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</si>
  <si>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</si>
  <si>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</si>
  <si>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</si>
  <si>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</si>
  <si>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</si>
  <si>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</si>
  <si>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</si>
  <si>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</si>
  <si>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</si>
  <si>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</si>
  <si>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</si>
  <si>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</si>
  <si>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</si>
  <si>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</si>
  <si>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</si>
  <si>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</si>
  <si>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</si>
  <si>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</si>
  <si>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</si>
  <si>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</si>
  <si>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</si>
  <si>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</si>
  <si>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</si>
  <si>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</si>
  <si>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</si>
  <si>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</si>
  <si>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</si>
  <si>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</si>
  <si>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</si>
  <si>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</si>
  <si>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</si>
  <si>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</si>
  <si>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</si>
  <si>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</si>
  <si>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</si>
  <si>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</si>
  <si>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</si>
  <si>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</si>
  <si>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</si>
  <si>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</si>
  <si>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</si>
  <si>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</si>
  <si>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</si>
  <si>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</si>
  <si>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</si>
  <si>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</si>
  <si>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</si>
  <si>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</si>
  <si>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</si>
  <si>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</si>
  <si>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</si>
  <si>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</si>
  <si>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</si>
  <si>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</si>
  <si>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</si>
  <si>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</si>
  <si>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</si>
  <si>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</si>
  <si>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</si>
  <si>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</si>
  <si>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</si>
  <si>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</si>
  <si>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</si>
  <si>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</si>
  <si>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</si>
  <si>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</si>
  <si>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</si>
  <si>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</si>
  <si>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</si>
  <si>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</si>
  <si>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</si>
  <si>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</si>
  <si>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</si>
  <si>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</si>
  <si>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</si>
  <si>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</si>
  <si>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</si>
  <si>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</si>
  <si>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</si>
  <si>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</si>
  <si>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</si>
  <si>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</si>
  <si>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</si>
  <si>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</si>
  <si>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</si>
  <si>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</si>
  <si>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</si>
  <si>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</si>
  <si>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</si>
  <si>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</si>
  <si>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</si>
  <si>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</si>
  <si>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</si>
  <si>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</si>
  <si>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</si>
  <si>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</si>
  <si>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</si>
  <si>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</si>
  <si>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</si>
  <si>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</si>
  <si>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</si>
  <si>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</si>
  <si>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</si>
  <si>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</si>
  <si>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</si>
  <si>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</si>
  <si>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</si>
  <si>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</si>
  <si>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</si>
  <si>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</si>
  <si>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</si>
  <si>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</si>
  <si>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</si>
  <si>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</si>
  <si>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</si>
  <si>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</si>
  <si>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</si>
  <si>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</si>
  <si>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</si>
  <si>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</si>
  <si>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</si>
  <si>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</si>
  <si>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</si>
  <si>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</si>
  <si>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</si>
  <si>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</si>
  <si>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</si>
  <si>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</si>
  <si>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</si>
  <si>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</si>
  <si>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</si>
  <si>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</si>
  <si>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</si>
  <si>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</si>
  <si>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</si>
  <si>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</si>
  <si>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</si>
  <si>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</si>
  <si>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</si>
  <si>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</si>
  <si>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</si>
  <si>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</si>
  <si>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</si>
  <si>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</si>
  <si>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</si>
  <si>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</si>
  <si>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</si>
  <si>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</si>
  <si>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</si>
  <si>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</si>
  <si>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</si>
  <si>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</si>
  <si>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</si>
  <si>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</si>
  <si>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</si>
  <si>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</si>
  <si>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</si>
  <si>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</si>
  <si>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</si>
  <si>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</si>
  <si>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</si>
  <si>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</si>
  <si>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</si>
  <si>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</si>
  <si>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</si>
  <si>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</si>
  <si>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</si>
  <si>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</si>
  <si>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</si>
  <si>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</si>
  <si>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</si>
  <si>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</si>
  <si>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</si>
  <si>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</si>
  <si>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</si>
  <si>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</si>
  <si>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</si>
  <si>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</si>
  <si>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</si>
  <si>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</si>
  <si>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</si>
  <si>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</si>
  <si>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</si>
  <si>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</si>
  <si>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</si>
  <si>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</si>
  <si>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</si>
  <si>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</si>
  <si>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</si>
  <si>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</si>
  <si>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</si>
  <si>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</si>
  <si>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</si>
  <si>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</si>
  <si>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</si>
  <si>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</si>
  <si>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</si>
  <si>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</si>
  <si>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</si>
  <si>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</si>
  <si>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</si>
  <si>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</si>
  <si>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</si>
  <si>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</si>
  <si>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</si>
  <si>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</si>
  <si>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</si>
  <si>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</si>
  <si>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</si>
  <si>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</si>
  <si>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</si>
  <si>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</si>
  <si>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</si>
  <si>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</si>
  <si>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</si>
  <si>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</si>
  <si>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</si>
  <si>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</si>
  <si>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</si>
  <si>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</si>
  <si>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</si>
  <si>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</si>
  <si>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</si>
  <si>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</si>
  <si>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</si>
  <si>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</si>
  <si>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</si>
  <si>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</si>
  <si>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</si>
  <si>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</si>
  <si>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</si>
  <si>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</si>
  <si>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</si>
  <si>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</si>
  <si>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</si>
  <si>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</si>
  <si>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</si>
  <si>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</si>
  <si>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</si>
  <si>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</si>
  <si>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</si>
  <si>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</si>
  <si>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</si>
  <si>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</si>
  <si>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</si>
  <si>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</si>
  <si>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</si>
  <si>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</si>
  <si>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</si>
  <si>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</si>
  <si>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</si>
  <si>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</si>
  <si>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</si>
  <si>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</si>
  <si>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</si>
  <si>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</si>
  <si>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</si>
  <si>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</si>
  <si>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</si>
  <si>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</si>
  <si>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</si>
  <si>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</si>
  <si>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</si>
  <si>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</si>
  <si>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</si>
  <si>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</si>
  <si>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</si>
  <si>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</si>
  <si>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</si>
  <si>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</si>
  <si>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</si>
  <si>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</si>
  <si>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</si>
  <si>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</si>
  <si>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</si>
  <si>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</si>
  <si>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</si>
  <si>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</si>
  <si>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</si>
  <si>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</si>
  <si>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</si>
  <si>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</si>
  <si>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</si>
  <si>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</si>
  <si>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</si>
  <si>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</si>
  <si>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</si>
  <si>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</si>
  <si>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</si>
  <si>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</si>
  <si>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</si>
  <si>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</si>
  <si>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</si>
  <si>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</si>
  <si>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</si>
  <si>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</si>
  <si>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</si>
  <si>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</si>
  <si>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</si>
  <si>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</si>
  <si>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</si>
  <si>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</si>
  <si>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</si>
  <si>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</si>
  <si>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</si>
  <si>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</si>
  <si>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</si>
  <si>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</si>
  <si>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</si>
  <si>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</si>
  <si>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</si>
  <si>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</si>
  <si>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</si>
  <si>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</si>
  <si>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</si>
  <si>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</si>
  <si>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</si>
  <si>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</si>
  <si>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</si>
  <si>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</si>
  <si>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</si>
  <si>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</si>
  <si>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</si>
  <si>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</si>
  <si>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</si>
  <si>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</si>
  <si>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</si>
  <si>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</si>
  <si>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</si>
  <si>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</si>
  <si>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</si>
  <si>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</si>
  <si>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</si>
  <si>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</si>
  <si>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</si>
  <si>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</si>
  <si>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</si>
  <si>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</si>
  <si>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</si>
  <si>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</si>
  <si>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</si>
  <si>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</si>
  <si>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</si>
  <si>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</si>
  <si>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</si>
  <si>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</si>
  <si>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</si>
  <si>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</si>
  <si>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</si>
  <si>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</si>
  <si>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</si>
  <si>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</si>
  <si>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</si>
  <si>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</si>
  <si>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</si>
  <si>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</si>
  <si>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</si>
  <si>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</si>
  <si>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</si>
  <si>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</si>
  <si>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</si>
  <si>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</si>
  <si>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</si>
  <si>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</si>
  <si>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</si>
  <si>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</si>
  <si>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</si>
  <si>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</si>
  <si>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</si>
  <si>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</si>
  <si>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</si>
  <si>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</si>
  <si>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</si>
  <si>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</si>
  <si>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</si>
  <si>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</si>
  <si>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</si>
  <si>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</si>
  <si>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</si>
  <si>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</si>
  <si>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</si>
  <si>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</si>
  <si>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</si>
  <si>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</si>
  <si>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</si>
  <si>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</si>
  <si>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</si>
  <si>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</si>
  <si>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</si>
  <si>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</si>
  <si>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</si>
  <si>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</si>
  <si>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</si>
  <si>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</si>
  <si>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</si>
  <si>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</si>
  <si>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</si>
  <si>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</si>
  <si>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</si>
  <si>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</si>
  <si>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</si>
  <si>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</si>
  <si>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</si>
  <si>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</si>
  <si>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</si>
  <si>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</si>
  <si>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</si>
  <si>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</si>
  <si>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</si>
  <si>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</si>
  <si>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</si>
  <si>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</si>
  <si>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</si>
  <si>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</si>
  <si>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</si>
  <si>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</si>
  <si>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</si>
  <si>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</si>
  <si>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</si>
  <si>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</si>
  <si>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</si>
  <si>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</si>
  <si>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</si>
  <si>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</si>
  <si>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</si>
  <si>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</si>
  <si>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</si>
  <si>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</si>
  <si>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</si>
  <si>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</si>
  <si>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</si>
  <si>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</si>
  <si>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</si>
  <si>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</si>
  <si>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</si>
  <si>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</si>
  <si>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</si>
  <si>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</si>
  <si>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</si>
  <si>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</si>
  <si>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</si>
  <si>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</si>
  <si>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</si>
  <si>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</si>
  <si>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</si>
  <si>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</si>
  <si>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</si>
  <si>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</si>
  <si>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</si>
  <si>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</si>
  <si>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</si>
  <si>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</si>
  <si>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</si>
  <si>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</si>
  <si>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</si>
  <si>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</si>
  <si>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</si>
  <si>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</si>
  <si>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</si>
  <si>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</si>
  <si>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</si>
  <si>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</si>
  <si>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</si>
  <si>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</si>
  <si>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</si>
  <si>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</si>
  <si>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</si>
  <si>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</si>
  <si>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</si>
  <si>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</si>
  <si>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</si>
  <si>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</si>
  <si>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</si>
  <si>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</si>
  <si>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</si>
  <si>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</si>
  <si>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</si>
  <si>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</si>
  <si>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</si>
  <si>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</si>
  <si>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</si>
  <si>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</si>
  <si>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</si>
  <si>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</si>
  <si>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</si>
  <si>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</si>
  <si>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</si>
  <si>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</si>
  <si>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</si>
  <si>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</si>
  <si>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</si>
  <si>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</si>
  <si>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</si>
  <si>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</si>
  <si>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</si>
  <si>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</si>
  <si>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</si>
  <si>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</si>
  <si>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</si>
  <si>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</si>
  <si>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</si>
  <si>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</si>
  <si>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</si>
  <si>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</si>
  <si>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</si>
  <si>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</si>
  <si>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</si>
  <si>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</si>
  <si>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</si>
  <si>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</si>
  <si>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</si>
  <si>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</si>
  <si>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</si>
  <si>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</si>
  <si>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</si>
  <si>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</si>
  <si>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</si>
  <si>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</si>
  <si>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</si>
  <si>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</si>
  <si>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</si>
  <si>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</si>
  <si>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</si>
  <si>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</si>
  <si>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</si>
  <si>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</si>
  <si>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</si>
  <si>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</si>
  <si>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</si>
  <si>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</si>
  <si>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</si>
  <si>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</si>
  <si>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</si>
  <si>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</si>
  <si>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</si>
  <si>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</si>
  <si>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</si>
  <si>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</si>
  <si>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</si>
  <si>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</si>
  <si>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</si>
  <si>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</si>
  <si>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</si>
  <si>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</si>
  <si>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</si>
  <si>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</si>
  <si>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</si>
  <si>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</si>
  <si>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</si>
  <si>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</si>
  <si>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</si>
  <si>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</si>
  <si>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</si>
  <si>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</si>
  <si>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</si>
  <si>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</si>
  <si>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</si>
  <si>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</si>
  <si>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</si>
  <si>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</si>
  <si>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</si>
  <si>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</si>
  <si>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</si>
  <si>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</si>
  <si>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</si>
  <si>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</si>
  <si>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</si>
  <si>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</si>
  <si>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</si>
  <si>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</si>
  <si>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</si>
  <si>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</si>
  <si>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</si>
  <si>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</si>
  <si>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</si>
  <si>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</si>
  <si>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</si>
  <si>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</si>
  <si>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</si>
  <si>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</si>
  <si>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</si>
  <si>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</si>
  <si>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</si>
  <si>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</si>
  <si>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</si>
  <si>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</si>
  <si>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</si>
  <si>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</si>
  <si>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</si>
  <si>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</si>
  <si>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</si>
  <si>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</si>
  <si>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</si>
  <si>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</si>
  <si>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</si>
  <si>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</si>
  <si>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</si>
  <si>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</si>
  <si>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</si>
  <si>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</si>
  <si>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</si>
  <si>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</si>
  <si>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</si>
  <si>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</si>
  <si>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</si>
  <si>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</si>
  <si>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</si>
  <si>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</si>
  <si>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</si>
  <si>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</si>
  <si>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</si>
  <si>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</si>
  <si>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</si>
  <si>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</si>
  <si>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</si>
  <si>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</si>
  <si>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</si>
  <si>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</si>
  <si>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</si>
  <si>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</si>
  <si>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</si>
  <si>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</si>
  <si>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</si>
  <si>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</si>
  <si>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</si>
  <si>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</si>
  <si>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</si>
  <si>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</si>
  <si>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</si>
  <si>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</si>
  <si>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</si>
  <si>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</si>
  <si>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</si>
  <si>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</si>
  <si>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</si>
  <si>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</si>
  <si>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</si>
  <si>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</si>
  <si>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</si>
  <si>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</si>
  <si>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</si>
  <si>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</si>
  <si>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</si>
  <si>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</si>
  <si>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</si>
  <si>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</si>
  <si>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</si>
  <si>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</si>
  <si>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</si>
  <si>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</si>
  <si>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</si>
  <si>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</si>
  <si>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</si>
  <si>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</si>
  <si>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</si>
  <si>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</si>
  <si>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</si>
  <si>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</si>
  <si>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</si>
  <si>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</si>
  <si>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</si>
  <si>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</si>
  <si>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</si>
  <si>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</si>
  <si>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</si>
  <si>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</si>
  <si>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</si>
  <si>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</si>
  <si>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</si>
  <si>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</si>
  <si>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</si>
  <si>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</si>
  <si>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</si>
  <si>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</si>
  <si>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</si>
  <si>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</si>
  <si>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</si>
  <si>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</si>
  <si>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</si>
  <si>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</si>
  <si>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</si>
  <si>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</si>
  <si>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</si>
  <si>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</si>
  <si>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</si>
  <si>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</si>
  <si>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</si>
  <si>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</si>
  <si>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</si>
  <si>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</si>
  <si>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</si>
  <si>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</si>
  <si>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</si>
  <si>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</si>
  <si>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</si>
  <si>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</si>
  <si>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</si>
  <si>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</si>
  <si>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</si>
  <si>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</si>
  <si>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</si>
  <si>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</si>
  <si>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</si>
  <si>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</si>
  <si>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</si>
  <si>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</si>
  <si>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</si>
  <si>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</si>
  <si>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</si>
  <si>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</si>
  <si>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</si>
  <si>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</si>
  <si>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</si>
  <si>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</si>
  <si>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</si>
  <si>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</si>
  <si>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</si>
  <si>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</si>
  <si>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</si>
  <si>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</si>
  <si>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</si>
  <si>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</si>
  <si>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</si>
  <si>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</si>
  <si>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</si>
  <si>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</si>
  <si>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</si>
  <si>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</si>
  <si>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</si>
  <si>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</si>
  <si>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</si>
  <si>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</si>
  <si>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</si>
  <si>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</si>
  <si>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</si>
  <si>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</si>
  <si>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</si>
  <si>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</si>
  <si>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</si>
  <si>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</si>
  <si>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</si>
  <si>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</si>
  <si>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</si>
  <si>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</si>
  <si>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</si>
  <si>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</si>
  <si>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</si>
  <si>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</si>
  <si>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</si>
  <si>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</si>
  <si>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</si>
  <si>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</si>
  <si>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</si>
  <si>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</si>
  <si>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</si>
  <si>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</si>
  <si>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</si>
  <si>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</si>
  <si>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</si>
  <si>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</si>
  <si>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</si>
  <si>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</si>
  <si>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</si>
  <si>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</si>
  <si>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</si>
  <si>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</si>
  <si>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</si>
  <si>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</si>
  <si>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</si>
  <si>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</si>
  <si>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</si>
  <si>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</si>
  <si>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</si>
  <si>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</si>
  <si>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</si>
  <si>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</si>
  <si>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</si>
  <si>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</si>
  <si>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</si>
  <si>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</si>
  <si>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</si>
  <si>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</si>
  <si>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</si>
  <si>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</si>
  <si>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</si>
  <si>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</si>
  <si>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</si>
  <si>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</si>
  <si>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</si>
  <si>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</si>
  <si>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</si>
  <si>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</si>
  <si>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</si>
  <si>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</si>
  <si>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</si>
  <si>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</si>
  <si>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</si>
  <si>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</si>
  <si>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</si>
  <si>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</si>
  <si>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</si>
  <si>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</si>
  <si>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</si>
  <si>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</si>
  <si>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</si>
  <si>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</si>
  <si>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</si>
  <si>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</si>
  <si>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</si>
  <si>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</si>
  <si>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</si>
  <si>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</si>
  <si>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</si>
  <si>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</si>
  <si>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</si>
  <si>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</si>
  <si>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</si>
  <si>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</si>
  <si>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</si>
  <si>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</si>
  <si>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</si>
  <si>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</si>
  <si>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</si>
  <si>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</si>
  <si>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</si>
  <si>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</si>
  <si>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</si>
  <si>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</si>
  <si>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</si>
  <si>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</si>
  <si>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</si>
  <si>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</si>
  <si>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</si>
  <si>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</si>
  <si>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</si>
  <si>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</si>
  <si>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</si>
  <si>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</si>
  <si>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</si>
  <si>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</si>
  <si>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</si>
  <si>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</si>
  <si>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</si>
  <si>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</si>
  <si>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</si>
  <si>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</si>
  <si>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</si>
  <si>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</si>
  <si>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</si>
  <si>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</si>
  <si>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</si>
  <si>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</si>
  <si>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</si>
  <si>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</si>
  <si>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</si>
  <si>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</si>
  <si>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</si>
  <si>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</si>
  <si>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</si>
  <si>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</si>
  <si>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</si>
  <si>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</si>
  <si>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</si>
  <si>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</si>
  <si>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</si>
  <si>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</si>
  <si>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</si>
  <si>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</si>
  <si>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</si>
  <si>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</si>
  <si>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</si>
  <si>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</si>
  <si>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</si>
  <si>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</si>
  <si>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</si>
  <si>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</si>
  <si>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</si>
  <si>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</si>
  <si>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</si>
  <si>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</si>
  <si>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</si>
  <si>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</si>
  <si>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</si>
  <si>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</si>
  <si>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</si>
  <si>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</si>
  <si>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</si>
  <si>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</si>
  <si>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</si>
  <si>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</si>
  <si>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</si>
  <si>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</si>
  <si>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</si>
  <si>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</si>
  <si>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</si>
  <si>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</si>
  <si>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</si>
  <si>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</si>
  <si>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</si>
  <si>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</si>
  <si>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</si>
  <si>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</si>
  <si>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</si>
  <si>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</si>
  <si>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</si>
  <si>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</si>
  <si>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</si>
  <si>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</si>
  <si>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</si>
  <si>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</si>
  <si>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</si>
  <si>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</si>
  <si>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</si>
  <si>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</si>
  <si>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</si>
  <si>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</si>
  <si>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</si>
  <si>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</si>
  <si>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</si>
  <si>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</si>
  <si>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</si>
  <si>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</si>
  <si>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</si>
  <si>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</si>
  <si>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</si>
  <si>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</si>
  <si>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</si>
  <si>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</si>
  <si>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</si>
  <si>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</si>
  <si>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</si>
  <si>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</si>
  <si>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</si>
  <si>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</si>
  <si>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</si>
  <si>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</si>
  <si>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</si>
  <si>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</si>
  <si>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</si>
  <si>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</si>
  <si>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</si>
  <si>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</si>
  <si>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</si>
  <si>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</si>
  <si>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</si>
  <si>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</si>
  <si>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</si>
  <si>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</si>
  <si>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</si>
  <si>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</si>
  <si>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</si>
  <si>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</si>
  <si>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</si>
  <si>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</si>
  <si>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</si>
  <si>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</si>
  <si>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</si>
  <si>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</si>
  <si>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</si>
  <si>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</si>
  <si>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</si>
  <si>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</si>
  <si>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</si>
  <si>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</si>
  <si>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</si>
  <si>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</si>
  <si>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</si>
  <si>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</si>
  <si>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</si>
  <si>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</si>
  <si>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</si>
  <si>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</si>
  <si>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</si>
  <si>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</si>
  <si>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</si>
  <si>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</si>
  <si>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</si>
  <si>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</si>
  <si>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</si>
  <si>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</si>
  <si>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</si>
  <si>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</si>
  <si>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</si>
  <si>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</si>
  <si>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</si>
  <si>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</si>
  <si>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</si>
  <si>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</si>
  <si>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</si>
  <si>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</si>
  <si>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</si>
  <si>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</si>
  <si>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</si>
  <si>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</si>
  <si>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</si>
  <si>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</si>
  <si>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</si>
  <si>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</si>
  <si>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</si>
  <si>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</si>
  <si>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</si>
  <si>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</si>
  <si>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</si>
  <si>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</si>
  <si>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</si>
  <si>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</si>
  <si>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</si>
  <si>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</si>
  <si>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</si>
  <si>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</si>
  <si>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</si>
  <si>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</si>
  <si>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</si>
  <si>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</si>
  <si>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</si>
  <si>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</si>
  <si>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</si>
  <si>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</si>
  <si>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</si>
  <si>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</si>
  <si>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</si>
  <si>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</si>
  <si>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</si>
  <si>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</si>
  <si>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</si>
  <si>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</si>
  <si>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</si>
  <si>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</si>
  <si>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</si>
  <si>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</si>
  <si>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</si>
  <si>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</si>
  <si>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</si>
  <si>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</si>
  <si>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</si>
  <si>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</si>
  <si>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</si>
  <si>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</si>
  <si>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</si>
  <si>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</si>
  <si>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</si>
  <si>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</si>
  <si>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</si>
  <si>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</si>
  <si>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</si>
  <si>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</si>
  <si>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</si>
  <si>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</si>
  <si>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</si>
  <si>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</si>
  <si>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</si>
  <si>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</si>
  <si>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</si>
  <si>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</si>
  <si>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</si>
  <si>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</si>
  <si>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</si>
  <si>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</si>
  <si>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</si>
  <si>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</si>
  <si>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</si>
  <si>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</si>
  <si>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</si>
  <si>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</si>
  <si>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</si>
  <si>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</si>
  <si>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</si>
  <si>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</si>
  <si>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</si>
  <si>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</si>
  <si>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</si>
  <si>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</si>
  <si>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</si>
  <si>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</si>
  <si>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</si>
  <si>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</si>
  <si>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</si>
  <si>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</si>
  <si>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</si>
  <si>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</si>
  <si>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</si>
  <si>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</si>
  <si>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</si>
  <si>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</si>
  <si>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</si>
  <si>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</si>
  <si>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</si>
  <si>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</si>
  <si>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</si>
  <si>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</si>
  <si>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</si>
  <si>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其他：</t>
  </si>
  <si>
    <t>企业</t>
  </si>
  <si>
    <t>工业项目</t>
  </si>
  <si>
    <t>无</t>
  </si>
  <si>
    <t>否</t>
  </si>
  <si>
    <t>现房</t>
  </si>
  <si>
    <t>结构组合车间</t>
    <phoneticPr fontId="3" type="noConversion"/>
  </si>
  <si>
    <t>钣金车间</t>
    <phoneticPr fontId="3" type="noConversion"/>
  </si>
  <si>
    <t>生产车间</t>
    <phoneticPr fontId="3" type="noConversion"/>
  </si>
  <si>
    <t>办公楼</t>
    <phoneticPr fontId="3" type="noConversion"/>
  </si>
  <si>
    <t>是</t>
  </si>
  <si>
    <t>地上</t>
  </si>
  <si>
    <t>工业</t>
    <phoneticPr fontId="7" type="noConversion"/>
  </si>
  <si>
    <t>成新度</t>
  </si>
  <si>
    <t>成新度</t>
    <phoneticPr fontId="3" type="noConversion"/>
  </si>
  <si>
    <t>建安</t>
    <phoneticPr fontId="3" type="noConversion"/>
  </si>
  <si>
    <t>租金</t>
    <phoneticPr fontId="3" type="noConversion"/>
  </si>
  <si>
    <t>收益法</t>
  </si>
  <si>
    <t>押一</t>
  </si>
  <si>
    <t>钢</t>
  </si>
  <si>
    <t>生产用房</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</si>
  <si>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</si>
  <si>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</si>
  <si>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</si>
  <si>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</si>
  <si>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</si>
  <si>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</si>
  <si>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</si>
  <si>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</si>
  <si>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</si>
  <si>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</si>
  <si>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</si>
  <si>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</si>
  <si>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</si>
  <si>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</si>
  <si>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保证金截止时间</t>
  </si>
  <si>
    <t>成交总价(万元)</t>
  </si>
  <si>
    <t>成交土地单价(元/㎡)</t>
  </si>
  <si>
    <t>成交每亩价(万元/亩)</t>
  </si>
  <si>
    <t>成交楼面价(元/㎡)</t>
  </si>
  <si>
    <t>溢价率(%)</t>
  </si>
  <si>
    <t>燕郊高新区迎宾北路西侧、规划安临路北侧</t>
  </si>
  <si>
    <t>廊坊市</t>
  </si>
  <si>
    <t>YJ2024-009</t>
  </si>
  <si>
    <t>50年</t>
  </si>
  <si>
    <t>1.200&lt;并且≤2.000</t>
  </si>
  <si>
    <t>挂牌</t>
  </si>
  <si>
    <t/>
  </si>
  <si>
    <t>2024-04-10</t>
  </si>
  <si>
    <t>已成交</t>
  </si>
  <si>
    <t>长城重型机械制造有限公司</t>
  </si>
  <si>
    <t>2024-04-08 00:00</t>
  </si>
  <si>
    <t>燕郊高新区迎宾北路东侧、规划和业街南侧</t>
  </si>
  <si>
    <t>YJ2024-002</t>
  </si>
  <si>
    <t>2024-02-02</t>
  </si>
  <si>
    <t>京津冀协同创新园(三河)有限公司</t>
  </si>
  <si>
    <t>2024-01-31 00:00</t>
  </si>
  <si>
    <t>燕郊高新区迎宾北路东侧,规划和业街北侧</t>
  </si>
  <si>
    <t>YJ2024-001</t>
  </si>
  <si>
    <t>燕郊高新区博俊公司用地南侧、规划燕林路东侧</t>
  </si>
  <si>
    <t>YJ2023-021</t>
  </si>
  <si>
    <t>1.200&lt; 并且 ≤2.000</t>
  </si>
  <si>
    <t>2023-12-29</t>
  </si>
  <si>
    <t>河北博俊科技有限公司</t>
  </si>
  <si>
    <t>2023-12-27 00:00</t>
  </si>
  <si>
    <t>燕郊高新区鑫中昊公司用地南侧、规划燕林路西侧</t>
  </si>
  <si>
    <t>YJ2023-020</t>
  </si>
  <si>
    <t>河北鑫中昊科技股份有限公司</t>
  </si>
  <si>
    <t>燕郊高新区燕兴北路西侧、规划文溯街北侧</t>
  </si>
  <si>
    <t>YJ2023-019</t>
  </si>
  <si>
    <t>2023-12-22</t>
  </si>
  <si>
    <t>星仪传感器制造有限公司</t>
  </si>
  <si>
    <t>2023-12-20 00:00</t>
  </si>
  <si>
    <t>燕郊高新区留山大街北侧、福成北路西侧</t>
  </si>
  <si>
    <t>YJ2023-010</t>
  </si>
  <si>
    <t>2023-07-13</t>
  </si>
  <si>
    <t>2023-07-11 00:00</t>
  </si>
  <si>
    <t>YJ2023-009</t>
  </si>
  <si>
    <t>大于1.2并且小于或等于2</t>
  </si>
  <si>
    <t>2023-06-21</t>
  </si>
  <si>
    <t>2023-06-19 16:00</t>
  </si>
  <si>
    <t>燕郊高新区留山大街北侧、燕兴北路西侧</t>
  </si>
  <si>
    <t>YJ2023-006</t>
  </si>
  <si>
    <t>2023-05-31</t>
  </si>
  <si>
    <t>艾伊拓能源(河北)有限公司</t>
  </si>
  <si>
    <t>2023-05-29 16:00</t>
  </si>
  <si>
    <t>YJ2023-004</t>
  </si>
  <si>
    <t>大于或等于1.2并且小于或等于2</t>
  </si>
  <si>
    <t>2023-04-12</t>
  </si>
  <si>
    <t>三河市蓝思泰克科技推广有限公司</t>
  </si>
  <si>
    <t>2023-04-10 16:00</t>
  </si>
  <si>
    <t>燕郊高新区文景街南侧、福成北路西侧</t>
  </si>
  <si>
    <t>YJ2023-003</t>
  </si>
  <si>
    <t>有研稀土高技术有限公司</t>
  </si>
  <si>
    <t>燕郊高新区留山大街北侧、燕兴北路东侧</t>
  </si>
  <si>
    <t>YJ2023-002</t>
  </si>
  <si>
    <t>2023-03-30</t>
  </si>
  <si>
    <t>2023-03-28 16:00</t>
  </si>
  <si>
    <t>燕郊高新区规划金谷南街南侧、规划燕高北路东侧、规划燕德路西侧</t>
  </si>
  <si>
    <t>YJ2022-006</t>
  </si>
  <si>
    <t>2022-12-22</t>
  </si>
  <si>
    <t>三河市华夏恒泰电子技术有限公司</t>
  </si>
  <si>
    <t>2022-12-20 16:00</t>
  </si>
  <si>
    <t>齐心庄镇蒋谭线北侧、经四路东侧</t>
  </si>
  <si>
    <t>YJ2022-003</t>
  </si>
  <si>
    <t>大于或等于1.2</t>
  </si>
  <si>
    <t>2022-06-29</t>
  </si>
  <si>
    <t>三河伊蒂雅实业有限公司</t>
  </si>
  <si>
    <t>2022-06-27 16:00</t>
  </si>
  <si>
    <t>燕郊高新区规划金谷南街南侧、规划燕兴北路西侧</t>
  </si>
  <si>
    <t>YJ2021-009</t>
  </si>
  <si>
    <t>2022-01-20</t>
  </si>
  <si>
    <t>申江万国河北数据信息有限公司</t>
  </si>
  <si>
    <t>2022-01-18 16:00</t>
  </si>
  <si>
    <t>燕郊高新区规划金谷南街北侧、规划燕林路西侧</t>
  </si>
  <si>
    <t>YJ2021-012</t>
  </si>
  <si>
    <t>三河科达实业有限公司</t>
  </si>
  <si>
    <t>纬一道北侧、煤矿路东侧</t>
  </si>
  <si>
    <t>YJ2021-002</t>
  </si>
  <si>
    <t>大于或等于1</t>
  </si>
  <si>
    <t>2021-04-27</t>
  </si>
  <si>
    <t>三河星谊供应链管理有限公司</t>
  </si>
  <si>
    <t>2021-04-25 16:00</t>
  </si>
  <si>
    <t>纬一道北侧、经一路东侧</t>
  </si>
  <si>
    <t>YJ2021-003</t>
  </si>
  <si>
    <t>三河东谊实业发展有限公司</t>
  </si>
  <si>
    <t>燕郊高新区神威北大街北侧、黄栌路南侧、东四路西侧</t>
  </si>
  <si>
    <t>YJ2020-012</t>
  </si>
  <si>
    <t>大于1并且小于或等于2</t>
  </si>
  <si>
    <t>2020-10-21</t>
  </si>
  <si>
    <t>三河宏祥科技产业有限公司</t>
  </si>
  <si>
    <t>2020-10-19 16:00</t>
  </si>
  <si>
    <t>燕郊高新区园区大街北侧、福成路西侧</t>
  </si>
  <si>
    <t>YJ2020-011</t>
  </si>
  <si>
    <t>2020-10-19</t>
  </si>
  <si>
    <t>三河市吉盛科技有限公司</t>
  </si>
  <si>
    <t>2020-10-15 16:00</t>
  </si>
  <si>
    <t>留山大街南侧、孤山西路西侧</t>
  </si>
  <si>
    <t>YJ2020-008</t>
  </si>
  <si>
    <t>2020-07-08</t>
  </si>
  <si>
    <t>三河锦石科技发展有限公司</t>
  </si>
  <si>
    <t>2020-07-06 16:00</t>
  </si>
  <si>
    <t>园区大街北侧、幸福路东侧</t>
  </si>
  <si>
    <t>YJ2019-020</t>
  </si>
  <si>
    <t>2020-02-01</t>
  </si>
  <si>
    <t>2020-01-23 16:00</t>
  </si>
  <si>
    <t>留山大街北侧、技术路西侧</t>
  </si>
  <si>
    <t>YJ2019-009</t>
  </si>
  <si>
    <t>2019-11-08</t>
  </si>
  <si>
    <t>三河市闵泽食品有限公司</t>
  </si>
  <si>
    <t>2019-11-06 16:00</t>
  </si>
  <si>
    <t>创意谷街北侧、福成路东侧</t>
  </si>
  <si>
    <t>YJ2019-012</t>
  </si>
  <si>
    <t>春晖工业园三河有限公司</t>
  </si>
  <si>
    <t>神威北大街北侧、福成路东侧</t>
  </si>
  <si>
    <t>YJ2018-008</t>
  </si>
  <si>
    <t>2018-11-21</t>
  </si>
  <si>
    <t>规划路西侧</t>
  </si>
  <si>
    <t>YJG2016-001</t>
  </si>
  <si>
    <t>2016-12-21</t>
  </si>
  <si>
    <t>周海杭</t>
  </si>
  <si>
    <t>双营村地北侧</t>
  </si>
  <si>
    <t>YJG2016-002</t>
  </si>
  <si>
    <t>三河市春信科技有限公司</t>
  </si>
  <si>
    <t>高楼镇庄户村东北侧</t>
  </si>
  <si>
    <t>YJG2016-010</t>
  </si>
  <si>
    <t>三河市亚飞汽车连锁有限公司</t>
  </si>
  <si>
    <t>留山大街北侧、国科稀土公司东侧</t>
  </si>
  <si>
    <t>YJG2016-009</t>
  </si>
  <si>
    <t>北京有色金属研究总院</t>
  </si>
  <si>
    <t>北杨庄村东侧、金谷南街南侧</t>
  </si>
  <si>
    <t>YJG2015-001</t>
  </si>
  <si>
    <t>2015-07-15</t>
  </si>
  <si>
    <t>三河市潮河印业有限公司</t>
  </si>
  <si>
    <t>创意谷街南侧、精工园东侧</t>
  </si>
  <si>
    <t>YJG2015-003</t>
  </si>
  <si>
    <t>2015-07-02</t>
  </si>
  <si>
    <t>三河市岩峰高新技术产业园有限公司</t>
  </si>
  <si>
    <t>幸福路东侧、园区大街南侧</t>
  </si>
  <si>
    <t>YJG2015-002</t>
  </si>
  <si>
    <t>国科稀土新材料有限公司</t>
  </si>
  <si>
    <t>化大南街南侧、胖龙公司用地东侧</t>
  </si>
  <si>
    <t>YJG2014-003</t>
  </si>
  <si>
    <t>2014-05-21</t>
  </si>
  <si>
    <t>河北虎威新能源技术有限公司</t>
  </si>
  <si>
    <t>孤山南路北侧、幸福路东侧</t>
  </si>
  <si>
    <t>YJG2014-001</t>
  </si>
  <si>
    <t>2014-04-30</t>
  </si>
  <si>
    <t>孤山南路北侧、技术路东侧</t>
  </si>
  <si>
    <t>YJG2013-038</t>
  </si>
  <si>
    <t>大于0.8并且小于或等于2</t>
  </si>
  <si>
    <t>2013-12-25</t>
  </si>
  <si>
    <t>三河市隆瑞农副产品物流有限公司</t>
  </si>
  <si>
    <t>孤山南路南侧、东环北路东侧</t>
  </si>
  <si>
    <t>YJG2013-039</t>
  </si>
  <si>
    <t>孤山东路西侧、孤山南路北侧</t>
  </si>
  <si>
    <t>YJG2013-033</t>
  </si>
  <si>
    <t>2013-09-27</t>
  </si>
  <si>
    <t>三河市新宏昌专用车有限公司</t>
  </si>
  <si>
    <t>幸福路西侧、高新大街北侧</t>
  </si>
  <si>
    <t>YJG2013-031</t>
  </si>
  <si>
    <t>中兴住宅用地东侧、爱普一期用地南侧</t>
  </si>
  <si>
    <t>YJG2013-035</t>
  </si>
  <si>
    <t>爱普润成软件科技有限公司</t>
  </si>
  <si>
    <t>燕高北路东侧、高新大街北侧</t>
  </si>
  <si>
    <t>YJG2013-030</t>
  </si>
  <si>
    <t>三河市燕京矿山设备有限公司</t>
  </si>
  <si>
    <t>科技路西侧、高新大街北侧</t>
  </si>
  <si>
    <t>YJG2013-032</t>
  </si>
  <si>
    <t>南横五路南侧</t>
  </si>
  <si>
    <t>YJG2013-034</t>
  </si>
  <si>
    <t>三河市智尚计算机技术有限公司</t>
  </si>
  <si>
    <t>北三路南侧</t>
  </si>
  <si>
    <t>YJG2013-006</t>
  </si>
  <si>
    <t>2013-03-20</t>
  </si>
  <si>
    <t>三河市福泰来门窗有限公司</t>
  </si>
  <si>
    <t>YJG2013-005</t>
  </si>
  <si>
    <t>三河市明东工程机械租赁有限公司</t>
  </si>
  <si>
    <t>北外环路北侧、汉王路西侧</t>
  </si>
  <si>
    <t>YJG2012-012</t>
  </si>
  <si>
    <t>2012-10-12</t>
  </si>
  <si>
    <t>河北灵图软件技术有限公司</t>
  </si>
  <si>
    <t>北外环路北侧</t>
  </si>
  <si>
    <t>YJG2012-013</t>
  </si>
  <si>
    <t>三河市诚润达数字技术有限公司</t>
  </si>
  <si>
    <t>燕灵南路东侧、南横一路北侧</t>
  </si>
  <si>
    <t>YJG2012-009</t>
  </si>
  <si>
    <t>三河市兴达投资有限公司</t>
  </si>
  <si>
    <t>思菩兰西路东侧、南横一路北侧</t>
  </si>
  <si>
    <t>YJG2012-007</t>
  </si>
  <si>
    <t>孤山南路北侧、东环北路西侧</t>
  </si>
  <si>
    <t>YJG2012-018</t>
  </si>
  <si>
    <t>北外环路南侧、中兴住宅用地东侧</t>
  </si>
  <si>
    <t>YJG2012-006</t>
  </si>
  <si>
    <t>工业</t>
    <phoneticPr fontId="32" type="noConversion"/>
  </si>
  <si>
    <t>较好</t>
  </si>
  <si>
    <t>一般</t>
  </si>
  <si>
    <t>七通</t>
  </si>
  <si>
    <t>一般</t>
    <phoneticPr fontId="32" type="noConversion"/>
  </si>
  <si>
    <t>楼面地价</t>
  </si>
  <si>
    <t>未包含在土地购买价格中</t>
  </si>
  <si>
    <t>全部缴纳</t>
  </si>
  <si>
    <t>已包含在土地取得成本中</t>
  </si>
  <si>
    <t>成本法</t>
  </si>
  <si>
    <t>楼面单价</t>
  </si>
  <si>
    <t>总价</t>
  </si>
  <si>
    <t>成本比率</t>
  </si>
  <si>
    <t>万元</t>
  </si>
  <si>
    <t>地面单价</t>
  </si>
  <si>
    <r>
      <t>2021</t>
    </r>
    <r>
      <rPr>
        <sz val="10"/>
        <color indexed="8"/>
        <rFont val="宋体"/>
        <family val="3"/>
        <charset val="134"/>
      </rPr>
      <t>年评估结果</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</si>
</sst>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估价对象为房地产，为所有。根据《国有土地使用证》[]，估价对象（分摊）出让国有建设用地使用权面积为24593平方米，建筑面积为29587.64平方米。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估价对象为房地产,属开发建设的工业项目，该项目尚在开发建设中。根据《国有土地使用证》[]，估价对象（分摊）出让国有建设用地使用权面积为24593平方米，规划建筑面积为29587.64平方米。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2025年10月11日（评估专业人员实地查勘之日）</v>
      </c>
    </row>
    <row r="13" spans="1:2" s="1202" customFormat="1">
      <c r="A13" s="1200" t="s">
        <v>529</v>
      </c>
      <c r="B13" s="1201" t="str">
        <f>'预评函-1'!A18</f>
        <v>本次估价的“房地产价值”是指在正常市场情况下，在价值时点2025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10368</v>
      </c>
    </row>
    <row r="21" spans="1:2" s="1202" customFormat="1">
      <c r="A21" s="1200" t="s">
        <v>537</v>
      </c>
      <c r="B21" s="1201">
        <f ca="1">'预评函-2'!D7</f>
        <v>3504</v>
      </c>
    </row>
    <row r="22" spans="1:2" s="1202" customFormat="1">
      <c r="A22" s="1200" t="s">
        <v>538</v>
      </c>
      <c r="B22" s="1201" t="str">
        <f ca="1">'预评函-2'!D6</f>
        <v>壹亿零叁佰陆拾捌万元整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10368</v>
      </c>
    </row>
    <row r="31" spans="1:2" s="1202" customFormat="1">
      <c r="A31" s="1200" t="s">
        <v>576</v>
      </c>
      <c r="B31" s="1201">
        <f ca="1">'预评函-2'!D15</f>
        <v>3504</v>
      </c>
    </row>
    <row r="32" spans="1:2" s="1202" customFormat="1">
      <c r="A32" s="1200" t="s">
        <v>543</v>
      </c>
      <c r="B32" s="1201" t="str">
        <f ca="1">'预评函-2'!D14</f>
        <v>壹亿零叁佰陆拾捌万元整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29587.64</v>
      </c>
    </row>
    <row r="44" spans="1:2" s="1202" customFormat="1">
      <c r="A44" s="1200" t="s">
        <v>575</v>
      </c>
      <c r="B44" s="1201" t="str">
        <f>'预评函-3'!C2</f>
        <v>(分摊)土地面积</v>
      </c>
    </row>
    <row r="45" spans="1:2" s="1202" customFormat="1">
      <c r="A45" s="1200" t="s">
        <v>547</v>
      </c>
      <c r="B45" s="1201">
        <f>'预评函-3'!C4</f>
        <v>24593</v>
      </c>
    </row>
    <row r="46" spans="1:2" s="1202" customFormat="1">
      <c r="A46" s="1200" t="s">
        <v>573</v>
      </c>
      <c r="B46" s="1201" t="str">
        <f>'预评函-3'!D2</f>
        <v>出让国有建设用地使用权价值</v>
      </c>
    </row>
    <row r="47" spans="1:2" s="1202" customFormat="1">
      <c r="A47" s="1200" t="s">
        <v>548</v>
      </c>
      <c r="B47" s="1201">
        <f ca="1">'预评函-3'!D4</f>
        <v>2405</v>
      </c>
    </row>
    <row r="48" spans="1:2" s="1202" customFormat="1">
      <c r="A48" s="1200" t="s">
        <v>549</v>
      </c>
      <c r="B48" s="1201">
        <f ca="1">'预评函-3'!E4</f>
        <v>813</v>
      </c>
    </row>
    <row r="49" spans="1:2" s="1202" customFormat="1">
      <c r="A49" s="1200" t="s">
        <v>550</v>
      </c>
      <c r="B49" s="1201" t="str">
        <f ca="1">'预评函-3'!D5</f>
        <v>贰仟肆佰零伍万元整</v>
      </c>
    </row>
    <row r="50" spans="1:2" s="1202" customFormat="1">
      <c r="A50" s="1200" t="s">
        <v>574</v>
      </c>
      <c r="B50" s="1201" t="str">
        <f>'预评函-3'!F2</f>
        <v>在建建筑物价值</v>
      </c>
    </row>
    <row r="51" spans="1:2" s="1202" customFormat="1">
      <c r="A51" s="1200" t="s">
        <v>551</v>
      </c>
      <c r="B51" s="1201">
        <f ca="1">'预评函-3'!F4</f>
        <v>7963</v>
      </c>
    </row>
    <row r="52" spans="1:2" s="1202" customFormat="1">
      <c r="A52" s="1200" t="s">
        <v>552</v>
      </c>
      <c r="B52" s="1201">
        <f ca="1">'预评函-3'!G4</f>
        <v>2691</v>
      </c>
    </row>
    <row r="53" spans="1:2" s="1202" customFormat="1">
      <c r="A53" s="1200" t="s">
        <v>580</v>
      </c>
      <c r="B53" s="1201" t="str">
        <f ca="1">'预评函-3'!F5</f>
        <v>柒仟玖佰陆拾叁万元整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3404</v>
      </c>
      <c r="AA1" s="1541" t="s">
        <v>3403</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3411</v>
      </c>
      <c r="Z2" s="1550" t="s">
        <v>2451</v>
      </c>
      <c r="AA2" s="1550" t="s">
        <v>3412</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3413</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3414</v>
      </c>
      <c r="Z8" s="1550" t="s">
        <v>2463</v>
      </c>
      <c r="AB8" s="1550" t="s">
        <v>2489</v>
      </c>
    </row>
    <row r="9" spans="1:28">
      <c r="A9" s="1545" t="s">
        <v>1029</v>
      </c>
      <c r="B9" s="1545" t="s">
        <v>1030</v>
      </c>
      <c r="C9" s="1546" t="s">
        <v>320</v>
      </c>
      <c r="F9" s="1547" t="s">
        <v>1031</v>
      </c>
      <c r="H9" s="1547"/>
      <c r="I9" s="1550" t="s">
        <v>3341</v>
      </c>
      <c r="X9" s="1550" t="s">
        <v>3415</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3" t="s">
        <v>385</v>
      </c>
      <c r="C54" s="1550" t="s">
        <v>583</v>
      </c>
    </row>
    <row r="55" spans="1:4">
      <c r="A55" s="3517"/>
      <c r="B55" s="1553" t="s">
        <v>386</v>
      </c>
      <c r="C55" s="1550" t="s">
        <v>584</v>
      </c>
    </row>
    <row r="56" spans="1:4">
      <c r="A56" s="3517"/>
      <c r="B56" s="1553" t="s">
        <v>387</v>
      </c>
      <c r="C56" s="1550" t="s">
        <v>588</v>
      </c>
    </row>
    <row r="57" spans="1:4">
      <c r="A57" s="351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18" t="s">
        <v>2579</v>
      </c>
      <c r="J2" s="3518"/>
      <c r="K2" s="3518"/>
      <c r="L2" s="3518"/>
      <c r="M2" s="3518"/>
      <c r="N2" s="3518"/>
      <c r="O2" s="3518"/>
      <c r="P2" s="3518"/>
      <c r="Q2" s="3518"/>
      <c r="R2" s="3518"/>
    </row>
    <row r="3" spans="1:18">
      <c r="A3" s="3019" t="s">
        <v>2500</v>
      </c>
      <c r="B3" s="3020">
        <f>项目基本情况!D3</f>
        <v>45941</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1.18</v>
      </c>
      <c r="D5" s="3024">
        <f>IF(ISERROR(ROUND(POWER(1+E5,A5-C5)*(POWER(1+E5,C5)-1)/(POWER(1+E5,A5)-1),3)),0,ROUND(POWER(1+E5,A5-C5)*(POWER(1+E5,C5)-1)/(POWER(1+E5,A5)-1),4))</f>
        <v>5.7099999999999998E-2</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11.19</v>
      </c>
      <c r="D6" s="3024">
        <f>IF(ISERROR(ROUND(POWER(1+E6,A6-C6)*(POWER(1+E6,C6)-1)/(POWER(1+E6,A6)-1),3)),0,ROUND(POWER(1+E6,A6-C6)*(POWER(1+E6,C6)-1)/(POWER(1+E6,A6)-1),4))</f>
        <v>0.41339999999999999</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31.21</v>
      </c>
      <c r="D7" s="3024">
        <f>IF(ISERROR(ROUND(POWER(1+E7,A7-C7)*(POWER(1+E7,C7)-1)/(POWER(1+E7,A7)-1),3)),0,ROUND(POWER(1+E7,A7-C7)*(POWER(1+E7,C7)-1)/(POWER(1+E7,A7)-1),4))</f>
        <v>0.75439999999999996</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70</v>
      </c>
      <c r="C11" s="3022" t="s">
        <v>2509</v>
      </c>
      <c r="D11" s="3028">
        <v>4.4999999999999998E-2</v>
      </c>
      <c r="E11" s="3022" t="s">
        <v>2510</v>
      </c>
      <c r="F11" s="3029">
        <f>ROUND(1-(1/(POWER(1+D11,B11))),4)</f>
        <v>0.95409999999999995</v>
      </c>
    </row>
    <row r="12" spans="1:18">
      <c r="A12" s="3019" t="s">
        <v>2511</v>
      </c>
      <c r="B12" s="3027">
        <v>40</v>
      </c>
      <c r="C12" s="3022" t="s">
        <v>2512</v>
      </c>
      <c r="D12" s="3028">
        <v>4.4999999999999998E-2</v>
      </c>
      <c r="E12" s="3022" t="s">
        <v>2513</v>
      </c>
      <c r="F12" s="3029">
        <f>ROUND(1-(1/(POWER(1+D12,B12))),4)</f>
        <v>0.82809999999999995</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4339.6899999999996</v>
      </c>
      <c r="C15" s="3022">
        <f>ROUND(F12/F11,4)</f>
        <v>0.8679</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5541.87</v>
      </c>
      <c r="C18" s="3031">
        <f>ROUND(F11/F12,4)</f>
        <v>1.1521999999999999</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3384</v>
      </c>
    </row>
    <row r="50" spans="1:4">
      <c r="A50" s="3448" t="s">
        <v>3385</v>
      </c>
      <c r="B50" s="3448" t="s">
        <v>3386</v>
      </c>
      <c r="C50" s="3448" t="s">
        <v>3387</v>
      </c>
      <c r="D50" s="3448" t="s">
        <v>3388</v>
      </c>
    </row>
    <row r="51" spans="1:4">
      <c r="A51" s="3448" t="s">
        <v>3389</v>
      </c>
      <c r="B51" s="3021">
        <f>B52+B53</f>
        <v>15000</v>
      </c>
      <c r="C51" s="3449">
        <f>D51/B51</f>
        <v>2666.6666666666665</v>
      </c>
      <c r="D51" s="3021">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1">
        <f>B51</f>
        <v>15000</v>
      </c>
      <c r="C54" s="3028">
        <v>700</v>
      </c>
      <c r="D54" s="3021">
        <f t="shared" ref="D54:D55" si="5">C54*B54</f>
        <v>10500000</v>
      </c>
    </row>
    <row r="55" spans="1:4">
      <c r="A55" s="3448" t="s">
        <v>3393</v>
      </c>
      <c r="B55" s="3021">
        <f>B51</f>
        <v>15000</v>
      </c>
      <c r="C55" s="3028">
        <v>1500</v>
      </c>
      <c r="D55" s="3021">
        <f t="shared" si="5"/>
        <v>22500000</v>
      </c>
    </row>
    <row r="56" spans="1:4">
      <c r="A56" s="3448" t="s">
        <v>3394</v>
      </c>
      <c r="B56" s="3021">
        <f>B51</f>
        <v>15000</v>
      </c>
      <c r="C56" s="3453">
        <f>C51+C54+C55</f>
        <v>4866.6666666666661</v>
      </c>
      <c r="D56" s="3021">
        <f>D51+D54+D55</f>
        <v>73000000</v>
      </c>
    </row>
    <row r="58" spans="1:4">
      <c r="A58" s="3448" t="s">
        <v>3395</v>
      </c>
      <c r="B58" s="3454">
        <v>0.05</v>
      </c>
      <c r="C58" s="3021">
        <f>C56*(1+B58)</f>
        <v>5110</v>
      </c>
      <c r="D58" s="3021">
        <f>D56*B58</f>
        <v>3650000</v>
      </c>
    </row>
    <row r="60" spans="1:4">
      <c r="A60" s="3448" t="s">
        <v>3396</v>
      </c>
      <c r="B60" s="3028">
        <v>3500</v>
      </c>
      <c r="C60" s="3028">
        <f>C53</f>
        <v>5000</v>
      </c>
      <c r="D60" s="3021">
        <f>C60*B60</f>
        <v>17500000</v>
      </c>
    </row>
    <row r="62" spans="1:4">
      <c r="A62" s="3448" t="s">
        <v>3397</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1" sqref="B3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9" t="str">
        <f>IF(B10="北京市","北京市",C10)&amp;F10&amp;IF(结果表!G1="在建","出让国有建设用地使用权及在建建筑物",IF(结果表!G1="土地","出让国有建设用地使用权",))&amp;B9&amp;"预评估"</f>
        <v>房地产抵押价值预评估</v>
      </c>
      <c r="C1" s="3520"/>
      <c r="D1" s="3520"/>
      <c r="E1" s="3520"/>
      <c r="F1" s="3520"/>
      <c r="G1" s="3520"/>
      <c r="H1" s="3520"/>
      <c r="I1" s="352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2169</v>
      </c>
      <c r="B3" s="2372">
        <v>45941</v>
      </c>
      <c r="C3" s="2373" t="s">
        <v>2170</v>
      </c>
      <c r="D3" s="2372">
        <f>B3</f>
        <v>45941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22"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23"/>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4"/>
    </row>
    <row r="13" spans="1:30">
      <c r="A13" s="3422" t="s">
        <v>3329</v>
      </c>
      <c r="B13" s="2406" t="s">
        <v>2189</v>
      </c>
      <c r="C13" s="856"/>
      <c r="D13" s="856"/>
      <c r="E13" s="856"/>
      <c r="F13" s="856"/>
      <c r="G13" s="856"/>
      <c r="H13" s="856">
        <v>57963</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32.93</v>
      </c>
      <c r="I15" s="2409" t="str">
        <f>IF(A13="出让",IF(I13="","",ROUNDDOWN(MIN((I13-$D$3)/365,I14),2)),I14)</f>
        <v/>
      </c>
      <c r="J15" s="3063"/>
      <c r="K15" s="2450"/>
      <c r="L15" s="2450"/>
      <c r="M15" s="2508"/>
      <c r="N15" s="2450"/>
      <c r="O15" s="2508"/>
      <c r="P15" s="2438"/>
      <c r="Q15" s="2438"/>
      <c r="AD15" s="1744"/>
    </row>
    <row r="16" spans="1:30">
      <c r="A16" s="2399" t="s">
        <v>2192</v>
      </c>
      <c r="B16" s="3529"/>
      <c r="C16" s="3530"/>
      <c r="D16" s="3531"/>
      <c r="E16" s="2412" t="s">
        <v>2193</v>
      </c>
      <c r="F16" s="3532"/>
      <c r="G16" s="3533"/>
      <c r="H16" s="3533"/>
      <c r="I16" s="3534"/>
      <c r="J16" s="2438"/>
      <c r="K16" s="2616"/>
      <c r="L16" s="2450"/>
      <c r="M16" s="2450"/>
      <c r="N16" s="2508"/>
      <c r="O16" s="2450"/>
      <c r="P16" s="2508"/>
      <c r="Q16" s="2438"/>
      <c r="R16" s="2438"/>
    </row>
    <row r="17" spans="1:28">
      <c r="A17" s="313" t="s">
        <v>2194</v>
      </c>
      <c r="B17" s="302" t="s">
        <v>2195</v>
      </c>
      <c r="C17" s="8">
        <f>'数据-汇总表'!E3</f>
        <v>29587.64</v>
      </c>
      <c r="D17" s="2321" t="s">
        <v>2196</v>
      </c>
      <c r="E17" s="3535" t="s">
        <v>2197</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24593</v>
      </c>
      <c r="D18" s="1092" t="s">
        <v>2200</v>
      </c>
      <c r="E18" s="3538" t="s">
        <v>2201</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5" t="s">
        <v>2205</v>
      </c>
      <c r="C20" s="3526"/>
      <c r="D20" s="3527" t="s">
        <v>2206</v>
      </c>
      <c r="E20" s="3528"/>
      <c r="F20" s="2646" t="s">
        <v>1056</v>
      </c>
      <c r="G20" s="2663"/>
      <c r="H20" s="2663"/>
      <c r="I20" s="2663"/>
      <c r="J20" s="2438"/>
      <c r="K20" s="352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2" t="s">
        <v>2213</v>
      </c>
      <c r="B27" s="320" t="s">
        <v>2214</v>
      </c>
      <c r="C27" s="2415" t="s">
        <v>3420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2"/>
      <c r="B28" s="302" t="s">
        <v>2215</v>
      </c>
      <c r="C28" s="2417" t="s">
        <v>3421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2"/>
      <c r="B29" s="302" t="s">
        <v>2216</v>
      </c>
      <c r="C29" s="2419" t="s">
        <v>3422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3"/>
      <c r="B30" s="302" t="s">
        <v>2217</v>
      </c>
      <c r="C30" s="3544"/>
      <c r="D30" s="3545"/>
      <c r="E30" s="2663"/>
      <c r="F30" s="2663"/>
      <c r="G30" s="2663"/>
      <c r="H30" s="2663"/>
      <c r="I30" s="2663"/>
      <c r="J30" s="2438"/>
      <c r="K30" s="2615"/>
      <c r="L30" s="2612"/>
      <c r="M30" s="2612"/>
      <c r="N30" s="2438"/>
      <c r="O30" s="2449"/>
      <c r="P30" s="2438"/>
      <c r="Q30" s="2438"/>
      <c r="R30" s="2438"/>
      <c r="S30" s="2438"/>
      <c r="T30" s="2438"/>
      <c r="U30" s="2438"/>
      <c r="V30" s="2438"/>
    </row>
    <row r="31" spans="1:28">
      <c r="A31" s="3546" t="s">
        <v>2218</v>
      </c>
      <c r="B31" s="2421" t="s">
        <v>3423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41" t="s">
        <v>2227</v>
      </c>
      <c r="T34" s="2427" t="str">
        <f>NUMBERSTRING(7-K34,1)&amp;"通"</f>
        <v>七通</v>
      </c>
      <c r="U34" s="2438"/>
      <c r="V34" s="2438"/>
    </row>
    <row r="35" spans="1:30">
      <c r="A35" s="2428"/>
      <c r="B35" s="3548" t="s">
        <v>2228</v>
      </c>
      <c r="C35" s="3548"/>
      <c r="D35" s="3548"/>
      <c r="E35" s="354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24593</v>
      </c>
      <c r="B3" s="11">
        <f>IF(C3="否",G5-AT5,G5)</f>
        <v>29587.64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29587.64</v>
      </c>
      <c r="H5" s="13">
        <f t="shared" ref="H5:AT5" si="0">SUM(H13:H656)</f>
        <v>29587.64</v>
      </c>
      <c r="I5" s="13">
        <f t="shared" si="0"/>
        <v>24933.45</v>
      </c>
      <c r="J5" s="13">
        <f t="shared" si="0"/>
        <v>0</v>
      </c>
      <c r="K5" s="13">
        <f t="shared" si="0"/>
        <v>4654.1899999999996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29587.64</v>
      </c>
      <c r="BA5" s="15">
        <f t="shared" si="1"/>
        <v>29587.64</v>
      </c>
      <c r="BB5" s="15">
        <f t="shared" si="1"/>
        <v>24933.45</v>
      </c>
      <c r="BC5" s="15">
        <f t="shared" si="1"/>
        <v>4654.1899999999996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24593</v>
      </c>
      <c r="F6" s="13" t="s">
        <v>0</v>
      </c>
      <c r="G6" s="13" t="s">
        <v>1</v>
      </c>
      <c r="H6" s="17">
        <f>SUMIF(I$12:AB$12,"总值",I6:AB6)</f>
        <v>24593</v>
      </c>
      <c r="I6" s="13">
        <f t="shared" ref="I6:AB6" si="2">ROUND($A$3*I5/$B$3,2)</f>
        <v>20724.48</v>
      </c>
      <c r="J6" s="13">
        <f t="shared" si="2"/>
        <v>0</v>
      </c>
      <c r="K6" s="13">
        <f t="shared" si="2"/>
        <v>3868.52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24593</v>
      </c>
      <c r="AZ6" s="13" t="s">
        <v>2</v>
      </c>
      <c r="BA6" s="13">
        <f>ROUND($AY$6*BA5/$AZ$5,2)</f>
        <v>24593</v>
      </c>
      <c r="BB6" s="13">
        <f>ROUND($AY$6*BB5/$AZ$5,2)</f>
        <v>20724.48</v>
      </c>
      <c r="BC6" s="13">
        <f t="shared" ref="BC6:BH6" si="4">ROUND($AY$6*BC5/$AZ$5,2)</f>
        <v>3868.52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3429</v>
      </c>
      <c r="J9" s="809"/>
      <c r="K9" s="1602" t="s">
        <v>3429</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21</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办公</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1"/>
      <c r="B13" s="1051"/>
      <c r="C13" s="3818" t="s">
        <v>3424</v>
      </c>
      <c r="D13" s="1624" t="s">
        <v>3428</v>
      </c>
      <c r="E13" s="13">
        <f>IF($C$3="是",ROUND($A$3*G13/$B$3,2),ROUND($A$3*(G13-AT13)/$B$3,2))</f>
        <v>2083.2199999999998</v>
      </c>
      <c r="F13" s="29"/>
      <c r="G13" s="30">
        <f>H13+AC13+AT13</f>
        <v>2506.31</v>
      </c>
      <c r="H13" s="17">
        <f>SUMIF(I$12:AB$12,"总值",I13:AB13)</f>
        <v>2506.31</v>
      </c>
      <c r="I13" s="1625">
        <v>2506.31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结构组合车间</v>
      </c>
      <c r="AY13" s="1348">
        <f>ROUND($AY$6*AZ13/$AZ$5,2)</f>
        <v>2083.2199999999998</v>
      </c>
      <c r="AZ13" s="13">
        <f>BA13+BL13</f>
        <v>2506.31</v>
      </c>
      <c r="BA13" s="13">
        <f>SUM(BB13:BK13)</f>
        <v>2506.31</v>
      </c>
      <c r="BB13" s="13">
        <f>IF($D13="是",I13-J13,0)</f>
        <v>2506.31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819" t="s">
        <v>3425</v>
      </c>
      <c r="D14" s="1624" t="s">
        <v>3428</v>
      </c>
      <c r="E14" s="13">
        <f>IF($C$3="是",ROUND($A$3*G14/$B$3,2),ROUND($A$3*(G14-AT14)/$B$3,2))</f>
        <v>5744.83</v>
      </c>
      <c r="F14" s="29"/>
      <c r="G14" s="30">
        <f>H14+AC14+AT14</f>
        <v>6911.56</v>
      </c>
      <c r="H14" s="17">
        <f>SUMIF(I$12:AB$12,"总值",I14:AB14)</f>
        <v>6911.56</v>
      </c>
      <c r="I14" s="1625">
        <v>6911.56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钣金车间</v>
      </c>
      <c r="AY14" s="1348">
        <f>ROUND($AY$6*AZ14/$AZ$5,2)</f>
        <v>5744.83</v>
      </c>
      <c r="AZ14" s="13">
        <f>BA14+BL14</f>
        <v>6911.56</v>
      </c>
      <c r="BA14" s="13">
        <f>SUM(BB14:BK14)</f>
        <v>6911.56</v>
      </c>
      <c r="BB14" s="13">
        <f>IF($D14="是",I14-J14,0)</f>
        <v>6911.56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3819" t="s">
        <v>3426</v>
      </c>
      <c r="D15" s="1624" t="s">
        <v>3428</v>
      </c>
      <c r="E15" s="13">
        <f>IF($C$3="是",ROUND($A$3*G15/$B$3,2),ROUND($A$3*(G15-AT15)/$B$3,2))</f>
        <v>12896.42</v>
      </c>
      <c r="F15" s="29"/>
      <c r="G15" s="30">
        <f>H15+AC15+AT15</f>
        <v>15515.58</v>
      </c>
      <c r="H15" s="17">
        <f>SUMIF(I$12:AB$12,"总值",I15:AB15)</f>
        <v>15515.58</v>
      </c>
      <c r="I15" s="1625">
        <v>15515.58</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生产车间</v>
      </c>
      <c r="AY15" s="1348">
        <f>ROUND($AY$6*AZ15/$AZ$5,2)</f>
        <v>12896.42</v>
      </c>
      <c r="AZ15" s="13">
        <f>BA15+BL15</f>
        <v>15515.58</v>
      </c>
      <c r="BA15" s="13">
        <f>SUM(BB15:BK15)</f>
        <v>15515.58</v>
      </c>
      <c r="BB15" s="13">
        <f>IF($D15="是",I15-J15,0)</f>
        <v>15515.58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3819" t="s">
        <v>3427</v>
      </c>
      <c r="D16" s="1624" t="s">
        <v>3428</v>
      </c>
      <c r="E16" s="13">
        <f>IF($C$3="是",ROUND($A$3*G16/$B$3,2),ROUND($A$3*(G16-AT16)/$B$3,2))</f>
        <v>3868.52</v>
      </c>
      <c r="F16" s="29"/>
      <c r="G16" s="30">
        <f>H16+AC16+AT16</f>
        <v>4654.1899999999996</v>
      </c>
      <c r="H16" s="17">
        <f>SUMIF(I$12:AB$12,"总值",I16:AB16)</f>
        <v>4654.1899999999996</v>
      </c>
      <c r="I16" s="1625"/>
      <c r="J16" s="1625"/>
      <c r="K16" s="1625">
        <v>4654.1899999999996</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办公楼</v>
      </c>
      <c r="AY16" s="1348">
        <f>ROUND($AY$6*AZ16/$AZ$5,2)</f>
        <v>3868.52</v>
      </c>
      <c r="AZ16" s="13">
        <f>BA16+BL16</f>
        <v>4654.1899999999996</v>
      </c>
      <c r="BA16" s="13">
        <f>SUM(BB16:BK16)</f>
        <v>4654.1899999999996</v>
      </c>
      <c r="BB16" s="13">
        <f>IF($D16="是",I16-J16,0)</f>
        <v>0</v>
      </c>
      <c r="BC16" s="13">
        <f>IF($D16="是",K16-L16,0)</f>
        <v>4654.1899999999996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8" t="s">
        <v>1108</v>
      </c>
      <c r="F2" s="2658"/>
      <c r="G2" s="2649"/>
      <c r="H2" s="2650"/>
      <c r="I2" s="2324" t="s">
        <v>1132</v>
      </c>
      <c r="J2" s="2658"/>
      <c r="K2" s="2658"/>
      <c r="L2" s="2658"/>
      <c r="M2" s="2658"/>
      <c r="N2" s="2660"/>
      <c r="O2" s="2658"/>
      <c r="P2" s="2658"/>
    </row>
    <row r="3" spans="1:16" ht="15.75" thickBot="1">
      <c r="A3" s="3559" t="s">
        <v>1105</v>
      </c>
      <c r="B3" s="3559"/>
      <c r="C3" s="3559"/>
      <c r="D3" s="43">
        <f>'数据-基础表'!AY6</f>
        <v>24593</v>
      </c>
      <c r="E3" s="43">
        <f>'数据-基础表'!AZ5</f>
        <v>29587.64</v>
      </c>
      <c r="F3" s="2658"/>
      <c r="G3" s="1145"/>
      <c r="H3" s="1026" t="s">
        <v>1106</v>
      </c>
      <c r="I3" s="855">
        <f>ROUND('数据-基础表'!B3/'数据-基础表'!A3,2)</f>
        <v>1.2</v>
      </c>
      <c r="J3" s="2658"/>
      <c r="K3" s="2658"/>
      <c r="L3" s="2658"/>
      <c r="M3" s="2658"/>
      <c r="N3" s="2660"/>
      <c r="O3" s="2658"/>
      <c r="P3" s="2658"/>
    </row>
    <row r="4" spans="1:16" ht="15">
      <c r="A4" s="3560"/>
      <c r="B4" s="3561"/>
      <c r="C4" s="3562"/>
      <c r="D4" s="1640" t="s">
        <v>1107</v>
      </c>
      <c r="E4" s="1641" t="s">
        <v>1108</v>
      </c>
      <c r="F4" s="2658"/>
      <c r="G4" s="2651" t="s">
        <v>1133</v>
      </c>
      <c r="H4" s="1026" t="s">
        <v>1113</v>
      </c>
      <c r="I4" s="855">
        <f>ROUND(SUMIF('数据-基础表'!I9:AS9,"地上",'数据-基础表'!I5:AS5)/'数据-基础表'!A3,2)</f>
        <v>1.2</v>
      </c>
      <c r="J4" s="2658"/>
      <c r="K4" s="2658"/>
      <c r="L4" s="2658"/>
      <c r="M4" s="2658"/>
      <c r="N4" s="2660"/>
      <c r="O4" s="2658"/>
      <c r="P4" s="2658"/>
    </row>
    <row r="5" spans="1:16">
      <c r="A5" s="44" t="s">
        <v>1109</v>
      </c>
      <c r="B5" s="3563" t="s">
        <v>1110</v>
      </c>
      <c r="C5" s="3563"/>
      <c r="D5" s="45">
        <f>ROUND($D$3*E5/$E$3,2)</f>
        <v>0</v>
      </c>
      <c r="E5" s="46">
        <f>SUMIF('数据-基础表'!$11:$11,"住宅",'数据-基础表'!$5:$5)</f>
        <v>0</v>
      </c>
      <c r="F5" s="2658"/>
      <c r="G5" s="1145"/>
      <c r="H5" s="1026" t="s">
        <v>1106</v>
      </c>
      <c r="I5" s="855">
        <f>ROUND(E31/D31,2)</f>
        <v>1.2</v>
      </c>
      <c r="J5" s="2658"/>
      <c r="K5" s="2658"/>
      <c r="L5" s="2658"/>
      <c r="M5" s="2658"/>
      <c r="N5" s="2658"/>
      <c r="O5" s="2658"/>
      <c r="P5" s="2658"/>
    </row>
    <row r="6" spans="1:16" ht="15" thickBot="1">
      <c r="A6" s="1643"/>
      <c r="B6" s="3563" t="s">
        <v>1111</v>
      </c>
      <c r="C6" s="3563"/>
      <c r="D6" s="45">
        <f>ROUND($D$3*E6/$E$3,2)</f>
        <v>24593</v>
      </c>
      <c r="E6" s="46">
        <f>E3-E5</f>
        <v>29587.64</v>
      </c>
      <c r="F6" s="2658"/>
      <c r="G6" s="2652" t="s">
        <v>1112</v>
      </c>
      <c r="H6" s="1146" t="s">
        <v>1113</v>
      </c>
      <c r="I6" s="2653">
        <f>ROUND(F31/D31,2)</f>
        <v>1.2</v>
      </c>
      <c r="J6" s="2658"/>
      <c r="K6" s="2658"/>
      <c r="L6" s="2658"/>
      <c r="M6" s="2658"/>
      <c r="N6" s="2658"/>
      <c r="O6" s="2658"/>
      <c r="P6" s="2658"/>
    </row>
    <row r="7" spans="1:16" ht="15.75" thickBot="1">
      <c r="A7" s="3555"/>
      <c r="B7" s="3556"/>
      <c r="C7" s="355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24593</v>
      </c>
      <c r="E8" s="48">
        <f>SUMIF('数据-基础表'!BB10:BK10,"地上",'数据-基础表'!BB5:BK5)</f>
        <v>29587.64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24593</v>
      </c>
      <c r="E16" s="50">
        <f>SUM(E8:E15)</f>
        <v>29587.64</v>
      </c>
      <c r="F16" s="2658"/>
      <c r="G16" s="2659"/>
      <c r="H16" s="1647" t="s">
        <v>1135</v>
      </c>
      <c r="I16" s="1648"/>
      <c r="J16" s="1139"/>
      <c r="K16" s="3552" t="s">
        <v>1135</v>
      </c>
      <c r="L16" s="3553"/>
      <c r="M16" s="3553"/>
      <c r="N16" s="3553"/>
      <c r="O16" s="3553"/>
      <c r="P16" s="3554"/>
    </row>
    <row r="17" spans="1:19" ht="15">
      <c r="A17" s="1649" t="s">
        <v>1136</v>
      </c>
      <c r="B17" s="1650" t="s">
        <v>1137</v>
      </c>
      <c r="C17" s="1651" t="s">
        <v>1138</v>
      </c>
      <c r="D17" s="1652" t="s">
        <v>1126</v>
      </c>
      <c r="E17" s="1653" t="s">
        <v>1127</v>
      </c>
      <c r="F17" s="1654"/>
      <c r="G17" s="1655"/>
      <c r="H17" s="1656" t="s">
        <v>1139</v>
      </c>
      <c r="I17" s="1657" t="s">
        <v>1124</v>
      </c>
      <c r="J17" s="1139"/>
      <c r="K17" s="3549" t="s">
        <v>1140</v>
      </c>
      <c r="L17" s="3550"/>
      <c r="M17" s="3551"/>
      <c r="N17" s="3549" t="s">
        <v>1141</v>
      </c>
      <c r="O17" s="3550"/>
      <c r="P17" s="355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3430</v>
      </c>
      <c r="D19" s="45">
        <f>ROUND($D$3*E19/$E$3,2)</f>
        <v>24593</v>
      </c>
      <c r="E19" s="53">
        <f t="shared" ref="E19:E26" si="1">SUM(F19:G19)</f>
        <v>29587.64</v>
      </c>
      <c r="F19" s="2794">
        <f>'数据-基础表'!B3</f>
        <v>29587.64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24593</v>
      </c>
      <c r="S19" s="1027">
        <f t="shared" si="5"/>
        <v>29587.64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24593</v>
      </c>
      <c r="E27" s="1141">
        <f>IF(SUM(E19:E26)='数据-基础表'!BA5,SUM(E19:E26),IF(F27="地上面积有误","面积有误","地下面积有误"))</f>
        <v>29587.64</v>
      </c>
      <c r="F27" s="1140">
        <f>IF(SUM(F19:F26)=E8,SUM(F19:F26),"地上面积有误")</f>
        <v>29587.64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24593</v>
      </c>
      <c r="S27" s="1026">
        <f>IF(SUM(S19:S26)=$E$3,SUM(S19:S26),SUM(S19:S26)&amp;"误差"&amp;ROUND(SUM(S19:S26)-E3,2))</f>
        <v>29587.64</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24593</v>
      </c>
      <c r="E31" s="676">
        <f>E27+E30</f>
        <v>29587.64</v>
      </c>
      <c r="F31" s="677">
        <f>F27+F30</f>
        <v>29587.64</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45941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57963</v>
      </c>
      <c r="F6" s="64">
        <f>SUMIF(项目基本情况!C$12:I$12,C6,项目基本情况!C$15:I$15)</f>
        <v>32.93</v>
      </c>
      <c r="G6" s="65">
        <f>IF(ISERROR(ROUND(POWER(1+H6,D6-F6)*(POWER(1+H6,F6)-1)/(POWER(1+H6,D6)-1),3)),0,ROUND(POWER(1+H6,D6-F6)*(POWER(1+H6,F6)-1)/(POWER(1+H6,D6)-1),3))</f>
        <v>0.86099999999999999</v>
      </c>
      <c r="H6" s="732">
        <v>4.4999999999999998E-2</v>
      </c>
      <c r="I6" s="732">
        <v>0.05</v>
      </c>
      <c r="J6" s="66">
        <v>0.06</v>
      </c>
      <c r="K6" s="1030">
        <f>SUMIF('数据-汇总表'!C$19:C$33,A6,'数据-汇总表'!E$19:E$33)</f>
        <v>29587.64</v>
      </c>
      <c r="L6" s="733">
        <f>N26</f>
        <v>2274</v>
      </c>
      <c r="M6" s="67">
        <f t="shared" ref="M6:M14" si="0">ROUND(K6*L6/10000,0)</f>
        <v>6728</v>
      </c>
      <c r="N6" s="731">
        <f>M26</f>
        <v>0.78</v>
      </c>
      <c r="O6" s="67" t="str">
        <f>IF($N$5="成新度","——",ROUND(M6*N6,0))</f>
        <v>——</v>
      </c>
      <c r="P6" s="68" t="str">
        <f>IF($N$5="成新度","——",M6-O6)</f>
        <v>——</v>
      </c>
      <c r="Q6" s="734">
        <v>0.05</v>
      </c>
      <c r="R6" s="69">
        <f ca="1">SUMIF('数据-汇总表'!C$19:C$33,A6,'数据-汇总表'!R$19:R$27)</f>
        <v>24593</v>
      </c>
      <c r="S6" s="51">
        <f>IF('数据-汇总表'!$I$17="按面积比例",SUMIF('数据-汇总表'!C$19:C$33,A6,'数据-汇总表'!K$19:K$33),SUMIF('数据-汇总表'!C$19:C$33,A6,'数据-汇总表'!N$19:N$33))</f>
        <v>0</v>
      </c>
      <c r="T6" s="1172">
        <f>ROUND($L$14*S6/10000,0)</f>
        <v>0</v>
      </c>
      <c r="U6" s="3427">
        <v>0.8</v>
      </c>
      <c r="V6" s="70">
        <v>1.4999999999999999E-2</v>
      </c>
      <c r="W6" s="70">
        <v>0.15</v>
      </c>
      <c r="X6" s="1040"/>
      <c r="Y6" s="71">
        <f>N6</f>
        <v>0.78</v>
      </c>
      <c r="Z6" s="72"/>
      <c r="AA6" s="66"/>
      <c r="AB6" s="66"/>
      <c r="AC6" s="1040"/>
      <c r="AD6" s="73"/>
      <c r="AE6" s="1041">
        <f ca="1">IF(AN6="",0,SUMIF(INDIRECT("'"&amp;AN6&amp;"'"&amp;"!E:E"),$AE$5,INDIRECT("'"&amp;AN6&amp;"'"&amp;"!F:F")))</f>
        <v>32.93</v>
      </c>
      <c r="AF6" s="1347"/>
      <c r="AG6" s="138">
        <f>IF(AF6="",0,AE6-AF6)</f>
        <v>0</v>
      </c>
      <c r="AH6" s="74"/>
      <c r="AI6" s="76">
        <v>365</v>
      </c>
      <c r="AJ6" s="77"/>
      <c r="AK6" s="78">
        <v>2E-3</v>
      </c>
      <c r="AL6" s="79">
        <v>1E-3</v>
      </c>
      <c r="AM6" s="80">
        <v>5.0000000000000001E-3</v>
      </c>
      <c r="AN6" s="1714" t="s">
        <v>3435</v>
      </c>
      <c r="AO6" s="52">
        <f ca="1">SUMIF(INDIRECT("'"&amp;AN6&amp;"'"&amp;"!A:A"),"总价",INDIRECT("'"&amp;AN6&amp;"'"&amp;"!B:B"))</f>
        <v>11377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0.86099999999999999</v>
      </c>
      <c r="H16" s="90">
        <f>ROUND(SUMPRODUCT(H6:H13,K6:K13)/SUMPRODUCT((H6:H13&gt;0)*(K6:K13)),3)</f>
        <v>4.4999999999999998E-2</v>
      </c>
      <c r="I16" s="91"/>
      <c r="J16" s="91"/>
      <c r="K16" s="92">
        <f>SUM(K6:K15)</f>
        <v>29587.64</v>
      </c>
      <c r="L16" s="93">
        <f>ROUND(M16*10000/SUM(K6:K14),0)</f>
        <v>2274</v>
      </c>
      <c r="M16" s="93">
        <f>SUM(M6:M14)</f>
        <v>6728</v>
      </c>
      <c r="N16" s="94">
        <f>ROUND(SUMPRODUCT(M6:M14,N6:N14)/M16,3)</f>
        <v>0.78</v>
      </c>
      <c r="O16" s="93">
        <f>SUM(O6:O14)</f>
        <v>0</v>
      </c>
      <c r="P16" s="93">
        <f>SUM(P6:P14)</f>
        <v>0</v>
      </c>
      <c r="Q16" s="95">
        <f>ROUND(SUMPRODUCT(Q6:Q13,K6:K13)/SUMPRODUCT((Q6:Q13&gt;0)*(K6:K13)),2)</f>
        <v>0.05</v>
      </c>
      <c r="R16" s="1034">
        <f ca="1">SUM(R6:R13)</f>
        <v>24593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1.5</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1.5</v>
      </c>
      <c r="C21" s="2672"/>
      <c r="D21" s="2675"/>
      <c r="E21" s="2672"/>
      <c r="F21" s="2672"/>
      <c r="G21" s="2672"/>
      <c r="H21" s="2672"/>
      <c r="I21" s="2672"/>
      <c r="J21" s="2672"/>
      <c r="K21" s="2671"/>
      <c r="L21" s="2671"/>
      <c r="M21" s="3821" t="s">
        <v>3432</v>
      </c>
      <c r="N21" s="3821" t="s">
        <v>3433</v>
      </c>
      <c r="O21" s="3821" t="s">
        <v>3434</v>
      </c>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1.5</v>
      </c>
      <c r="C22" s="2672"/>
      <c r="D22" s="2675"/>
      <c r="E22" s="2672"/>
      <c r="F22" s="2672"/>
      <c r="G22" s="2672"/>
      <c r="H22" s="2672"/>
      <c r="I22" s="2672"/>
      <c r="J22" s="2672"/>
      <c r="K22" s="3820" t="str">
        <f>'数据-基础表'!C13</f>
        <v>结构组合车间</v>
      </c>
      <c r="L22" s="2671">
        <f>'数据-基础表'!H13</f>
        <v>2506.31</v>
      </c>
      <c r="M22" s="2670">
        <f>1-(1-2%)*(2025-2010)/70</f>
        <v>0.79</v>
      </c>
      <c r="N22" s="2670">
        <v>2000</v>
      </c>
      <c r="O22" s="2670">
        <v>0.5</v>
      </c>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1.5</v>
      </c>
      <c r="C23" s="2672"/>
      <c r="D23" s="2675"/>
      <c r="E23" s="2672"/>
      <c r="F23" s="2672"/>
      <c r="G23" s="2672"/>
      <c r="H23" s="2672"/>
      <c r="I23" s="2672"/>
      <c r="J23" s="2672"/>
      <c r="K23" s="3820" t="str">
        <f>'数据-基础表'!C14</f>
        <v>钣金车间</v>
      </c>
      <c r="L23" s="2671">
        <f>'数据-基础表'!H14</f>
        <v>6911.56</v>
      </c>
      <c r="M23" s="2670">
        <f t="shared" ref="M23:M25" si="12">1-(1-2%)*(2025-2010)/70</f>
        <v>0.79</v>
      </c>
      <c r="N23" s="2670">
        <v>2500</v>
      </c>
      <c r="O23" s="2670">
        <v>0.5</v>
      </c>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3820" t="str">
        <f>'数据-基础表'!C15</f>
        <v>生产车间</v>
      </c>
      <c r="L24" s="2671">
        <f>'数据-基础表'!H15</f>
        <v>15515.58</v>
      </c>
      <c r="M24" s="2670">
        <f t="shared" si="12"/>
        <v>0.79</v>
      </c>
      <c r="N24" s="2670">
        <v>2000</v>
      </c>
      <c r="O24" s="2670">
        <v>0.8</v>
      </c>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3820" t="str">
        <f>'数据-基础表'!C16</f>
        <v>办公楼</v>
      </c>
      <c r="L25" s="2671">
        <f>'数据-基础表'!H16</f>
        <v>4654.1899999999996</v>
      </c>
      <c r="M25" s="2670">
        <f>1-(1-0%)*(2025-2010)/60</f>
        <v>0.75</v>
      </c>
      <c r="N25" s="2670">
        <v>3000</v>
      </c>
      <c r="O25" s="2670">
        <v>1.5</v>
      </c>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f>SUM(L22:L25)</f>
        <v>29587.64</v>
      </c>
      <c r="M26" s="2670">
        <f>ROUND((M22*L22+M23*L23+M24*L24+M25*L25)/L26,2)</f>
        <v>0.78</v>
      </c>
      <c r="N26" s="2670">
        <f>ROUND((N22*L22+N23*L23+N24*L24+N25*L25)/L26,0)</f>
        <v>2274</v>
      </c>
      <c r="O26" s="2670">
        <f>ROUND((O22*L22+O23*L23+O24*L24+O25*L25)/L26,2)</f>
        <v>0.81</v>
      </c>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110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325</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8">
        <f ca="1">IF(A40="利息：取LPR",存贷款利率!G1,存贷款利率!G1+C40)</f>
        <v>3.0599999999999999E-2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0.04</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6</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6</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4" t="s">
        <v>2285</v>
      </c>
      <c r="B1" s="3565"/>
      <c r="C1" s="3565"/>
      <c r="D1" s="3565"/>
      <c r="E1" s="3565"/>
      <c r="F1" s="3565"/>
      <c r="G1" s="356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3504</v>
      </c>
      <c r="D5" s="2511" t="e">
        <f>ROUND(B5*10000/$B$2,0)</f>
        <v>#DIV/0!</v>
      </c>
      <c r="E5" s="2685"/>
      <c r="F5" s="2686"/>
      <c r="G5" s="2686"/>
      <c r="H5" s="2687"/>
      <c r="I5" s="2687"/>
      <c r="J5" s="2687"/>
      <c r="K5" s="2687"/>
    </row>
    <row r="6" spans="1:11" ht="16.5">
      <c r="A6" s="2511" t="s">
        <v>656</v>
      </c>
      <c r="B6" s="2511">
        <f>SUM(G14:G23)</f>
        <v>0</v>
      </c>
      <c r="C6" s="2511">
        <f ca="1">IF(B6=G14,结果表!H108,ROUND(B6*10000/$B$1,0))</f>
        <v>3504</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3353</v>
      </c>
      <c r="D10" s="2511" t="s">
        <v>3354</v>
      </c>
      <c r="E10" s="3440"/>
      <c r="F10" s="3444" t="s">
        <v>3355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3" t="str">
        <f>项目基本情况!S2</f>
        <v>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3" t="s">
        <v>1265</v>
      </c>
      <c r="B4" s="1754" t="s">
        <v>1266</v>
      </c>
      <c r="C4" s="1755" t="s">
        <v>3661</v>
      </c>
      <c r="D4" s="1755" t="s">
        <v>3435</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6"/>
      <c r="G5" s="1756"/>
      <c r="H5" s="1756"/>
      <c r="I5" s="1372"/>
    </row>
    <row r="6" spans="1:12" ht="12.75">
      <c r="A6" s="3581"/>
      <c r="B6" s="3636"/>
      <c r="C6" s="3641"/>
      <c r="D6" s="3627"/>
      <c r="E6" s="131" t="s">
        <v>1270</v>
      </c>
      <c r="F6" s="1756"/>
      <c r="G6" s="1756"/>
      <c r="H6" s="1756"/>
      <c r="I6" s="1372"/>
    </row>
    <row r="7" spans="1:12" ht="12.75">
      <c r="A7" s="3581"/>
      <c r="B7" s="3636"/>
      <c r="C7" s="3640"/>
      <c r="D7" s="3627"/>
      <c r="E7" s="131" t="s">
        <v>1271</v>
      </c>
      <c r="F7" s="1756"/>
      <c r="G7" s="1756"/>
      <c r="H7" s="1756"/>
      <c r="I7" s="1372"/>
    </row>
    <row r="8" spans="1:12" ht="12.75">
      <c r="A8" s="3581" t="s">
        <v>1272</v>
      </c>
      <c r="B8" s="3636">
        <v>15</v>
      </c>
      <c r="C8" s="3639"/>
      <c r="D8" s="3627"/>
      <c r="E8" s="131" t="s">
        <v>1273</v>
      </c>
      <c r="F8" s="1756"/>
      <c r="G8" s="1756"/>
      <c r="H8" s="1756"/>
      <c r="I8" s="1372"/>
    </row>
    <row r="9" spans="1:12" ht="12.75">
      <c r="A9" s="3581"/>
      <c r="B9" s="3636"/>
      <c r="C9" s="3640"/>
      <c r="D9" s="3627"/>
      <c r="E9" s="131" t="s">
        <v>1274</v>
      </c>
      <c r="F9" s="1756"/>
      <c r="G9" s="1756"/>
      <c r="H9" s="1756"/>
      <c r="I9" s="1372"/>
    </row>
    <row r="10" spans="1:12" ht="12.75">
      <c r="A10" s="3581" t="s">
        <v>1275</v>
      </c>
      <c r="B10" s="3636">
        <v>15</v>
      </c>
      <c r="C10" s="3639"/>
      <c r="D10" s="3627"/>
      <c r="E10" s="131" t="s">
        <v>1276</v>
      </c>
      <c r="F10" s="1756"/>
      <c r="G10" s="1756"/>
      <c r="H10" s="1756"/>
      <c r="I10" s="1372"/>
    </row>
    <row r="11" spans="1:12" ht="12.75">
      <c r="A11" s="3581"/>
      <c r="B11" s="3636"/>
      <c r="C11" s="3640"/>
      <c r="D11" s="3627"/>
      <c r="E11" s="131" t="s">
        <v>1277</v>
      </c>
      <c r="F11" s="1756"/>
      <c r="G11" s="1756"/>
      <c r="H11" s="1756"/>
      <c r="I11" s="1372"/>
    </row>
    <row r="12" spans="1:12" ht="12.75">
      <c r="A12" s="3581" t="s">
        <v>1278</v>
      </c>
      <c r="B12" s="3636">
        <v>15</v>
      </c>
      <c r="C12" s="3639"/>
      <c r="D12" s="3627"/>
      <c r="E12" s="131" t="s">
        <v>1279</v>
      </c>
      <c r="F12" s="1756"/>
      <c r="G12" s="1756"/>
      <c r="H12" s="1756"/>
      <c r="I12" s="1372"/>
    </row>
    <row r="13" spans="1:12" ht="12.75">
      <c r="A13" s="3581"/>
      <c r="B13" s="3636"/>
      <c r="C13" s="3640"/>
      <c r="D13" s="3627"/>
      <c r="E13" s="131" t="s">
        <v>1280</v>
      </c>
      <c r="F13" s="1756"/>
      <c r="G13" s="1756"/>
      <c r="H13" s="1756"/>
      <c r="I13" s="1372"/>
    </row>
    <row r="14" spans="1:12" ht="12.75">
      <c r="A14" s="3581" t="s">
        <v>1281</v>
      </c>
      <c r="B14" s="3636">
        <v>30</v>
      </c>
      <c r="C14" s="3639">
        <v>5</v>
      </c>
      <c r="D14" s="3627">
        <v>5</v>
      </c>
      <c r="E14" s="131" t="s">
        <v>1282</v>
      </c>
      <c r="F14" s="1756"/>
      <c r="G14" s="1756"/>
      <c r="H14" s="1756"/>
      <c r="I14" s="1372"/>
    </row>
    <row r="15" spans="1:12" ht="12.75">
      <c r="A15" s="3581"/>
      <c r="B15" s="3636"/>
      <c r="C15" s="3641"/>
      <c r="D15" s="3627"/>
      <c r="E15" s="131" t="s">
        <v>1283</v>
      </c>
      <c r="F15" s="1756"/>
      <c r="G15" s="1756"/>
      <c r="H15" s="1756"/>
      <c r="I15" s="1372"/>
    </row>
    <row r="16" spans="1:12" ht="12.75">
      <c r="A16" s="3581"/>
      <c r="B16" s="3636"/>
      <c r="C16" s="3640"/>
      <c r="D16" s="3627"/>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8" t="s">
        <v>2130</v>
      </c>
      <c r="F18" s="3659"/>
      <c r="G18" s="3659"/>
      <c r="H18" s="3659"/>
      <c r="I18" s="3659"/>
      <c r="K18" s="302" t="s">
        <v>1289</v>
      </c>
      <c r="L18" s="302">
        <f>IF(C1="",'数据-汇总表'!E3,SUMIF(项目类型,C1,'数据-汇总表'!E17:E26)+SUMIF(项目类型,C1,'数据-汇总表'!I17:I26))</f>
        <v>29587.64</v>
      </c>
      <c r="M18" s="302">
        <f>IF(C1="",'数据-汇总表'!E3,SUMIF(项目类型,C1,'数据-汇总表'!E17:E26))</f>
        <v>29587.64</v>
      </c>
    </row>
    <row r="19" spans="1:36" ht="15">
      <c r="A19" s="1760" t="s">
        <v>1290</v>
      </c>
      <c r="B19" s="1761" t="s">
        <v>1291</v>
      </c>
      <c r="C19" s="134">
        <f ca="1">SUMIF(INDIRECT("'"&amp;C4&amp;"'"&amp;"!A:A"),结果表!B19,INDIRECT("'"&amp;C4&amp;"'"&amp;"!B:B"))</f>
        <v>9358</v>
      </c>
      <c r="D19" s="135">
        <f ca="1">SUMIF(INDIRECT("'"&amp;D4&amp;"'"&amp;"!A:A"),结果表!B19,INDIRECT("'"&amp;D4&amp;"'"&amp;"!B:B"))</f>
        <v>11377</v>
      </c>
      <c r="E19" s="1760" t="s">
        <v>1292</v>
      </c>
      <c r="F19" s="1761" t="s">
        <v>1291</v>
      </c>
      <c r="G19" s="136">
        <f ca="1">ROUND(C19*$C$18+D19*$D$18,0)</f>
        <v>10368</v>
      </c>
      <c r="H19" s="1762" t="s">
        <v>1293</v>
      </c>
      <c r="I19" s="129"/>
      <c r="K19" s="302" t="s">
        <v>1294</v>
      </c>
      <c r="L19" s="302">
        <f>IF(C1="",'数据-汇总表'!D3,SUMIF(项目类型,C1,'数据-汇总表'!D17:D26)+SUMIF(项目类型,C1,'数据-汇总表'!H17:H27))</f>
        <v>24593</v>
      </c>
      <c r="M19" s="302">
        <f>IF(C1="",'数据-汇总表'!D3,SUMIF(项目类型,C1,'数据-汇总表'!D17:D26))</f>
        <v>24593</v>
      </c>
    </row>
    <row r="20" spans="1:36" ht="15">
      <c r="A20" s="1763"/>
      <c r="B20" s="1026" t="s">
        <v>1295</v>
      </c>
      <c r="C20" s="137">
        <f ca="1">SUMIF(INDIRECT("'"&amp;C4&amp;"'"&amp;"!A:A"),结果表!B20,INDIRECT("'"&amp;C4&amp;"'"&amp;"!B:B"))</f>
        <v>3163</v>
      </c>
      <c r="D20" s="138">
        <f ca="1">SUMIF(INDIRECT("'"&amp;D4&amp;"'"&amp;"!A:A"),结果表!B20,INDIRECT("'"&amp;D4&amp;"'"&amp;"!B:B"))</f>
        <v>3845</v>
      </c>
      <c r="E20" s="1763"/>
      <c r="F20" s="1026" t="s">
        <v>1295</v>
      </c>
      <c r="G20" s="139">
        <f ca="1">ROUND(C20*$C$18+D20*$D$18,0)</f>
        <v>3504</v>
      </c>
      <c r="H20" s="808" t="s">
        <v>1296</v>
      </c>
      <c r="I20" s="129"/>
    </row>
    <row r="21" spans="1:36" ht="15" customHeight="1" thickBot="1">
      <c r="A21" s="828"/>
      <c r="B21" s="1764" t="s">
        <v>1297</v>
      </c>
      <c r="C21" s="719">
        <f ca="1">ROUND(C19*10000/L19,0)</f>
        <v>3805</v>
      </c>
      <c r="D21" s="720">
        <f ca="1">ROUND(D19*10000/L19,0)</f>
        <v>4626</v>
      </c>
      <c r="E21" s="828"/>
      <c r="F21" s="1764" t="s">
        <v>1297</v>
      </c>
      <c r="G21" s="140">
        <f ca="1">ROUND(G19*10000/L19,0)</f>
        <v>4216</v>
      </c>
      <c r="H21" s="1765" t="s">
        <v>1296</v>
      </c>
      <c r="I21" s="129"/>
    </row>
    <row r="22" spans="1:36" ht="15" thickBot="1">
      <c r="A22" s="1687" t="s">
        <v>1298</v>
      </c>
      <c r="B22" s="1766"/>
      <c r="C22" s="1767"/>
      <c r="D22" s="721">
        <f ca="1">IF(C19&lt;D19,D19/C19-1,C19/D19-1)</f>
        <v>0.21575122889506315</v>
      </c>
      <c r="E22" s="129"/>
      <c r="F22" s="129" t="s">
        <v>3667</v>
      </c>
      <c r="G22" s="129"/>
      <c r="H22" s="129"/>
      <c r="I22" s="129"/>
    </row>
    <row r="23" spans="1:36" ht="13.5" thickBot="1">
      <c r="A23" s="1746"/>
      <c r="B23" s="1746"/>
      <c r="C23" s="1746"/>
      <c r="D23" s="1746"/>
      <c r="E23" s="129"/>
      <c r="F23" s="129" t="s">
        <v>3663</v>
      </c>
      <c r="G23" s="129">
        <v>11495</v>
      </c>
      <c r="H23" s="129" t="s">
        <v>3665</v>
      </c>
      <c r="I23" s="129"/>
    </row>
    <row r="24" spans="1:36" ht="14.25">
      <c r="A24" s="3651" t="s">
        <v>1299</v>
      </c>
      <c r="B24" s="1761" t="s">
        <v>1291</v>
      </c>
      <c r="C24" s="136">
        <f>IF(B30=0,0,D30)</f>
        <v>0</v>
      </c>
      <c r="D24" s="1768"/>
      <c r="E24" s="129"/>
      <c r="F24" s="129" t="s">
        <v>3662</v>
      </c>
      <c r="G24" s="129">
        <v>3885</v>
      </c>
      <c r="H24" s="129" t="s">
        <v>3351</v>
      </c>
      <c r="I24" s="129"/>
    </row>
    <row r="25" spans="1:36" ht="14.25">
      <c r="A25" s="3652"/>
      <c r="B25" s="1026" t="s">
        <v>1295</v>
      </c>
      <c r="C25" s="141">
        <f>IF(B30=0,0,C30)</f>
        <v>0</v>
      </c>
      <c r="D25" s="1769"/>
      <c r="E25" s="129"/>
      <c r="F25" s="129" t="s">
        <v>3666</v>
      </c>
      <c r="G25" s="129">
        <v>4674</v>
      </c>
      <c r="H25" s="129" t="s">
        <v>3351</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10368</v>
      </c>
      <c r="D32" s="1774" t="s">
        <v>3663</v>
      </c>
      <c r="E32" s="129"/>
      <c r="F32" s="129"/>
      <c r="G32" s="129"/>
      <c r="H32" s="129"/>
      <c r="I32" s="129"/>
    </row>
    <row r="33" spans="1:15" ht="15">
      <c r="A33" s="786" t="s">
        <v>1306</v>
      </c>
      <c r="B33" s="1775"/>
      <c r="C33" s="1776" t="s">
        <v>3664</v>
      </c>
      <c r="D33" s="1777" t="s">
        <v>3661</v>
      </c>
      <c r="E33" s="1778" t="s">
        <v>1307</v>
      </c>
      <c r="F33" s="1779" t="str">
        <f>IF(D32="楼面单价","取值（单价）","取值（总价）")</f>
        <v>取值（总价）</v>
      </c>
      <c r="G33" s="129"/>
      <c r="H33" s="129"/>
      <c r="I33" s="129"/>
    </row>
    <row r="34" spans="1:15" ht="15">
      <c r="A34" s="1780"/>
      <c r="B34" s="1781" t="s">
        <v>1308</v>
      </c>
      <c r="C34" s="148">
        <f ca="1">IF(C33="自定义",F34,C32-C35)</f>
        <v>2405</v>
      </c>
      <c r="D34" s="861">
        <f ca="1">IF(C33="自定义",ROUND(C34/C32,3),IF(C33="收益比率",SUMIF(INDIRECT("'"&amp;D33&amp;"'"&amp;"!b:b"),"土地收益比率",INDIRECT("'"&amp;D33&amp;"'"&amp;"!c:c")),SUMIF(INDIRECT("'"&amp;D33&amp;"'"&amp;"!b:b"),"土地成本比率",INDIRECT("'"&amp;D33&amp;"'"&amp;"!c:c"))))</f>
        <v>0.23199999999999998</v>
      </c>
      <c r="E34" s="1782" t="s">
        <v>1309</v>
      </c>
      <c r="F34" s="1329"/>
      <c r="G34" s="129"/>
      <c r="H34" s="129"/>
      <c r="I34" s="129"/>
    </row>
    <row r="35" spans="1:15" ht="15.75" thickBot="1">
      <c r="A35" s="1783"/>
      <c r="B35" s="1784" t="s">
        <v>1310</v>
      </c>
      <c r="C35" s="1170">
        <f ca="1">IF(C33="自定义",F35,ROUND(C32*D35,0))</f>
        <v>7963</v>
      </c>
      <c r="D35" s="1171">
        <f ca="1">IF(C33="自定义",ROUND(C35/C32,3),IF(C33="收益比率",SUMIF(INDIRECT("'"&amp;D33&amp;"'"&amp;"!b:b"),"建筑物收益比率",INDIRECT("'"&amp;D33&amp;"'"&amp;"!c:c")),SUMIF(INDIRECT("'"&amp;D33&amp;"'"&amp;"!b:b"),"建筑物成本比率",INDIRECT("'"&amp;D33&amp;"'"&amp;"!c:c"))))</f>
        <v>0.76800000000000002</v>
      </c>
      <c r="E35" s="1785" t="s">
        <v>1311</v>
      </c>
      <c r="F35" s="154"/>
      <c r="G35" s="129"/>
      <c r="H35" s="129"/>
      <c r="I35" s="129"/>
    </row>
    <row r="36" spans="1:15" ht="15.75" thickBot="1">
      <c r="A36" s="3628" t="s">
        <v>1312</v>
      </c>
      <c r="B36" s="1786" t="s">
        <v>1313</v>
      </c>
      <c r="C36" s="145"/>
      <c r="D36" s="1787"/>
      <c r="E36" s="1788"/>
      <c r="F36" s="1789"/>
      <c r="G36" s="129"/>
      <c r="H36" s="129"/>
      <c r="I36" s="129"/>
    </row>
    <row r="37" spans="1:15" ht="15.75" thickBot="1">
      <c r="A37" s="3629"/>
      <c r="B37" s="1673" t="s">
        <v>1314</v>
      </c>
      <c r="C37" s="147"/>
      <c r="D37" s="1139"/>
      <c r="E37" s="1139"/>
      <c r="F37" s="1789"/>
      <c r="G37" s="129"/>
      <c r="H37" s="129"/>
      <c r="I37" s="129"/>
    </row>
    <row r="38" spans="1:15" ht="15.75" thickBot="1">
      <c r="A38" s="363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8" t="s">
        <v>1326</v>
      </c>
      <c r="B45" s="3649"/>
      <c r="C45" s="3650"/>
      <c r="D45" s="155">
        <f ca="1">ROUND(H101*F45,0)</f>
        <v>10368</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5"/>
      <c r="I46" s="159"/>
      <c r="J46" s="2522">
        <v>1</v>
      </c>
      <c r="K46" s="3569" t="s">
        <v>1331</v>
      </c>
      <c r="L46" s="3569"/>
      <c r="M46" s="3570"/>
      <c r="N46" s="3570"/>
      <c r="O46" s="3570"/>
    </row>
    <row r="47" spans="1:15" ht="12" customHeight="1">
      <c r="A47" s="160" t="s">
        <v>1332</v>
      </c>
      <c r="B47" s="161"/>
      <c r="C47" s="162"/>
      <c r="D47" s="1087" t="s">
        <v>1333</v>
      </c>
      <c r="E47" s="302" t="s">
        <v>1334</v>
      </c>
      <c r="F47" s="163" t="s">
        <v>1335</v>
      </c>
      <c r="G47" s="2545" t="s">
        <v>1336</v>
      </c>
      <c r="H47" s="2546"/>
      <c r="I47" s="159"/>
      <c r="J47" s="2522">
        <v>2</v>
      </c>
      <c r="K47" s="3569" t="s">
        <v>1337</v>
      </c>
      <c r="L47" s="3569"/>
      <c r="M47" s="3571">
        <f>'数据-取费表'!B2</f>
        <v>45941</v>
      </c>
      <c r="N47" s="3571"/>
      <c r="O47" s="3571"/>
    </row>
    <row r="48" spans="1:15" ht="25.5">
      <c r="A48" s="3631" t="s">
        <v>1338</v>
      </c>
      <c r="B48" s="3632"/>
      <c r="C48" s="363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9" t="s">
        <v>1340</v>
      </c>
      <c r="L48" s="3569"/>
      <c r="M48" s="3572">
        <f ca="1">H101</f>
        <v>10368</v>
      </c>
      <c r="N48" s="3572"/>
      <c r="O48" s="3572"/>
    </row>
    <row r="49" spans="1:35" ht="25.5" customHeight="1">
      <c r="A49" s="2332" t="s">
        <v>1341</v>
      </c>
      <c r="B49" s="3617" t="s">
        <v>1342</v>
      </c>
      <c r="C49" s="3617"/>
      <c r="D49" s="1589">
        <v>0</v>
      </c>
      <c r="E49" s="324" t="s">
        <v>1343</v>
      </c>
      <c r="F49" s="2423" t="s">
        <v>28</v>
      </c>
      <c r="G49" s="3600"/>
      <c r="H49" s="2309" t="s">
        <v>2133</v>
      </c>
      <c r="I49" s="2310"/>
      <c r="J49" s="2522">
        <v>4</v>
      </c>
      <c r="K49" s="3569" t="str">
        <f>IF(项目基本情况!E8="房地产抵押价值","房地产抵押价值","抵押担保权已注销时的房地产抵押价值")</f>
        <v>房地产抵押价值</v>
      </c>
      <c r="L49" s="3569"/>
      <c r="M49" s="3572">
        <f ca="1">IF(项目基本情况!E8="房地产抵押价值",H107,H109)</f>
        <v>10368</v>
      </c>
      <c r="N49" s="3572"/>
      <c r="O49" s="3572"/>
    </row>
    <row r="50" spans="1:35" ht="25.5" customHeight="1">
      <c r="A50" s="2550"/>
      <c r="B50" s="3617" t="s">
        <v>1344</v>
      </c>
      <c r="C50" s="3617"/>
      <c r="D50" s="2551"/>
      <c r="E50" s="332"/>
      <c r="F50" s="2423"/>
      <c r="G50" s="3601"/>
      <c r="H50" s="2311" t="s">
        <v>2134</v>
      </c>
      <c r="I50" s="2310"/>
      <c r="J50" s="3568" t="s">
        <v>1345</v>
      </c>
      <c r="K50" s="3568"/>
      <c r="L50" s="3568"/>
      <c r="M50" s="3568"/>
      <c r="N50" s="3568"/>
      <c r="O50" s="3568"/>
    </row>
    <row r="51" spans="1:35" ht="20.45" customHeight="1">
      <c r="A51" s="2552"/>
      <c r="B51" s="3617" t="s">
        <v>1346</v>
      </c>
      <c r="C51" s="3617"/>
      <c r="D51" s="1087"/>
      <c r="E51" s="327"/>
      <c r="F51" s="2423"/>
      <c r="G51" s="3602"/>
      <c r="H51" s="2311" t="s">
        <v>2135</v>
      </c>
      <c r="I51" s="2310"/>
      <c r="J51" s="2523" t="s">
        <v>1347</v>
      </c>
      <c r="K51" s="3569" t="s">
        <v>1348</v>
      </c>
      <c r="L51" s="3569"/>
      <c r="M51" s="2523" t="s">
        <v>1349</v>
      </c>
      <c r="N51" s="2523" t="s">
        <v>1350</v>
      </c>
      <c r="O51" s="2523" t="s">
        <v>1351</v>
      </c>
    </row>
    <row r="52" spans="1:35" ht="24" customHeight="1">
      <c r="A52" s="2334" t="s">
        <v>1352</v>
      </c>
      <c r="B52" s="3617" t="s">
        <v>1353</v>
      </c>
      <c r="C52" s="3617"/>
      <c r="D52" s="1087">
        <f ca="1">ROUND(D45*'数据-取费表'!B41/(1+'数据-取费表'!C42),0)</f>
        <v>553</v>
      </c>
      <c r="E52" s="2333" t="s">
        <v>1354</v>
      </c>
      <c r="F52" s="2553">
        <f>'数据-取费表'!B41</f>
        <v>5.6000000000000001E-2</v>
      </c>
      <c r="G52" s="2554"/>
      <c r="H52" s="2543"/>
      <c r="I52" s="1806"/>
      <c r="J52" s="2522">
        <v>1</v>
      </c>
      <c r="K52" s="3594" t="s">
        <v>1355</v>
      </c>
      <c r="L52" s="3594"/>
      <c r="M52" s="2524" t="b">
        <f>D48</f>
        <v>0</v>
      </c>
      <c r="N52" s="2522" t="str">
        <f>E48</f>
        <v>销售额×税（费）率</v>
      </c>
      <c r="O52" s="2525">
        <f>F48</f>
        <v>5.6000000000000001E-2</v>
      </c>
    </row>
    <row r="53" spans="1:35" ht="12" customHeight="1">
      <c r="A53" s="2334" t="s">
        <v>1356</v>
      </c>
      <c r="B53" s="3618" t="s">
        <v>2290</v>
      </c>
      <c r="C53" s="3619"/>
      <c r="D53" s="1087">
        <f ca="1">ROUND(D45*'数据-取费表'!B41/(1+'数据-取费表'!C42),0)</f>
        <v>553</v>
      </c>
      <c r="E53" s="2333" t="s">
        <v>1354</v>
      </c>
      <c r="F53" s="2553">
        <f>'数据-取费表'!B41</f>
        <v>5.6000000000000001E-2</v>
      </c>
      <c r="G53" s="2554"/>
      <c r="H53" s="2543"/>
      <c r="I53" s="1806"/>
      <c r="J53" s="2522">
        <v>2</v>
      </c>
      <c r="K53" s="3594" t="s">
        <v>1357</v>
      </c>
      <c r="L53" s="3594"/>
      <c r="M53" s="2524">
        <f t="shared" ref="M53:O54" ca="1" si="0">D55</f>
        <v>5</v>
      </c>
      <c r="N53" s="2522" t="str">
        <f t="shared" si="0"/>
        <v>销售额×税（费）率</v>
      </c>
      <c r="O53" s="2525" t="str">
        <f t="shared" si="0"/>
        <v>免征</v>
      </c>
    </row>
    <row r="54" spans="1:35" ht="12" customHeight="1">
      <c r="A54" s="2334" t="s">
        <v>1358</v>
      </c>
      <c r="B54" s="3618" t="s">
        <v>2291</v>
      </c>
      <c r="C54" s="3619"/>
      <c r="D54" s="1087">
        <f ca="1">C68</f>
        <v>553</v>
      </c>
      <c r="E54" s="327" t="s">
        <v>1359</v>
      </c>
      <c r="F54" s="2553">
        <f>'数据-取费表'!B41</f>
        <v>5.6000000000000001E-2</v>
      </c>
      <c r="G54" s="2554"/>
      <c r="H54" s="2555"/>
      <c r="I54" s="1806"/>
      <c r="J54" s="2522">
        <v>3</v>
      </c>
      <c r="K54" s="3594" t="s">
        <v>1360</v>
      </c>
      <c r="L54" s="3594"/>
      <c r="M54" s="2524">
        <f t="shared" ca="1" si="0"/>
        <v>5868</v>
      </c>
      <c r="N54" s="2522" t="str">
        <f t="shared" si="0"/>
        <v>增值额×税（费）率</v>
      </c>
      <c r="O54" s="2526" t="str">
        <f t="shared" si="0"/>
        <v>免征</v>
      </c>
    </row>
    <row r="55" spans="1:35" ht="24" customHeight="1">
      <c r="A55" s="3654" t="s">
        <v>1361</v>
      </c>
      <c r="B55" s="3632"/>
      <c r="C55" s="3632"/>
      <c r="D55" s="2323">
        <f ca="1">IF(H55="个人住宅",0,ROUND(D45*I55,0))</f>
        <v>5</v>
      </c>
      <c r="E55" s="2333" t="s">
        <v>1362</v>
      </c>
      <c r="F55" s="2553" t="str">
        <f>IF(H55="正常",I55,"免征")</f>
        <v>免征</v>
      </c>
      <c r="G55" s="2554"/>
      <c r="H55" s="2549"/>
      <c r="I55" s="165">
        <f>'数据-取费表'!B49</f>
        <v>5.0000000000000001E-4</v>
      </c>
      <c r="J55" s="2522">
        <f>IF(H59="非个人房产","",4)</f>
        <v>4</v>
      </c>
      <c r="K55" s="3594" t="str">
        <f>IF(H59="非个人房产","——","个人所得税")</f>
        <v>个人所得税</v>
      </c>
      <c r="L55" s="3594"/>
      <c r="M55" s="2527">
        <f ca="1">D59</f>
        <v>99</v>
      </c>
      <c r="N55" s="2039" t="str">
        <f>E59</f>
        <v>差额计税</v>
      </c>
      <c r="O55" s="2528">
        <f>F59</f>
        <v>0.01</v>
      </c>
    </row>
    <row r="56" spans="1:35" ht="24.75">
      <c r="A56" s="3654" t="s">
        <v>1363</v>
      </c>
      <c r="B56" s="3632"/>
      <c r="C56" s="3632"/>
      <c r="D56" s="2323">
        <f ca="1">IF(H56="个人住宅",D57,D58)</f>
        <v>5868</v>
      </c>
      <c r="E56" s="2333" t="s">
        <v>1364</v>
      </c>
      <c r="F56" s="2553" t="str">
        <f>IF(H56="正常",F58,"免征")</f>
        <v>免征</v>
      </c>
      <c r="G56" s="2556" t="s">
        <v>1365</v>
      </c>
      <c r="H56" s="2557"/>
      <c r="I56" s="1807"/>
      <c r="J56" s="2522" t="str">
        <f>IF(项目基本情况!K6="上海银行",IF(J55="",4,J55+1),"")</f>
        <v/>
      </c>
      <c r="K56" s="3575" t="str">
        <f>IF(项目基本情况!K6="上海银行","其他处置费用","")</f>
        <v/>
      </c>
      <c r="L56" s="3576"/>
      <c r="M56" s="2524" t="str">
        <f>IF(项目基本情况!K6="上海银行",M69,"")</f>
        <v/>
      </c>
      <c r="N56" s="3575" t="str">
        <f>IF(项目基本情况!K6="上海银行","包含处置中涉及的律师、诉讼、拍卖、评估等费用","")</f>
        <v/>
      </c>
      <c r="O56" s="3578"/>
    </row>
    <row r="57" spans="1:35" ht="12.75">
      <c r="A57" s="2334" t="s">
        <v>1341</v>
      </c>
      <c r="B57" s="3618" t="s">
        <v>1366</v>
      </c>
      <c r="C57" s="3619"/>
      <c r="D57" s="1589">
        <v>0</v>
      </c>
      <c r="E57" s="324" t="s">
        <v>1343</v>
      </c>
      <c r="F57" s="302"/>
      <c r="G57" s="2554"/>
      <c r="H57" s="2558"/>
      <c r="I57" s="1807"/>
      <c r="J57" s="3594">
        <f>IF(AND(J55="",J56=""),4,IF(项目基本情况!K6="上海银行",结果表!J56+1,结果表!J55+1))</f>
        <v>5</v>
      </c>
      <c r="K57" s="3594" t="s">
        <v>1367</v>
      </c>
      <c r="L57" s="2529" t="s">
        <v>1368</v>
      </c>
      <c r="M57" s="2530"/>
      <c r="N57" s="2531">
        <f ca="1">SUMIF(M52:M56,"&lt;9e307")</f>
        <v>5972</v>
      </c>
      <c r="O57" s="2532"/>
      <c r="P57" s="2689">
        <f ca="1">N57/M49</f>
        <v>0.57600308641975306</v>
      </c>
    </row>
    <row r="58" spans="1:35" ht="24.75">
      <c r="A58" s="2334" t="s">
        <v>1352</v>
      </c>
      <c r="B58" s="3618" t="s">
        <v>1369</v>
      </c>
      <c r="C58" s="3617"/>
      <c r="D58" s="2323">
        <f ca="1">IF(H58="转让取得",C81,C97)</f>
        <v>5868</v>
      </c>
      <c r="E58" s="2333" t="s">
        <v>1364</v>
      </c>
      <c r="F58" s="302" t="s">
        <v>28</v>
      </c>
      <c r="G58" s="2554"/>
      <c r="H58" s="2557"/>
      <c r="I58" s="1807"/>
      <c r="J58" s="3594"/>
      <c r="K58" s="3594"/>
      <c r="L58" s="2529" t="s">
        <v>1370</v>
      </c>
      <c r="M58" s="2533"/>
      <c r="N58" s="2534" t="str">
        <f ca="1">NUMBERSTRING(INT(N57*10000),2)&amp;"元整"</f>
        <v>伍仟玖佰柒拾贰万元整</v>
      </c>
      <c r="O58" s="2535"/>
    </row>
    <row r="59" spans="1:35" ht="24.75" thickBot="1">
      <c r="A59" s="3598" t="s">
        <v>1371</v>
      </c>
      <c r="B59" s="3599"/>
      <c r="C59" s="3599"/>
      <c r="D59" s="2559">
        <f ca="1">IF(H59="非个人房产","——",IF(H59="个人住宅（满五唯一有凭证）",0,IF(H59="个人其他（无凭证）",ROUND(D45/(1+'数据-取费表'!C42)*F59,0),ROUND(C67*F59,0))))</f>
        <v>99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96">
        <f>J57+1</f>
        <v>6</v>
      </c>
      <c r="K59" s="3594" t="s">
        <v>1372</v>
      </c>
      <c r="L59" s="2522" t="s">
        <v>1368</v>
      </c>
      <c r="M59" s="2536"/>
      <c r="N59" s="2537">
        <f ca="1">M49-N57</f>
        <v>4396</v>
      </c>
      <c r="O59" s="2538"/>
    </row>
    <row r="60" spans="1:35" ht="12" customHeight="1">
      <c r="A60" s="1808"/>
      <c r="B60" s="1746"/>
      <c r="C60" s="1746"/>
      <c r="D60" s="1746"/>
      <c r="E60" s="1577"/>
      <c r="F60" s="1807"/>
      <c r="G60" s="1807"/>
      <c r="H60" s="1809"/>
      <c r="I60" s="129"/>
      <c r="J60" s="3597"/>
      <c r="K60" s="3594"/>
      <c r="L60" s="2529" t="s">
        <v>1370</v>
      </c>
      <c r="M60" s="2533"/>
      <c r="N60" s="2534" t="str">
        <f ca="1">NUMBERSTRING(INT(N59*10000),2)&amp;"元整"</f>
        <v>肆仟叁佰玖拾陆万元整</v>
      </c>
      <c r="O60" s="2535"/>
    </row>
    <row r="61" spans="1:35" ht="13.5" thickBot="1">
      <c r="A61" s="3653" t="s">
        <v>1373</v>
      </c>
      <c r="B61" s="3653"/>
      <c r="C61" s="3653"/>
      <c r="D61" s="3653"/>
      <c r="E61" s="3653"/>
      <c r="F61" s="1807"/>
      <c r="G61" s="1807"/>
      <c r="H61" s="1809"/>
      <c r="I61" s="129"/>
      <c r="J61" s="2522">
        <f>J59+1</f>
        <v>7</v>
      </c>
      <c r="K61" s="3594" t="s">
        <v>1374</v>
      </c>
      <c r="L61" s="3594"/>
      <c r="M61" s="2539"/>
      <c r="N61" s="2540">
        <f ca="1">ROUND(N59*10000/'数据-汇总表'!E3,0)</f>
        <v>1486</v>
      </c>
      <c r="O61" s="2541"/>
    </row>
    <row r="62" spans="1:35" ht="12.75">
      <c r="A62" s="3613" t="s">
        <v>1375</v>
      </c>
      <c r="B62" s="3614"/>
      <c r="C62" s="2020"/>
      <c r="D62" s="2020" t="s">
        <v>1376</v>
      </c>
      <c r="E62" s="166" t="s">
        <v>1377</v>
      </c>
      <c r="F62" s="1807"/>
      <c r="G62" s="1807"/>
      <c r="H62" s="1809"/>
      <c r="I62" s="129"/>
    </row>
    <row r="63" spans="1:35" ht="12.75">
      <c r="A63" s="173" t="s">
        <v>330</v>
      </c>
      <c r="B63" s="167" t="s">
        <v>1378</v>
      </c>
      <c r="C63" s="2563">
        <f ca="1">ROUND((C64+C65)/(1+'数据-取费表'!C42),0)</f>
        <v>9874</v>
      </c>
      <c r="D63" s="167"/>
      <c r="E63" s="168"/>
      <c r="F63" s="1807"/>
      <c r="G63" s="1807"/>
      <c r="H63" s="1809"/>
      <c r="I63" s="129"/>
      <c r="J63" s="3577" t="s">
        <v>1379</v>
      </c>
      <c r="K63" s="1331" t="s">
        <v>1380</v>
      </c>
      <c r="L63" s="1331">
        <f ca="1">IF(M49&gt;10000,M49*0.5%,IF(AND(M49&gt;1000,M49&lt;=10000),M49*1%,IF(AND(M49&gt;100,M49&lt;=1000),M49*3%,IF(AND(M49&gt;10,M49&lt;=100),M49*5%,M49*8%))))</f>
        <v>51.84</v>
      </c>
      <c r="M63" s="302">
        <f ca="1">ROUND(L63,1)</f>
        <v>51.8</v>
      </c>
      <c r="N63" s="2542"/>
      <c r="Z63" s="1751"/>
      <c r="AI63" s="1752"/>
    </row>
    <row r="64" spans="1:35" ht="14.25" customHeight="1">
      <c r="A64" s="169" t="s">
        <v>325</v>
      </c>
      <c r="B64" s="170" t="s">
        <v>1381</v>
      </c>
      <c r="C64" s="2564">
        <f ca="1">D45</f>
        <v>10368</v>
      </c>
      <c r="D64" s="170" t="s">
        <v>26</v>
      </c>
      <c r="E64" s="172"/>
      <c r="F64" s="1807"/>
      <c r="G64" s="1807"/>
      <c r="H64" s="1809"/>
      <c r="I64" s="129"/>
      <c r="J64" s="3577"/>
      <c r="K64" s="1331" t="s">
        <v>1382</v>
      </c>
      <c r="L64" s="1331">
        <f ca="1">IF(M49&gt;2000,M49*0.5%,IF(AND(M49&gt;1000,M49&lt;=2000),M49*0.6%,IF(AND(M49&gt;500,M49&lt;=1000),M49*0.7%,IF(AND(M49&gt;200,M49&lt;=500),M49*0.8%,IF(AND(M49&gt;100,M49&lt;=200),M49*0.9%,IF(AND(M49&gt;50,M49&lt;=100),M49*1%,IF(AND(M49&gt;20,M49&lt;=50),M49*1.5%,IF(AND(M49&gt;10,M49&lt;=20),M49*2%,IF(AND(M49&gt;1,M49&lt;=10),M49*2.5%)))))))))</f>
        <v>51.84</v>
      </c>
      <c r="M64" s="302">
        <f t="shared" ref="M64:M65" ca="1" si="1">ROUND(L64,1)</f>
        <v>51.8</v>
      </c>
      <c r="N64" s="2543" t="s">
        <v>1383</v>
      </c>
      <c r="Z64" s="1751"/>
      <c r="AI64" s="1752"/>
    </row>
    <row r="65" spans="1:35" ht="14.25" customHeight="1">
      <c r="A65" s="169" t="s">
        <v>326</v>
      </c>
      <c r="B65" s="170" t="s">
        <v>1384</v>
      </c>
      <c r="C65" s="2565"/>
      <c r="D65" s="170"/>
      <c r="E65" s="172"/>
      <c r="F65" s="1807"/>
      <c r="G65" s="1807"/>
      <c r="H65" s="1809"/>
      <c r="I65" s="129"/>
      <c r="J65" s="3577"/>
      <c r="K65" s="1331" t="s">
        <v>1385</v>
      </c>
      <c r="L65" s="1331">
        <f ca="1">IF(M49&gt;1000,M49*0.1%,IF(AND(M49&gt;500,M49&lt;=1000),M49*0.5%,IF(AND(M49&gt;50,M49&lt;=500),M49*1%,IF(AND(M49&gt;1,M49&lt;=50),M49*1.5%))))</f>
        <v>10.368</v>
      </c>
      <c r="M65" s="302">
        <f t="shared" ca="1" si="1"/>
        <v>10.4</v>
      </c>
      <c r="N65" s="2543" t="s">
        <v>1383</v>
      </c>
      <c r="Z65" s="1751"/>
      <c r="AI65" s="1752"/>
    </row>
    <row r="66" spans="1:35" ht="14.25" customHeight="1">
      <c r="A66" s="173" t="s">
        <v>327</v>
      </c>
      <c r="B66" s="174" t="s">
        <v>1386</v>
      </c>
      <c r="C66" s="2566"/>
      <c r="D66" s="174" t="s">
        <v>26</v>
      </c>
      <c r="E66" s="1337" t="s">
        <v>671</v>
      </c>
      <c r="F66" s="1807"/>
      <c r="G66" s="1807"/>
      <c r="H66" s="1809"/>
      <c r="I66" s="129"/>
      <c r="J66" s="3577"/>
      <c r="K66" s="1331" t="s">
        <v>1387</v>
      </c>
      <c r="L66" s="1331">
        <f ca="1">M49*0.5%</f>
        <v>51.84</v>
      </c>
      <c r="M66" s="302">
        <f ca="1">IF(L66&gt;0.5,0.5,ROUND(L66,0))</f>
        <v>0.5</v>
      </c>
      <c r="N66" s="2543" t="s">
        <v>1388</v>
      </c>
      <c r="Z66" s="1751"/>
      <c r="AI66" s="1752"/>
    </row>
    <row r="67" spans="1:35" ht="14.25" customHeight="1">
      <c r="A67" s="173" t="s">
        <v>328</v>
      </c>
      <c r="B67" s="174" t="s">
        <v>1389</v>
      </c>
      <c r="C67" s="2567">
        <f ca="1">C63-C66</f>
        <v>9874</v>
      </c>
      <c r="D67" s="170" t="s">
        <v>26</v>
      </c>
      <c r="E67" s="172"/>
      <c r="F67" s="1807"/>
      <c r="G67" s="1807"/>
      <c r="H67" s="1809"/>
      <c r="I67" s="129"/>
      <c r="J67" s="3577"/>
      <c r="K67" s="1331" t="s">
        <v>1390</v>
      </c>
      <c r="L67" s="1331">
        <f ca="1">IF(M49&gt;=10000,(8.25+(M49-10000)*0.01%),IF(AND(M49&gt;=8000,M49&lt;10000),(7.85+(M49-8000)*0.02%),IF(AND(M49&gt;=5000,M49&lt;8000),(6.65+(M49-5000)*0.04%),IF(AND(M49&gt;=2000,M49&lt;5000),(4.25+(PM49-2000)*0.08%),IF(AND(M49&gt;=1000,M49&lt;2000),(2.75+(M49-1000)*0.15%),IF(AND(M49&gt;=100,M49&lt;1000),(0.5+(M49-100)*0.25%),IF(AND(M49&gt;0,M49&lt;100),M49*0.5%)))))))</f>
        <v>8.2867999999999995</v>
      </c>
      <c r="M67" s="302">
        <f ca="1">ROUND(L67*0.9,1)</f>
        <v>7.5</v>
      </c>
      <c r="N67" s="2542"/>
      <c r="Z67" s="1751"/>
      <c r="AI67" s="1752"/>
    </row>
    <row r="68" spans="1:35" ht="14.25" customHeight="1" thickBot="1">
      <c r="A68" s="176" t="s">
        <v>329</v>
      </c>
      <c r="B68" s="177" t="s">
        <v>1391</v>
      </c>
      <c r="C68" s="2568">
        <f ca="1">IF(C67&lt;=0,0,ROUND(C67*D68,0))</f>
        <v>553</v>
      </c>
      <c r="D68" s="2569">
        <f>'数据-取费表'!B41</f>
        <v>5.6000000000000001E-2</v>
      </c>
      <c r="E68" s="178"/>
      <c r="F68" s="1807"/>
      <c r="G68" s="1807"/>
      <c r="H68" s="1809"/>
      <c r="I68" s="129"/>
      <c r="J68" s="3577"/>
      <c r="K68" s="1331" t="s">
        <v>1392</v>
      </c>
      <c r="L68" s="1331">
        <f ca="1">IF(M49&gt;10000,M49*0.5%,IF(AND(M49&gt;5000,M49&lt;=10000),M49*1%,IF(AND(M49&gt;1000,M49&lt;=5000),M49*2%,IF(AND(M49&gt;200,M49&lt;=1000),M49*3%,M49*5%))))</f>
        <v>51.84</v>
      </c>
      <c r="M68" s="302">
        <f ca="1">ROUND(L68,1)</f>
        <v>51.8</v>
      </c>
      <c r="N68" s="2542"/>
      <c r="Z68" s="1751"/>
      <c r="AI68" s="1752"/>
    </row>
    <row r="69" spans="1:35" s="1771" customFormat="1" ht="16.5" customHeight="1">
      <c r="A69" s="1810"/>
      <c r="B69" s="1811"/>
      <c r="C69" s="1812"/>
      <c r="D69" s="1813"/>
      <c r="E69" s="1814"/>
      <c r="F69" s="1577"/>
      <c r="G69" s="1577"/>
      <c r="H69" s="1576"/>
      <c r="I69" s="1746"/>
      <c r="J69" s="3577"/>
      <c r="K69" s="1331" t="s">
        <v>1393</v>
      </c>
      <c r="L69" s="1331"/>
      <c r="M69" s="302">
        <f ca="1">ROUND(SUM(M63:M68),0)</f>
        <v>174</v>
      </c>
      <c r="N69" s="2544">
        <f ca="1">M69/M49</f>
        <v>1.6782407407407409E-2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1" t="s">
        <v>1394</v>
      </c>
      <c r="B70" s="3622"/>
      <c r="C70" s="3622"/>
      <c r="D70" s="3622"/>
      <c r="E70" s="3622"/>
      <c r="F70" s="3622"/>
      <c r="G70" s="3622"/>
      <c r="H70" s="362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3" t="s">
        <v>1375</v>
      </c>
      <c r="B71" s="361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9874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8" t="s">
        <v>1402</v>
      </c>
      <c r="F76" s="3617"/>
      <c r="G76" s="3617"/>
      <c r="H76" s="362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4.0500000000000001E-2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59</v>
      </c>
      <c r="D78" s="2576">
        <f>'数据-取费表'!B43</f>
        <v>6.000000000000001E-3</v>
      </c>
      <c r="E78" s="3610" t="s">
        <v>1406</v>
      </c>
      <c r="F78" s="3611"/>
      <c r="G78" s="3611"/>
      <c r="H78" s="361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9815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166.35593220338984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5868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1" t="s">
        <v>1410</v>
      </c>
      <c r="B83" s="3622"/>
      <c r="C83" s="3622"/>
      <c r="D83" s="3622"/>
      <c r="E83" s="3622"/>
      <c r="F83" s="3622"/>
      <c r="G83" s="3622"/>
      <c r="H83" s="362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3" t="s">
        <v>1375</v>
      </c>
      <c r="B84" s="361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9874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59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4.0500000000000001E-2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9" t="s">
        <v>2128</v>
      </c>
      <c r="H90" s="358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0" t="s">
        <v>1419</v>
      </c>
      <c r="F91" s="3611"/>
      <c r="G91" s="361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0" t="s">
        <v>1422</v>
      </c>
      <c r="F92" s="3611"/>
      <c r="G92" s="3611"/>
      <c r="H92" s="361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59</v>
      </c>
      <c r="D93" s="2576">
        <f>'数据-取费表'!B43</f>
        <v>6.000000000000001E-3</v>
      </c>
      <c r="E93" s="3610" t="s">
        <v>1406</v>
      </c>
      <c r="F93" s="3611"/>
      <c r="G93" s="3611"/>
      <c r="H93" s="361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5" t="s">
        <v>1426</v>
      </c>
      <c r="F94" s="3656"/>
      <c r="G94" s="3656"/>
      <c r="H94" s="365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9815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166.35593220338984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5868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0" t="s">
        <v>1428</v>
      </c>
      <c r="B100" s="3561"/>
      <c r="C100" s="3561"/>
      <c r="D100" s="3595"/>
      <c r="E100" s="3561" t="s">
        <v>1429</v>
      </c>
      <c r="F100" s="3561"/>
      <c r="G100" s="3561"/>
      <c r="H100" s="3595"/>
      <c r="I100" s="129"/>
    </row>
    <row r="101" spans="1:35" ht="18.75" customHeight="1">
      <c r="A101" s="3603" t="s">
        <v>1430</v>
      </c>
      <c r="B101" s="3604"/>
      <c r="C101" s="2584" t="str">
        <f>C4</f>
        <v>成本法</v>
      </c>
      <c r="D101" s="2585" t="str">
        <f>D4</f>
        <v>收益法</v>
      </c>
      <c r="E101" s="3573" t="s">
        <v>1431</v>
      </c>
      <c r="F101" s="3574"/>
      <c r="G101" s="1826" t="s">
        <v>1432</v>
      </c>
      <c r="H101" s="2594">
        <f ca="1">H118</f>
        <v>10368</v>
      </c>
      <c r="I101" s="129"/>
    </row>
    <row r="102" spans="1:35" ht="18.75" customHeight="1">
      <c r="A102" s="3605" t="s">
        <v>1433</v>
      </c>
      <c r="B102" s="2583" t="s">
        <v>1432</v>
      </c>
      <c r="C102" s="2584">
        <f ca="1">IF(D32="楼面单价",ROUND(C19,0),C19)</f>
        <v>9358</v>
      </c>
      <c r="D102" s="2585">
        <f ca="1">IF(D32="楼面单价",ROUND(D19,0),D19)</f>
        <v>11377</v>
      </c>
      <c r="E102" s="3573"/>
      <c r="F102" s="3574"/>
      <c r="G102" s="1826" t="s">
        <v>1434</v>
      </c>
      <c r="H102" s="2554">
        <f ca="1">I118</f>
        <v>3504</v>
      </c>
      <c r="I102" s="129"/>
    </row>
    <row r="103" spans="1:35" ht="42.75" customHeight="1">
      <c r="A103" s="3605"/>
      <c r="B103" s="2583" t="s">
        <v>1434</v>
      </c>
      <c r="C103" s="2586">
        <f ca="1">C20</f>
        <v>3163</v>
      </c>
      <c r="D103" s="2587">
        <f ca="1">D20</f>
        <v>3845</v>
      </c>
      <c r="E103" s="3566" t="s">
        <v>1435</v>
      </c>
      <c r="F103" s="3567"/>
      <c r="G103" s="1827" t="s">
        <v>1436</v>
      </c>
      <c r="H103" s="2594">
        <f>IF(D36="正常操作",H104+H105+H106,H105+H106)</f>
        <v>0</v>
      </c>
      <c r="I103" s="129"/>
    </row>
    <row r="104" spans="1:35" ht="18.75" customHeight="1">
      <c r="A104" s="3605" t="s">
        <v>1437</v>
      </c>
      <c r="B104" s="2588" t="s">
        <v>1432</v>
      </c>
      <c r="C104" s="2589">
        <f ca="1">H118</f>
        <v>10368</v>
      </c>
      <c r="D104" s="2590"/>
      <c r="E104" s="1673" t="s">
        <v>1438</v>
      </c>
      <c r="F104" s="1665"/>
      <c r="G104" s="1827" t="s">
        <v>1436</v>
      </c>
      <c r="H104" s="2595">
        <f>IF(D36="同一抵押权人同一抵押物续贷",C36&amp;"（续贷，未扣减，详见特别提示）",C36)</f>
        <v>0</v>
      </c>
      <c r="I104" s="129"/>
    </row>
    <row r="105" spans="1:35" ht="18.75" customHeight="1" thickBot="1">
      <c r="A105" s="3615"/>
      <c r="B105" s="2591" t="s">
        <v>1434</v>
      </c>
      <c r="C105" s="2592">
        <f ca="1">I118</f>
        <v>3504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6" t="str">
        <f>IF(项目基本情况!E8="已注销","——","3.房地产抵押价值")</f>
        <v>3.房地产抵押价值</v>
      </c>
      <c r="F107" s="3574"/>
      <c r="G107" s="1826" t="s">
        <v>1432</v>
      </c>
      <c r="H107" s="2594">
        <f ca="1">IF(E107="——","——",H101-H103)</f>
        <v>10368</v>
      </c>
      <c r="I107" s="129"/>
    </row>
    <row r="108" spans="1:35" ht="18.75" customHeight="1">
      <c r="A108" s="129"/>
      <c r="B108" s="129"/>
      <c r="C108" s="129"/>
      <c r="D108" s="129"/>
      <c r="E108" s="3606"/>
      <c r="F108" s="3574"/>
      <c r="G108" s="1826" t="s">
        <v>1434</v>
      </c>
      <c r="H108" s="2554">
        <f ca="1">IF(H107=H101,H102,ROUND(H107*10000/'数据-汇总表'!E3,0))</f>
        <v>3504</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6" t="s">
        <v>1432</v>
      </c>
      <c r="H109" s="2597" t="str">
        <f>IF(E109="——","——",H101-H105-H106)</f>
        <v>——</v>
      </c>
      <c r="I109" s="129"/>
    </row>
    <row r="110" spans="1:35" ht="18.75" customHeight="1">
      <c r="A110" s="129"/>
      <c r="B110" s="129"/>
      <c r="C110" s="129"/>
      <c r="D110" s="129"/>
      <c r="E110" s="3606"/>
      <c r="F110" s="3574"/>
      <c r="G110" s="1826" t="s">
        <v>1434</v>
      </c>
      <c r="H110" s="2554"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6" t="s">
        <v>1432</v>
      </c>
      <c r="H111" s="2594" t="str">
        <f>IF(E111="——","——",N59)</f>
        <v>——</v>
      </c>
      <c r="I111" s="129"/>
    </row>
    <row r="112" spans="1:35" ht="18.75" customHeight="1" thickBot="1">
      <c r="A112" s="129"/>
      <c r="B112" s="129"/>
      <c r="C112" s="129"/>
      <c r="D112" s="129"/>
      <c r="E112" s="3608"/>
      <c r="F112" s="3609"/>
      <c r="G112" s="1829" t="s">
        <v>1434</v>
      </c>
      <c r="H112" s="2598" t="str">
        <f>IF(E111="——","——",N61)</f>
        <v>——</v>
      </c>
      <c r="I112" s="129"/>
    </row>
    <row r="113" spans="1:27" ht="18.75" customHeight="1">
      <c r="A113" s="129"/>
      <c r="B113" s="129"/>
      <c r="C113" s="129"/>
      <c r="D113" s="129"/>
      <c r="E113" s="3616" t="s">
        <v>1440</v>
      </c>
      <c r="F113" s="3616"/>
      <c r="G113" s="3616"/>
      <c r="H113" s="3616"/>
      <c r="I113" s="129"/>
    </row>
    <row r="114" spans="1:27" ht="3.75" customHeight="1">
      <c r="A114" s="1746"/>
      <c r="B114" s="1746"/>
      <c r="C114" s="1746"/>
      <c r="D114" s="1746"/>
      <c r="E114" s="1808"/>
      <c r="F114" s="1808"/>
      <c r="G114" s="1808"/>
      <c r="H114" s="1808"/>
      <c r="I114" s="1746"/>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8" t="s">
        <v>1449</v>
      </c>
      <c r="E117" s="2328" t="s">
        <v>1450</v>
      </c>
      <c r="F117" s="2328" t="s">
        <v>1449</v>
      </c>
      <c r="G117" s="2328" t="s">
        <v>1451</v>
      </c>
      <c r="H117" s="2328" t="s">
        <v>1449</v>
      </c>
      <c r="I117" s="2328" t="s">
        <v>1451</v>
      </c>
    </row>
    <row r="118" spans="1:27" ht="24.75" customHeight="1">
      <c r="A118" s="2599" t="str">
        <f>项目基本情况!S2</f>
        <v>房地产</v>
      </c>
      <c r="B118" s="2328">
        <f>M18</f>
        <v>29587.64</v>
      </c>
      <c r="C118" s="2328">
        <f>M19</f>
        <v>24593</v>
      </c>
      <c r="D118" s="2328">
        <f ca="1">ROUND(IF(D32="总价",C34,E118*B118/10000),0)</f>
        <v>2405</v>
      </c>
      <c r="E118" s="2328">
        <f ca="1">ROUND(IF(C33="自定义",IF(D32="楼面单价",C34,D118*10000/B118),I118-G118),0)</f>
        <v>813</v>
      </c>
      <c r="F118" s="2328">
        <f ca="1">ROUND(IF(D32="总价",C35,G118*B118/10000),0)</f>
        <v>7963</v>
      </c>
      <c r="G118" s="2328">
        <f ca="1">ROUND(IF(D32="楼面单价",C35,F118*10000/B118),0)</f>
        <v>2691</v>
      </c>
      <c r="H118" s="2328">
        <f ca="1">ROUND(IF(D32="总价",C32,I118*B118/10000),0)</f>
        <v>10368</v>
      </c>
      <c r="I118" s="2328">
        <f ca="1">ROUND(IF(D32="楼面单价",C32,H118*10000/B118),0)</f>
        <v>3504</v>
      </c>
    </row>
    <row r="119" spans="1:27" ht="18.75" customHeight="1">
      <c r="A119" s="3581" t="s">
        <v>1452</v>
      </c>
      <c r="B119" s="3581"/>
      <c r="C119" s="3581"/>
      <c r="D119" s="3587" t="str">
        <f ca="1">NUMBERSTRING(INT(D118*10000),2)&amp;"元整"</f>
        <v>贰仟肆佰零伍万元整</v>
      </c>
      <c r="E119" s="3588"/>
      <c r="F119" s="3587" t="str">
        <f ca="1">NUMBERSTRING(INT(F118*10000),2)&amp;"元整"</f>
        <v>柒仟玖佰陆拾叁万元整</v>
      </c>
      <c r="G119" s="3588"/>
      <c r="H119" s="3587" t="str">
        <f ca="1">NUMBERSTRING(INT(H118*10000),2)&amp;"元整"</f>
        <v>壹亿零叁佰陆拾捌万元整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7" t="s">
        <v>1452</v>
      </c>
      <c r="B121" s="3589"/>
      <c r="C121" s="3588"/>
      <c r="D121" s="3587" t="str">
        <f>IF(D120=0,"零元整",NUMBERSTRING(INT(D120*10000),2)&amp;"元整")</f>
        <v>零元整</v>
      </c>
      <c r="E121" s="3589"/>
      <c r="F121" s="3589"/>
      <c r="G121" s="3589"/>
      <c r="H121" s="3589"/>
      <c r="I121" s="3588"/>
      <c r="AA121" s="725"/>
    </row>
    <row r="122" spans="1:27" ht="18.75" customHeight="1">
      <c r="A122" s="3593" t="str">
        <f>IF(项目基本情况!B9="房地产市场价值","",MID(E107,3,LEN(E107)-2))</f>
        <v>房地产抵押价值</v>
      </c>
      <c r="B122" s="3593"/>
      <c r="C122" s="3593"/>
      <c r="D122" s="3582">
        <f ca="1">H107</f>
        <v>10368</v>
      </c>
      <c r="E122" s="3583"/>
      <c r="F122" s="3583"/>
      <c r="G122" s="3583"/>
      <c r="H122" s="3583"/>
      <c r="I122" s="3584"/>
      <c r="AA122" s="725"/>
    </row>
    <row r="123" spans="1:27" ht="18.75" customHeight="1">
      <c r="A123" s="3581" t="s">
        <v>1452</v>
      </c>
      <c r="B123" s="3581"/>
      <c r="C123" s="3581"/>
      <c r="D123" s="3587" t="str">
        <f ca="1">NUMBERSTRING(INT(D122*10000),2)&amp;"元整"</f>
        <v>壹亿零叁佰陆拾捌万元整</v>
      </c>
      <c r="E123" s="3589"/>
      <c r="F123" s="3589"/>
      <c r="G123" s="3589"/>
      <c r="H123" s="3589"/>
      <c r="I123" s="3588"/>
      <c r="AA123" s="725"/>
    </row>
    <row r="124" spans="1:27" ht="18.75" customHeight="1">
      <c r="A124" s="3593" t="str">
        <f>IF(项目基本情况!B9="房地产市场价值","",MID(E109,3,LEN(E109)-2))</f>
        <v/>
      </c>
      <c r="B124" s="3593"/>
      <c r="C124" s="3593"/>
      <c r="D124" s="3582" t="str">
        <f>H109</f>
        <v>——</v>
      </c>
      <c r="E124" s="3583"/>
      <c r="F124" s="3583"/>
      <c r="G124" s="3583"/>
      <c r="H124" s="3583"/>
      <c r="I124" s="3584"/>
      <c r="AA124" s="725"/>
    </row>
    <row r="125" spans="1:27" ht="18.75" customHeight="1">
      <c r="A125" s="3581" t="s">
        <v>1452</v>
      </c>
      <c r="B125" s="3581"/>
      <c r="C125" s="3581"/>
      <c r="D125" s="3587" t="e">
        <f>NUMBERSTRING(INT(D124*10000),2)&amp;"元整"</f>
        <v>#VALUE!</v>
      </c>
      <c r="E125" s="3589"/>
      <c r="F125" s="3589"/>
      <c r="G125" s="3589"/>
      <c r="H125" s="3589"/>
      <c r="I125" s="3588"/>
      <c r="AA125" s="725"/>
    </row>
    <row r="126" spans="1:27" ht="18.75" customHeight="1">
      <c r="A126" s="3593" t="str">
        <f>IF(项目基本情况!B9="房地产市场价值","",MID(E111,3,LEN(E111)-2))</f>
        <v/>
      </c>
      <c r="B126" s="3593"/>
      <c r="C126" s="3593"/>
      <c r="D126" s="3582" t="str">
        <f>H111</f>
        <v>——</v>
      </c>
      <c r="E126" s="3583"/>
      <c r="F126" s="3583"/>
      <c r="G126" s="3583"/>
      <c r="H126" s="3583"/>
      <c r="I126" s="3584"/>
      <c r="AA126" s="725"/>
    </row>
    <row r="127" spans="1:27" ht="18.75" customHeight="1">
      <c r="A127" s="3581" t="s">
        <v>1452</v>
      </c>
      <c r="B127" s="3581"/>
      <c r="C127" s="3581"/>
      <c r="D127" s="3587" t="e">
        <f>NUMBERSTRING(INT(D126*10000),2)&amp;"元整"</f>
        <v>#VALUE!</v>
      </c>
      <c r="E127" s="3589"/>
      <c r="F127" s="3589"/>
      <c r="G127" s="3589"/>
      <c r="H127" s="3589"/>
      <c r="I127" s="3588"/>
      <c r="AA127" s="725"/>
    </row>
    <row r="128" spans="1:27" ht="21.75" customHeight="1">
      <c r="A128" s="3590" t="s">
        <v>1453</v>
      </c>
      <c r="B128" s="3590"/>
      <c r="C128" s="3590"/>
      <c r="D128" s="3590"/>
      <c r="E128" s="3590"/>
      <c r="F128" s="3590"/>
      <c r="G128" s="3590"/>
      <c r="H128" s="3590"/>
      <c r="I128" s="359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9358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3163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1796</v>
      </c>
      <c r="D5" s="211" t="s">
        <v>1469</v>
      </c>
      <c r="E5" s="212" t="s">
        <v>1470</v>
      </c>
      <c r="F5" s="212" t="s">
        <v>1471</v>
      </c>
      <c r="G5" s="213"/>
    </row>
    <row r="6" spans="1:9" s="214" customFormat="1" ht="13.5" customHeight="1">
      <c r="A6" s="778" t="s">
        <v>1472</v>
      </c>
      <c r="B6" s="215" t="s">
        <v>1473</v>
      </c>
      <c r="C6" s="216">
        <f>'土地比较法-工业'!B2</f>
        <v>1414</v>
      </c>
      <c r="D6" s="217"/>
      <c r="E6" s="218"/>
      <c r="F6" s="218"/>
      <c r="G6" s="219"/>
    </row>
    <row r="7" spans="1:9" s="214" customFormat="1" ht="13.5" customHeight="1">
      <c r="A7" s="778" t="s">
        <v>1474</v>
      </c>
      <c r="B7" s="215" t="s">
        <v>1475</v>
      </c>
      <c r="C7" s="220">
        <f>ROUND(C6*F7,0)</f>
        <v>57</v>
      </c>
      <c r="D7" s="220"/>
      <c r="E7" s="218"/>
      <c r="F7" s="221">
        <f>IF(项目基本情况!B8="出让",0,'数据-取费表'!B48+'数据-取费表'!B49)</f>
        <v>4.0500000000000001E-2</v>
      </c>
      <c r="G7" s="219"/>
    </row>
    <row r="8" spans="1:9" s="223" customFormat="1">
      <c r="A8" s="778" t="s">
        <v>1476</v>
      </c>
      <c r="B8" s="215" t="s">
        <v>1477</v>
      </c>
      <c r="C8" s="220">
        <f ca="1">IF(G8="已包含在土地购买价格中","0",IF(B1="",'数据-取费表'!B29,IF(G9="全部缴纳",C9+C10,H9)))</f>
        <v>325</v>
      </c>
      <c r="D8" s="222"/>
      <c r="E8" s="220"/>
      <c r="F8" s="221"/>
      <c r="G8" s="1855" t="s">
        <v>3658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3659</v>
      </c>
      <c r="H9" s="1137"/>
      <c r="I9" s="1857" t="s">
        <v>1479</v>
      </c>
    </row>
    <row r="10" spans="1:9" s="214" customFormat="1" ht="13.5" customHeight="1">
      <c r="A10" s="779" t="s">
        <v>356</v>
      </c>
      <c r="B10" s="224" t="s">
        <v>1480</v>
      </c>
      <c r="C10" s="225">
        <f ca="1">ROUND(D10*E10/10000,0)</f>
        <v>325</v>
      </c>
      <c r="D10" s="845">
        <f ca="1">IF(B1="",'数据-汇总表'!E6,IF(INDIRECT("'数据-取费表'!c"&amp;$G$1)="住宅",INDIRECT("'数据-取费表'!s"&amp;$G$1),INDIRECT("'数据-取费表'!k"&amp;$G$1)+INDIRECT("'数据-取费表'!s"&amp;$G$1)))</f>
        <v>29587.64</v>
      </c>
      <c r="E10" s="225">
        <f>'数据-取费表'!B28</f>
        <v>110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29587.64</v>
      </c>
      <c r="E19" s="211">
        <f>'数据-取费表'!B31</f>
        <v>200</v>
      </c>
      <c r="F19" s="231"/>
      <c r="G19" s="1855" t="s">
        <v>3660</v>
      </c>
    </row>
    <row r="20" spans="1:7" s="214" customFormat="1" ht="13.5" customHeight="1">
      <c r="A20" s="255" t="s">
        <v>1493</v>
      </c>
      <c r="B20" s="210" t="s">
        <v>1494</v>
      </c>
      <c r="C20" s="232">
        <f ca="1">ROUND((C5+C19)*F20,0)</f>
        <v>36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84</v>
      </c>
      <c r="D22" s="235">
        <f ca="1">C26</f>
        <v>5.0000000000000001E-4</v>
      </c>
      <c r="E22" s="236" t="s">
        <v>1498</v>
      </c>
      <c r="F22" s="237">
        <f ca="1">'数据-取费表'!B40</f>
        <v>3.0599999999999999E-2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92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92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2170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7791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6728</v>
      </c>
      <c r="D34" s="217"/>
      <c r="E34" s="220"/>
      <c r="F34" s="257">
        <f ca="1">IF('数据-取费表'!B24=0,1,IF(B1="",'数据-取费表'!N16,INDIRECT("'数据-取费表'!n"&amp;$G$1)))</f>
        <v>1</v>
      </c>
      <c r="G34" s="219" t="s">
        <v>1526</v>
      </c>
    </row>
    <row r="35" spans="1:7" ht="13.5" customHeight="1">
      <c r="A35" s="780" t="s">
        <v>351</v>
      </c>
      <c r="B35" s="215" t="s">
        <v>1527</v>
      </c>
      <c r="C35" s="220">
        <f ca="1">ROUND(C34*F35,0)</f>
        <v>336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592</v>
      </c>
      <c r="D37" s="217">
        <f ca="1">D19</f>
        <v>29587.64</v>
      </c>
      <c r="E37" s="249">
        <f>'数据-取费表'!B35</f>
        <v>200</v>
      </c>
      <c r="F37" s="259"/>
      <c r="G37" s="261" t="s">
        <v>1532</v>
      </c>
    </row>
    <row r="38" spans="1:7" ht="13.5" customHeight="1">
      <c r="A38" s="780" t="s">
        <v>354</v>
      </c>
      <c r="B38" s="215" t="s">
        <v>1533</v>
      </c>
      <c r="C38" s="220">
        <f ca="1">ROUND(C34*F38,0)</f>
        <v>135</v>
      </c>
      <c r="D38" s="220"/>
      <c r="E38" s="220"/>
      <c r="F38" s="259">
        <f>'数据-取费表'!B36</f>
        <v>0.02</v>
      </c>
      <c r="G38" s="219" t="s">
        <v>1528</v>
      </c>
    </row>
    <row r="39" spans="1:7" s="214" customFormat="1" ht="13.5" customHeight="1">
      <c r="A39" s="255" t="s">
        <v>1534</v>
      </c>
      <c r="B39" s="210" t="s">
        <v>1535</v>
      </c>
      <c r="C39" s="232">
        <f ca="1">ROUND(C33*F20,0)</f>
        <v>156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182</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178</v>
      </c>
      <c r="D42" s="238"/>
      <c r="E42" s="238"/>
      <c r="F42" s="239"/>
      <c r="G42" s="3660" t="s">
        <v>1544</v>
      </c>
    </row>
    <row r="43" spans="1:7" ht="13.5" customHeight="1">
      <c r="A43" s="780" t="s">
        <v>347</v>
      </c>
      <c r="B43" s="215" t="s">
        <v>1545</v>
      </c>
      <c r="C43" s="238">
        <f ca="1">ROUND(IF('数据-取费表'!B22&lt;=1,C39*F22*'数据-取费表'!B21/2,C39*(POWER((1+F22),'数据-取费表'!B21/2)-1)),0)</f>
        <v>4</v>
      </c>
      <c r="D43" s="238"/>
      <c r="E43" s="238"/>
      <c r="F43" s="239"/>
      <c r="G43" s="3661"/>
    </row>
    <row r="44" spans="1:7" ht="13.5" customHeight="1">
      <c r="A44" s="780" t="s">
        <v>348</v>
      </c>
      <c r="B44" s="215" t="s">
        <v>1546</v>
      </c>
      <c r="C44" s="238">
        <f ca="1">ROUND(IF('数据-取费表'!B22&lt;=1,C40*F22*'数据-取费表'!B21/2,C40*(POWER((1+F22),'数据-取费表'!B21/2)-1)),4)</f>
        <v>5.0000000000000001E-4</v>
      </c>
      <c r="D44" s="238"/>
      <c r="E44" s="238"/>
      <c r="F44" s="239"/>
      <c r="G44" s="3662"/>
    </row>
    <row r="45" spans="1:7" s="214" customFormat="1" ht="13.5" customHeight="1">
      <c r="A45" s="255" t="s">
        <v>1547</v>
      </c>
      <c r="B45" s="244" t="s">
        <v>1513</v>
      </c>
      <c r="C45" s="245">
        <f ca="1">C46</f>
        <v>397</v>
      </c>
      <c r="D45" s="235">
        <f ca="1">C47</f>
        <v>1E-3</v>
      </c>
      <c r="E45" s="236" t="s">
        <v>1539</v>
      </c>
      <c r="F45" s="246">
        <f ca="1">F27</f>
        <v>0.05</v>
      </c>
      <c r="G45" s="247" t="s">
        <v>1548</v>
      </c>
    </row>
    <row r="46" spans="1:7" s="214" customFormat="1" ht="13.5" customHeight="1">
      <c r="A46" s="780" t="s">
        <v>346</v>
      </c>
      <c r="B46" s="248" t="s">
        <v>1549</v>
      </c>
      <c r="C46" s="249">
        <f ca="1">ROUND((C33+C39)*F27,0)</f>
        <v>397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9215</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7188</v>
      </c>
      <c r="D51" s="232"/>
      <c r="E51" s="232"/>
      <c r="F51" s="264"/>
      <c r="G51" s="234" t="s">
        <v>1560</v>
      </c>
    </row>
    <row r="52" spans="1:7" s="208" customFormat="1" ht="16.5" thickBot="1">
      <c r="A52" s="265" t="s">
        <v>1561</v>
      </c>
      <c r="B52" s="266"/>
      <c r="C52" s="267">
        <f ca="1">C31+C51</f>
        <v>9358</v>
      </c>
      <c r="D52" s="266"/>
      <c r="E52" s="266"/>
      <c r="F52" s="266"/>
      <c r="G52" s="268"/>
    </row>
    <row r="55" spans="1:7" ht="15">
      <c r="B55" s="270" t="s">
        <v>1562</v>
      </c>
      <c r="C55" s="271"/>
    </row>
    <row r="56" spans="1:7">
      <c r="B56" s="273" t="s">
        <v>802</v>
      </c>
      <c r="C56" s="275">
        <f ca="1">1-C57</f>
        <v>0.23199999999999998</v>
      </c>
    </row>
    <row r="57" spans="1:7">
      <c r="B57" s="273" t="s">
        <v>803</v>
      </c>
      <c r="C57" s="274">
        <f ca="1">ROUND(C51/C52,3)</f>
        <v>0.76800000000000002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房地产抵押价值预评估</v>
      </c>
      <c r="C37" s="3477"/>
      <c r="D37" s="3477"/>
      <c r="E37" s="3477"/>
      <c r="F37" s="3477"/>
      <c r="G37" s="3477"/>
      <c r="H37" s="3477"/>
      <c r="I37" s="347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8295.8364999999994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2804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3254640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4.0500000000000001E-2</v>
      </c>
      <c r="G7" s="219"/>
    </row>
    <row r="8" spans="1:8" s="223" customFormat="1">
      <c r="A8" s="778" t="s">
        <v>1476</v>
      </c>
      <c r="B8" s="215" t="s">
        <v>1477</v>
      </c>
      <c r="C8" s="220">
        <f ca="1">IF(G8="已包含在土地购买价格中",0,C9+C10)</f>
        <v>3254640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3254640</v>
      </c>
      <c r="D10" s="845">
        <f ca="1">IF(B1="",'数据-汇总表'!E6,IF(INDIRECT("'数据-取费表'!c"&amp;$G$1)="住宅",INDIRECT("'数据-取费表'!s"&amp;$G$1),INDIRECT("'数据-取费表'!k"&amp;$G$1)+INDIRECT("'数据-取费表'!s"&amp;$G$1)))</f>
        <v>29587.64</v>
      </c>
      <c r="E10" s="225">
        <f>'数据-取费表'!B28</f>
        <v>110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5917528</v>
      </c>
      <c r="D19" s="849">
        <f ca="1">D9+D10</f>
        <v>29587.64</v>
      </c>
      <c r="E19" s="211">
        <f>'数据-取费表'!B31</f>
        <v>200</v>
      </c>
      <c r="F19" s="231"/>
      <c r="G19" s="1855"/>
    </row>
    <row r="20" spans="1:7" s="214" customFormat="1" ht="13.5" customHeight="1">
      <c r="A20" s="255" t="s">
        <v>1574</v>
      </c>
      <c r="B20" s="210" t="s">
        <v>1575</v>
      </c>
      <c r="C20" s="232">
        <f ca="1">ROUND((C5+C19)*F20,0)</f>
        <v>183443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428401</v>
      </c>
      <c r="D22" s="235">
        <f ca="1">C26</f>
        <v>5.0000000000000001E-4</v>
      </c>
      <c r="E22" s="236" t="s">
        <v>1579</v>
      </c>
      <c r="F22" s="237">
        <f ca="1">'数据-取费表'!B40</f>
        <v>3.0599999999999999E-2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150525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273682</v>
      </c>
      <c r="D24" s="238"/>
      <c r="E24" s="238"/>
      <c r="F24" s="239"/>
      <c r="G24" s="240" t="s">
        <v>1586</v>
      </c>
    </row>
    <row r="25" spans="1:7" s="214" customFormat="1" ht="24">
      <c r="A25" s="780" t="s">
        <v>1476</v>
      </c>
      <c r="B25" s="215" t="s">
        <v>1587</v>
      </c>
      <c r="C25" s="1128">
        <f ca="1">ROUND(IF('数据-取费表'!B22&lt;=1,C20*F22*'数据-取费表'!B22/2,C20*(POWER((1+F22),'数据-取费表'!B22/2)-1)),0)</f>
        <v>4194</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467781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467781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11080624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77909582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67282293</v>
      </c>
      <c r="D34" s="217"/>
      <c r="E34" s="220"/>
      <c r="F34" s="257"/>
      <c r="G34" s="219"/>
    </row>
    <row r="35" spans="1:7" ht="13.5" customHeight="1">
      <c r="A35" s="780" t="s">
        <v>351</v>
      </c>
      <c r="B35" s="215" t="s">
        <v>1527</v>
      </c>
      <c r="C35" s="220">
        <f ca="1">ROUND(C34*F35,0)</f>
        <v>3364115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5917528</v>
      </c>
      <c r="D37" s="217">
        <f ca="1">D19</f>
        <v>29587.64</v>
      </c>
      <c r="E37" s="249">
        <f>'数据-取费表'!B35</f>
        <v>200</v>
      </c>
      <c r="F37" s="259"/>
      <c r="G37" s="261"/>
    </row>
    <row r="38" spans="1:7" ht="13.5" customHeight="1">
      <c r="A38" s="780" t="s">
        <v>354</v>
      </c>
      <c r="B38" s="215" t="s">
        <v>1533</v>
      </c>
      <c r="C38" s="220">
        <f ca="1">ROUND(C34*F38,0)</f>
        <v>1345646</v>
      </c>
      <c r="D38" s="220"/>
      <c r="E38" s="220"/>
      <c r="F38" s="259">
        <f>'数据-取费表'!B36</f>
        <v>0.02</v>
      </c>
      <c r="G38" s="219" t="s">
        <v>1528</v>
      </c>
    </row>
    <row r="39" spans="1:7" s="214" customFormat="1" ht="13.5" customHeight="1">
      <c r="A39" s="255" t="s">
        <v>1534</v>
      </c>
      <c r="B39" s="210" t="s">
        <v>1535</v>
      </c>
      <c r="C39" s="232">
        <f ca="1">ROUND(C33*F20,0)</f>
        <v>1558192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1816896</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1781271</v>
      </c>
      <c r="D42" s="238"/>
      <c r="E42" s="238"/>
      <c r="F42" s="239"/>
      <c r="G42" s="3660" t="s">
        <v>1591</v>
      </c>
    </row>
    <row r="43" spans="1:7" ht="13.5" customHeight="1">
      <c r="A43" s="780" t="s">
        <v>347</v>
      </c>
      <c r="B43" s="215" t="s">
        <v>1545</v>
      </c>
      <c r="C43" s="238">
        <f ca="1">ROUND(IF('数据-取费表'!B22&lt;=1,C39*F22*'数据-取费表'!B20/2,C39*(POWER((1+F22),'数据-取费表'!B20/2)-1)),0)</f>
        <v>35625</v>
      </c>
      <c r="D43" s="238"/>
      <c r="E43" s="238"/>
      <c r="F43" s="239"/>
      <c r="G43" s="3661"/>
    </row>
    <row r="44" spans="1:7" ht="13.5" customHeight="1">
      <c r="A44" s="780" t="s">
        <v>348</v>
      </c>
      <c r="B44" s="215" t="s">
        <v>1546</v>
      </c>
      <c r="C44" s="238">
        <f ca="1">ROUND(IF('数据-取费表'!B22&lt;=1,C40*F22*'数据-取费表'!B20/2,C40*(POWER((1+F22),'数据-取费表'!B20/2)-1)),4)</f>
        <v>5.0000000000000001E-4</v>
      </c>
      <c r="D44" s="238"/>
      <c r="E44" s="238"/>
      <c r="F44" s="239"/>
      <c r="G44" s="3662"/>
    </row>
    <row r="45" spans="1:7" s="214" customFormat="1" ht="13.5" customHeight="1">
      <c r="A45" s="255" t="s">
        <v>1547</v>
      </c>
      <c r="B45" s="244" t="s">
        <v>1513</v>
      </c>
      <c r="C45" s="245">
        <f ca="1">C46</f>
        <v>3973389</v>
      </c>
      <c r="D45" s="235">
        <f ca="1">C47</f>
        <v>1E-3</v>
      </c>
      <c r="E45" s="236" t="s">
        <v>1539</v>
      </c>
      <c r="F45" s="246">
        <f ca="1">F27</f>
        <v>0.05</v>
      </c>
      <c r="G45" s="247" t="s">
        <v>1548</v>
      </c>
    </row>
    <row r="46" spans="1:7" s="214" customFormat="1" ht="13.5" customHeight="1">
      <c r="A46" s="780" t="s">
        <v>346</v>
      </c>
      <c r="B46" s="248" t="s">
        <v>1549</v>
      </c>
      <c r="C46" s="249">
        <f ca="1">ROUND((C33+C39)*F27,0)</f>
        <v>3973389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92150950</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71877741</v>
      </c>
      <c r="D51" s="232"/>
      <c r="E51" s="232"/>
      <c r="F51" s="264"/>
      <c r="G51" s="234" t="s">
        <v>1560</v>
      </c>
    </row>
    <row r="52" spans="1:7" s="208" customFormat="1" ht="16.5" thickBot="1">
      <c r="A52" s="265" t="s">
        <v>1561</v>
      </c>
      <c r="B52" s="266"/>
      <c r="C52" s="267">
        <f ca="1">C31+C51</f>
        <v>82958365</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29587.64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29587.64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325</v>
      </c>
      <c r="D20" s="846">
        <f ca="1">IF(C1="",'数据-汇总表'!E6,IF(INDIRECT("'数据-取费表'!c"&amp;$K$1)="住宅",INDIRECT("'数据-取费表'!s"&amp;$K$1),INDIRECT("'数据-取费表'!k"&amp;$K$1)+INDIRECT("'数据-取费表'!s"&amp;$K$1)))</f>
        <v>29587.64</v>
      </c>
      <c r="E20" s="21">
        <f>'数据-取费表'!B28</f>
        <v>110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3.8600000000000002E-2</v>
      </c>
      <c r="D24" s="281" t="s">
        <v>12</v>
      </c>
      <c r="E24" s="281"/>
      <c r="F24" s="816">
        <f>IF(项目基本情况!B8="出让",0,'数据-取费表'!B48+'数据-取费表'!B49)</f>
        <v>4.0500000000000001E-2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3.0599999999999999E-2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32.93</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11377</v>
      </c>
      <c r="C2" s="1386" t="s">
        <v>805</v>
      </c>
      <c r="D2" s="1386"/>
      <c r="E2" s="1387"/>
      <c r="F2" s="1388"/>
      <c r="G2" s="2705"/>
      <c r="H2" s="2694"/>
      <c r="I2" s="2694"/>
      <c r="J2" s="2694"/>
      <c r="K2" s="2695"/>
      <c r="L2" s="2694"/>
      <c r="M2" s="2694"/>
    </row>
    <row r="3" spans="1:37" ht="18" customHeight="1" thickBot="1">
      <c r="A3" s="1389" t="s">
        <v>806</v>
      </c>
      <c r="B3" s="1390">
        <f ca="1">IF(ISERROR(B2*10000/F43),0,ROUND(B2*10000/F43,0))</f>
        <v>3845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735</v>
      </c>
      <c r="D5" s="1363" t="s">
        <v>693</v>
      </c>
      <c r="E5" s="1071"/>
      <c r="F5" s="1072"/>
      <c r="G5" s="1383"/>
      <c r="H5" s="299">
        <v>1</v>
      </c>
      <c r="I5" s="300" t="s">
        <v>692</v>
      </c>
      <c r="J5" s="1070">
        <f ca="1">J6+J10+J12</f>
        <v>0</v>
      </c>
      <c r="K5" s="1363" t="s">
        <v>693</v>
      </c>
      <c r="L5" s="1071"/>
      <c r="M5" s="1072"/>
    </row>
    <row r="6" spans="1:37" ht="18" customHeight="1">
      <c r="A6" s="1069" t="s">
        <v>398</v>
      </c>
      <c r="B6" s="3665" t="s">
        <v>694</v>
      </c>
      <c r="C6" s="1074">
        <f ca="1">ROUND(F6*F8*F7*(1-F9)/10000,0)</f>
        <v>734</v>
      </c>
      <c r="D6" s="155" t="s">
        <v>2108</v>
      </c>
      <c r="E6" s="302" t="s">
        <v>696</v>
      </c>
      <c r="F6" s="303">
        <f ca="1">INDIRECT("'数据-取费表'!u"&amp;$G$1)</f>
        <v>0.8</v>
      </c>
      <c r="G6" s="1383"/>
      <c r="H6" s="1069" t="s">
        <v>398</v>
      </c>
      <c r="I6" s="3665" t="s">
        <v>694</v>
      </c>
      <c r="J6" s="301">
        <f ca="1">ROUND(M6*M8*M7*(1-M9)/10000,0)</f>
        <v>0</v>
      </c>
      <c r="K6" s="155" t="s">
        <v>2107</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29587.64</v>
      </c>
      <c r="G7" s="1383"/>
      <c r="H7" s="304"/>
      <c r="I7" s="3666"/>
      <c r="J7" s="306"/>
      <c r="K7" s="307"/>
      <c r="L7" s="302" t="s">
        <v>697</v>
      </c>
      <c r="M7" s="303">
        <f ca="1">F7</f>
        <v>29587.64</v>
      </c>
    </row>
    <row r="8" spans="1:37" ht="18" customHeight="1">
      <c r="A8" s="304"/>
      <c r="B8" s="3666"/>
      <c r="C8" s="306"/>
      <c r="D8" s="307"/>
      <c r="E8" s="302" t="s">
        <v>698</v>
      </c>
      <c r="F8" s="303">
        <f ca="1">INDIRECT("'数据-取费表'!ai"&amp;$G$1)</f>
        <v>365</v>
      </c>
      <c r="G8" s="1383"/>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0.15</v>
      </c>
      <c r="G9" s="1383"/>
      <c r="H9" s="304"/>
      <c r="I9" s="3667"/>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3436</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7188</v>
      </c>
      <c r="D13" s="1081" t="s">
        <v>705</v>
      </c>
      <c r="E13" s="1081" t="s">
        <v>706</v>
      </c>
      <c r="F13" s="1082">
        <f ca="1">INDIRECT("'数据-取费表'!y"&amp;$G$1)</f>
        <v>0.78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6728</v>
      </c>
      <c r="D14" s="1344" t="s">
        <v>708</v>
      </c>
      <c r="E14" s="1341"/>
      <c r="F14" s="319"/>
      <c r="G14" s="1383"/>
      <c r="H14" s="982" t="s">
        <v>398</v>
      </c>
      <c r="I14" s="302" t="s">
        <v>709</v>
      </c>
      <c r="J14" s="21">
        <f ca="1">C29</f>
        <v>9215</v>
      </c>
      <c r="K14" s="12"/>
      <c r="L14" s="807"/>
      <c r="M14" s="808"/>
    </row>
    <row r="15" spans="1:37" s="1396" customFormat="1" ht="18" customHeight="1" thickBot="1">
      <c r="A15" s="982" t="s">
        <v>399</v>
      </c>
      <c r="B15" s="302" t="s">
        <v>710</v>
      </c>
      <c r="C15" s="21">
        <f ca="1">ROUND(C14*F15,0)</f>
        <v>336</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33</v>
      </c>
      <c r="K16" s="1087" t="s">
        <v>715</v>
      </c>
      <c r="L16" s="1088"/>
      <c r="M16" s="1072"/>
    </row>
    <row r="17" spans="1:37" s="1396" customFormat="1" ht="18" customHeight="1">
      <c r="A17" s="982" t="s">
        <v>681</v>
      </c>
      <c r="B17" s="302" t="s">
        <v>716</v>
      </c>
      <c r="C17" s="21">
        <f ca="1">ROUND(F17*(F43+INDIRECT("'数据-取费表'!S"&amp;$G$1))/10000,0)</f>
        <v>592</v>
      </c>
      <c r="D17" s="302" t="s">
        <v>717</v>
      </c>
      <c r="E17" s="302" t="s">
        <v>718</v>
      </c>
      <c r="F17" s="23">
        <f>'数据-取费表'!B35</f>
        <v>200</v>
      </c>
      <c r="G17" s="1395"/>
      <c r="H17" s="982" t="s">
        <v>398</v>
      </c>
      <c r="I17" s="302" t="s">
        <v>719</v>
      </c>
      <c r="J17" s="2315">
        <f ca="1">ROUND(IF(AND(项目基本情况!B11="自然人",项目基本情况!B10="北京市"),J6*M17/(1+'数据-取费表'!C42),J18+J19+J20),2)</f>
        <v>14.76</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135</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7791</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156</v>
      </c>
      <c r="D20" s="323" t="s">
        <v>729</v>
      </c>
      <c r="E20" s="302" t="s">
        <v>712</v>
      </c>
      <c r="F20" s="322">
        <f>'数据-取费表'!B37</f>
        <v>0.02</v>
      </c>
      <c r="G20" s="1395"/>
      <c r="H20" s="982" t="s">
        <v>680</v>
      </c>
      <c r="I20" s="155" t="s">
        <v>730</v>
      </c>
      <c r="J20" s="22">
        <f ca="1">ROUND(M20*M21/10000,2)</f>
        <v>14.76</v>
      </c>
      <c r="K20" s="324" t="s">
        <v>731</v>
      </c>
      <c r="L20" s="302" t="s">
        <v>732</v>
      </c>
      <c r="M20" s="325">
        <f>'数据-取费表'!B52</f>
        <v>6</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24593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18.43</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182</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-33</v>
      </c>
      <c r="K25" s="1095" t="s">
        <v>753</v>
      </c>
      <c r="L25" s="1096"/>
      <c r="M25" s="1097"/>
    </row>
    <row r="26" spans="1:37">
      <c r="A26" s="982" t="s">
        <v>397</v>
      </c>
      <c r="B26" s="302" t="s">
        <v>754</v>
      </c>
      <c r="C26" s="21">
        <f ca="1">ROUND((C19+C20)*F26,0)</f>
        <v>397</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9215</v>
      </c>
      <c r="D29" s="1092"/>
      <c r="E29" s="1090"/>
      <c r="F29" s="1093"/>
      <c r="G29" s="1395"/>
      <c r="H29" s="334" t="s">
        <v>396</v>
      </c>
      <c r="I29" s="335" t="s">
        <v>768</v>
      </c>
      <c r="J29" s="336">
        <f ca="1">ROUND(J26/(1+F40)^F41,0)</f>
        <v>0</v>
      </c>
      <c r="K29" s="337" t="s">
        <v>769</v>
      </c>
      <c r="L29" s="338"/>
      <c r="M29" s="339">
        <f ca="1">INDIRECT("'数据-取费表'!k"&amp;$G$1)</f>
        <v>29587.64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167</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137.80000000000001</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IF(项目基本情况!B11="自然人","——",ROUND(C6*F32/(1+'数据-取费表'!C42),2))</f>
        <v>39.15</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83.89</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14.76</v>
      </c>
      <c r="D34" s="324" t="s">
        <v>731</v>
      </c>
      <c r="E34" s="302" t="s">
        <v>732</v>
      </c>
      <c r="F34" s="325">
        <f>'数据-取费表'!B52</f>
        <v>6</v>
      </c>
      <c r="G34" s="1383"/>
      <c r="H34" s="2696"/>
      <c r="I34" s="1397"/>
      <c r="J34" s="1398"/>
      <c r="K34" s="2701"/>
      <c r="L34" s="2702"/>
      <c r="M34" s="2702"/>
    </row>
    <row r="35" spans="1:18" ht="18" customHeight="1">
      <c r="A35" s="1103"/>
      <c r="B35" s="1101"/>
      <c r="C35" s="26"/>
      <c r="D35" s="327"/>
      <c r="E35" s="302" t="s">
        <v>736</v>
      </c>
      <c r="F35" s="303">
        <f ca="1">INDIRECT("'数据-取费表'!r"&amp;$G$1)</f>
        <v>24593</v>
      </c>
      <c r="G35" s="1383"/>
      <c r="H35" s="2696"/>
      <c r="I35" s="1397"/>
      <c r="J35" s="1398"/>
      <c r="K35" s="2700"/>
      <c r="L35" s="2699"/>
      <c r="M35" s="2699"/>
    </row>
    <row r="36" spans="1:18" ht="18" customHeight="1">
      <c r="A36" s="1102" t="s">
        <v>402</v>
      </c>
      <c r="B36" s="302" t="s">
        <v>738</v>
      </c>
      <c r="C36" s="21">
        <f ca="1">ROUND(C29*F36,2)</f>
        <v>18.43</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7.19</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3.68</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568</v>
      </c>
      <c r="D39" s="1095" t="s">
        <v>773</v>
      </c>
      <c r="E39" s="1096"/>
      <c r="F39" s="1097"/>
      <c r="G39" s="1383"/>
      <c r="H39" s="2699"/>
      <c r="I39" s="1397"/>
      <c r="J39" s="1398"/>
      <c r="K39" s="2703"/>
      <c r="L39" s="2699"/>
      <c r="M39" s="2699"/>
    </row>
    <row r="40" spans="1:18" ht="18" customHeight="1">
      <c r="A40" s="299" t="s">
        <v>395</v>
      </c>
      <c r="B40" s="300" t="s">
        <v>774</v>
      </c>
      <c r="C40" s="301">
        <f ca="1">ROUND(C39*(1-((1+F42)/(1+F40))^F41)/(F40-F42),0)</f>
        <v>10914</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32.93</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3689</v>
      </c>
      <c r="D43" s="337" t="s">
        <v>777</v>
      </c>
      <c r="E43" s="338" t="s">
        <v>778</v>
      </c>
      <c r="F43" s="339">
        <f ca="1">INDIRECT("'数据-取费表'!k"&amp;$G$1)</f>
        <v>29587.64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-11570</v>
      </c>
      <c r="D46" s="1405" t="str">
        <f>C2</f>
        <v>万元</v>
      </c>
      <c r="E46" s="1399"/>
      <c r="F46" s="1399"/>
      <c r="I46" s="1406" t="s">
        <v>810</v>
      </c>
      <c r="J46" s="1407"/>
      <c r="K46" s="1408"/>
      <c r="L46" s="1409">
        <f ca="1">IF(M47="住宅",0,IF(L48&gt;J51,L60,J60))</f>
        <v>463</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3437</v>
      </c>
      <c r="K47" s="1415" t="s">
        <v>816</v>
      </c>
      <c r="L47" s="1416">
        <f ca="1">INDIRECT("'数据-取费表'!d"&amp;$G$1)</f>
        <v>50</v>
      </c>
      <c r="M47" s="1379" t="str">
        <f>IF(ISNUMBER(FIND("住宅",C1)),"住宅","非住宅")</f>
        <v>非住宅</v>
      </c>
      <c r="O47" s="1417" t="s">
        <v>403</v>
      </c>
      <c r="P47" s="1418" t="s">
        <v>817</v>
      </c>
      <c r="Q47" s="1419">
        <f ca="1">C40+J29</f>
        <v>10914</v>
      </c>
      <c r="R47" s="1419" t="s">
        <v>818</v>
      </c>
    </row>
    <row r="48" spans="1:18" s="1383" customFormat="1" ht="28.5" thickBot="1">
      <c r="A48" s="1110" t="s">
        <v>438</v>
      </c>
      <c r="B48" s="300" t="s">
        <v>692</v>
      </c>
      <c r="C48" s="1358">
        <f ca="1">C49+C53+C55</f>
        <v>0</v>
      </c>
      <c r="D48" s="1112"/>
      <c r="E48" s="1113"/>
      <c r="F48" s="962"/>
      <c r="G48" s="722"/>
      <c r="H48" s="723"/>
      <c r="I48" s="1420" t="s">
        <v>819</v>
      </c>
      <c r="J48" s="1421" t="s">
        <v>3438</v>
      </c>
      <c r="K48" s="1422" t="s">
        <v>820</v>
      </c>
      <c r="L48" s="1423">
        <f ca="1">INDIRECT("'数据-取费表'!f"&amp;$G$1)</f>
        <v>32.93</v>
      </c>
      <c r="O48" s="1417" t="s">
        <v>404</v>
      </c>
      <c r="P48" s="1418" t="s">
        <v>821</v>
      </c>
      <c r="Q48" s="1419">
        <f ca="1">J60</f>
        <v>463</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2010</v>
      </c>
      <c r="K49" s="1422" t="s">
        <v>824</v>
      </c>
      <c r="L49" s="1426"/>
      <c r="O49" s="1427" t="s">
        <v>405</v>
      </c>
      <c r="P49" s="1418" t="s">
        <v>825</v>
      </c>
      <c r="Q49" s="1419">
        <f ca="1">C29</f>
        <v>9215</v>
      </c>
      <c r="R49" s="1419" t="s">
        <v>818</v>
      </c>
    </row>
    <row r="50" spans="1:18" s="1383" customFormat="1" ht="13.5" thickBot="1">
      <c r="A50" s="976"/>
      <c r="B50" s="979"/>
      <c r="C50" s="1118"/>
      <c r="D50" s="953"/>
      <c r="E50" s="1056" t="s">
        <v>697</v>
      </c>
      <c r="F50" s="1057">
        <f ca="1">F7</f>
        <v>29587.64</v>
      </c>
      <c r="H50" s="723"/>
      <c r="I50" s="1420" t="s">
        <v>826</v>
      </c>
      <c r="J50" s="1428">
        <f>SUMPRODUCT((I63:I65=J47)*(J62:L62=J48)*(J63:L65))</f>
        <v>70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55</v>
      </c>
      <c r="K51" s="1433" t="s">
        <v>830</v>
      </c>
      <c r="L51" s="1434">
        <f ca="1">ROUND(-PV(INDIRECT("'数据-取费表'!h"&amp;$G$1),J51,(C39-C13*C76),0),0)</f>
        <v>2768</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32.93</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32.93</v>
      </c>
      <c r="K53" s="3663" t="s">
        <v>837</v>
      </c>
      <c r="L53" s="3664"/>
      <c r="O53" s="1417" t="s">
        <v>409</v>
      </c>
      <c r="P53" s="1418" t="s">
        <v>838</v>
      </c>
      <c r="Q53" s="1419">
        <f ca="1">Q47+Q48</f>
        <v>11377</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0.32900000000000001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7188</v>
      </c>
      <c r="D56" s="1446"/>
      <c r="E56" s="1447"/>
      <c r="F56" s="1439"/>
      <c r="I56" s="1448" t="s">
        <v>842</v>
      </c>
      <c r="J56" s="1449" t="s">
        <v>3422</v>
      </c>
      <c r="K56" s="1420" t="s">
        <v>843</v>
      </c>
      <c r="L56" s="1423" t="str">
        <f ca="1">IF(L48&lt;J51,"——",L48-J53)</f>
        <v>——</v>
      </c>
      <c r="O56" s="1417" t="s">
        <v>403</v>
      </c>
      <c r="P56" s="1418" t="s">
        <v>817</v>
      </c>
      <c r="Q56" s="1419">
        <f ca="1">C40+J29</f>
        <v>10914</v>
      </c>
      <c r="R56" s="1419" t="s">
        <v>818</v>
      </c>
    </row>
    <row r="57" spans="1:18" s="1383" customFormat="1" ht="24.75" thickBot="1">
      <c r="A57" s="1450"/>
      <c r="B57" s="950" t="s">
        <v>767</v>
      </c>
      <c r="C57" s="238">
        <f ca="1">C29</f>
        <v>9215</v>
      </c>
      <c r="D57" s="1451"/>
      <c r="E57" s="1452"/>
      <c r="F57" s="1453"/>
      <c r="I57" s="1454" t="s">
        <v>844</v>
      </c>
      <c r="J57" s="1455">
        <f ca="1">IF(OR(M47="住宅",J51&lt;L48,J56="是"),"——",J51-L48)</f>
        <v>22.07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41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15</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3686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463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14.76</v>
      </c>
      <c r="D62" s="965" t="s">
        <v>786</v>
      </c>
      <c r="E62" s="950" t="s">
        <v>787</v>
      </c>
      <c r="F62" s="325">
        <f t="shared" si="0"/>
        <v>6</v>
      </c>
      <c r="I62" s="1461" t="s">
        <v>858</v>
      </c>
      <c r="J62" s="1462" t="s">
        <v>859</v>
      </c>
      <c r="K62" s="1462" t="s">
        <v>860</v>
      </c>
      <c r="L62" s="1462" t="s">
        <v>861</v>
      </c>
      <c r="M62" s="1463" t="s">
        <v>862</v>
      </c>
      <c r="O62" s="1417" t="s">
        <v>409</v>
      </c>
      <c r="P62" s="1418" t="s">
        <v>863</v>
      </c>
      <c r="Q62" s="1419">
        <f ca="1">Q56+Q57</f>
        <v>10914</v>
      </c>
      <c r="R62" s="1419" t="s">
        <v>410</v>
      </c>
    </row>
    <row r="63" spans="1:18" s="1383" customFormat="1" ht="13.5" thickBot="1">
      <c r="A63" s="326"/>
      <c r="B63" s="956"/>
      <c r="C63" s="26"/>
      <c r="D63" s="966"/>
      <c r="E63" s="950" t="s">
        <v>788</v>
      </c>
      <c r="F63" s="303">
        <f t="shared" ca="1" si="0"/>
        <v>24593</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18.43</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7.19</v>
      </c>
      <c r="D65" s="964" t="s">
        <v>743</v>
      </c>
      <c r="E65" s="950" t="s">
        <v>744</v>
      </c>
      <c r="F65" s="330">
        <f t="shared" ca="1" si="0"/>
        <v>1E-3</v>
      </c>
      <c r="I65" s="1461" t="s">
        <v>867</v>
      </c>
      <c r="J65" s="1462">
        <v>40</v>
      </c>
      <c r="K65" s="1462">
        <v>30</v>
      </c>
      <c r="L65" s="1462">
        <v>50</v>
      </c>
      <c r="M65" s="1464">
        <v>0.02</v>
      </c>
      <c r="O65" s="1417" t="s">
        <v>403</v>
      </c>
      <c r="P65" s="1418" t="s">
        <v>868</v>
      </c>
      <c r="Q65" s="1419">
        <f ca="1">C40+J29</f>
        <v>10914</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-41</v>
      </c>
      <c r="D67" s="963" t="s">
        <v>753</v>
      </c>
      <c r="E67" s="968"/>
      <c r="F67" s="969"/>
      <c r="O67" s="1427" t="s">
        <v>405</v>
      </c>
      <c r="P67" s="1418" t="s">
        <v>850</v>
      </c>
      <c r="Q67" s="1465">
        <f ca="1">L51</f>
        <v>2768</v>
      </c>
      <c r="R67" s="1419" t="s">
        <v>870</v>
      </c>
    </row>
    <row r="68" spans="1:18" s="1383" customFormat="1" ht="16.5" thickBot="1">
      <c r="A68" s="947" t="s">
        <v>395</v>
      </c>
      <c r="B68" s="948" t="s">
        <v>774</v>
      </c>
      <c r="C68" s="301">
        <f ca="1">ROUND(C67*(1-((1+F70)/(1+F68))^F69)/(F68-F70),0)</f>
        <v>-656</v>
      </c>
      <c r="D68" s="965" t="s">
        <v>758</v>
      </c>
      <c r="E68" s="950" t="s">
        <v>759</v>
      </c>
      <c r="F68" s="312">
        <f ca="1">F40</f>
        <v>0.05</v>
      </c>
      <c r="O68" s="1427" t="s">
        <v>406</v>
      </c>
      <c r="P68" s="1466" t="s">
        <v>871</v>
      </c>
      <c r="Q68" s="1419">
        <f ca="1">ROUND(Q69-Q70*Q71,0)</f>
        <v>137</v>
      </c>
      <c r="R68" s="1419" t="s">
        <v>414</v>
      </c>
    </row>
    <row r="69" spans="1:18" s="1383" customFormat="1" ht="13.5" thickBot="1">
      <c r="A69" s="951"/>
      <c r="B69" s="952"/>
      <c r="C69" s="306"/>
      <c r="D69" s="970" t="s">
        <v>762</v>
      </c>
      <c r="E69" s="950" t="s">
        <v>763</v>
      </c>
      <c r="F69" s="333">
        <f ca="1">F41</f>
        <v>32.93</v>
      </c>
      <c r="O69" s="1427" t="s">
        <v>411</v>
      </c>
      <c r="P69" s="1466" t="s">
        <v>872</v>
      </c>
      <c r="Q69" s="1419">
        <f ca="1">C39</f>
        <v>568</v>
      </c>
      <c r="R69" s="1419" t="s">
        <v>818</v>
      </c>
    </row>
    <row r="70" spans="1:18" s="1383" customFormat="1" ht="13.5" thickBot="1">
      <c r="A70" s="954"/>
      <c r="B70" s="955"/>
      <c r="C70" s="310"/>
      <c r="D70" s="966"/>
      <c r="E70" s="950" t="s">
        <v>766</v>
      </c>
      <c r="F70" s="1054"/>
      <c r="O70" s="1427" t="s">
        <v>412</v>
      </c>
      <c r="P70" s="1466" t="s">
        <v>873</v>
      </c>
      <c r="Q70" s="1419">
        <f ca="1">C13</f>
        <v>7188</v>
      </c>
      <c r="R70" s="1419" t="s">
        <v>818</v>
      </c>
    </row>
    <row r="71" spans="1:18" s="1383" customFormat="1" ht="13.5" thickBot="1">
      <c r="A71" s="971" t="s">
        <v>396</v>
      </c>
      <c r="B71" s="972" t="s">
        <v>776</v>
      </c>
      <c r="C71" s="336">
        <f ca="1">ROUND(C68*10000/F71,0)</f>
        <v>-222</v>
      </c>
      <c r="D71" s="973" t="s">
        <v>777</v>
      </c>
      <c r="E71" s="974" t="s">
        <v>778</v>
      </c>
      <c r="F71" s="339">
        <f ca="1">F43</f>
        <v>29587.64</v>
      </c>
      <c r="O71" s="1427" t="s">
        <v>413</v>
      </c>
      <c r="P71" s="1466" t="s">
        <v>874</v>
      </c>
      <c r="Q71" s="1430">
        <f ca="1">C76</f>
        <v>0.06</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431</v>
      </c>
      <c r="D75" s="1383"/>
      <c r="E75" s="1383"/>
      <c r="F75" s="1383"/>
      <c r="K75" s="1401"/>
      <c r="L75" s="1383"/>
      <c r="O75" s="1417" t="s">
        <v>409</v>
      </c>
      <c r="P75" s="1418" t="s">
        <v>838</v>
      </c>
      <c r="Q75" s="1419">
        <f ca="1">Q65+Q66</f>
        <v>10914</v>
      </c>
      <c r="R75" s="1419" t="s">
        <v>410</v>
      </c>
    </row>
    <row r="76" spans="1:18">
      <c r="B76" s="342" t="s">
        <v>796</v>
      </c>
      <c r="C76" s="343">
        <f ca="1">INDIRECT("'数据-取费表'!j"&amp;$G$1)</f>
        <v>0.06</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0.24099999999999999</v>
      </c>
    </row>
    <row r="80" spans="1:18">
      <c r="B80" s="340" t="s">
        <v>800</v>
      </c>
      <c r="C80" s="274">
        <f ca="1">ROUND(C75/C39,3)</f>
        <v>0.75900000000000001</v>
      </c>
    </row>
    <row r="81" spans="2:3">
      <c r="B81" s="270" t="s">
        <v>801</v>
      </c>
      <c r="C81" s="238"/>
    </row>
    <row r="82" spans="2:3">
      <c r="B82" s="273" t="s">
        <v>802</v>
      </c>
      <c r="C82" s="275">
        <f ca="1">1-C83</f>
        <v>0.34099999999999997</v>
      </c>
    </row>
    <row r="83" spans="2:3">
      <c r="B83" s="273" t="s">
        <v>803</v>
      </c>
      <c r="C83" s="274">
        <f ca="1">ROUND(C13/C40,3)</f>
        <v>0.65900000000000003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5" t="s">
        <v>694</v>
      </c>
      <c r="C6" s="1074">
        <f ca="1">ROUND(F6*F8*F7*(1-F9),0)</f>
        <v>0</v>
      </c>
      <c r="D6" s="155" t="s">
        <v>2105</v>
      </c>
      <c r="E6" s="302" t="s">
        <v>696</v>
      </c>
      <c r="F6" s="303">
        <f ca="1">INDIRECT("'数据-取费表'!u"&amp;$G$1)</f>
        <v>0</v>
      </c>
      <c r="G6" s="1383"/>
      <c r="H6" s="1069" t="s">
        <v>398</v>
      </c>
      <c r="I6" s="3665" t="s">
        <v>694</v>
      </c>
      <c r="J6" s="301">
        <f ca="1">ROUND(M6*M8*M7*(1-M9),0)</f>
        <v>0</v>
      </c>
      <c r="K6" s="1375" t="s">
        <v>2106</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0</v>
      </c>
      <c r="G7" s="1383"/>
      <c r="H7" s="304"/>
      <c r="I7" s="3666"/>
      <c r="J7" s="306"/>
      <c r="K7" s="307"/>
      <c r="L7" s="302" t="s">
        <v>697</v>
      </c>
      <c r="M7" s="303">
        <f ca="1">F7</f>
        <v>0</v>
      </c>
    </row>
    <row r="8" spans="1:37" ht="18" customHeight="1">
      <c r="A8" s="304"/>
      <c r="B8" s="3666"/>
      <c r="C8" s="306"/>
      <c r="D8" s="307"/>
      <c r="E8" s="302" t="s">
        <v>698</v>
      </c>
      <c r="F8" s="303">
        <f ca="1">INDIRECT("'数据-取费表'!ai"&amp;$G$1)</f>
        <v>0</v>
      </c>
      <c r="G8" s="1383"/>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3"/>
      <c r="H9" s="304"/>
      <c r="I9" s="366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6</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6</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3349</v>
      </c>
      <c r="B45" s="1399"/>
      <c r="C45" s="1471" t="e">
        <f ca="1">ROUND((C68-C40)/10000,4)</f>
        <v>#DIV/0!</v>
      </c>
      <c r="D45" s="3431" t="s">
        <v>3350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63" t="s">
        <v>837</v>
      </c>
      <c r="L53" s="3664"/>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6</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4" t="s">
        <v>2314</v>
      </c>
      <c r="B2" s="2842" t="e">
        <f>IF(D2="——",C40,C40+E2)</f>
        <v>#DIV/0!</v>
      </c>
      <c r="C2" s="2843" t="s">
        <v>2315</v>
      </c>
      <c r="D2" s="3442" t="s">
        <v>3356</v>
      </c>
      <c r="E2" s="3443"/>
      <c r="F2" s="2845"/>
      <c r="G2" s="2846"/>
      <c r="H2" s="2847"/>
      <c r="I2" s="2848"/>
      <c r="J2" s="3668" t="s">
        <v>2316</v>
      </c>
      <c r="K2" s="3669"/>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670" t="s">
        <v>2326</v>
      </c>
      <c r="K3" s="3671"/>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670" t="s">
        <v>2328</v>
      </c>
      <c r="K4" s="3671"/>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672" t="s">
        <v>2332</v>
      </c>
      <c r="B6" s="3673"/>
      <c r="C6" s="3674"/>
      <c r="D6" s="2869"/>
      <c r="E6" s="2870"/>
      <c r="F6" s="2871"/>
      <c r="G6" s="2872"/>
      <c r="H6" s="2847"/>
      <c r="I6" s="2848"/>
      <c r="J6" s="3675">
        <v>1</v>
      </c>
      <c r="K6" s="3676"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675"/>
      <c r="K7" s="3677"/>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679" t="s">
        <v>2346</v>
      </c>
      <c r="C8" s="3680"/>
      <c r="D8" s="2888" t="s">
        <v>2347</v>
      </c>
      <c r="E8" s="2889" t="s">
        <v>2348</v>
      </c>
      <c r="F8" s="2890" t="s">
        <v>2349</v>
      </c>
      <c r="G8" s="2891"/>
      <c r="H8" s="2847"/>
      <c r="I8" s="2848"/>
      <c r="J8" s="3675"/>
      <c r="K8" s="3677"/>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679" t="s">
        <v>2352</v>
      </c>
      <c r="C9" s="3680"/>
      <c r="D9" s="2888">
        <f>ROUND(D6*E9,0)</f>
        <v>0</v>
      </c>
      <c r="E9" s="2892"/>
      <c r="F9" s="2893" t="s">
        <v>2353</v>
      </c>
      <c r="G9" s="2872"/>
      <c r="H9" s="2847"/>
      <c r="I9" s="2848"/>
      <c r="J9" s="3675"/>
      <c r="K9" s="3677"/>
      <c r="L9" s="2882" t="s">
        <v>2354</v>
      </c>
      <c r="M9" s="2883"/>
      <c r="N9" s="2859"/>
      <c r="O9" s="2884"/>
      <c r="P9" s="2884"/>
      <c r="Q9" s="2885">
        <v>365</v>
      </c>
      <c r="R9" s="2886">
        <f t="shared" si="0"/>
        <v>0</v>
      </c>
      <c r="S9" s="2840"/>
      <c r="T9" s="2840"/>
      <c r="U9" s="2840"/>
      <c r="V9" s="2848"/>
    </row>
    <row r="10" spans="1:22" s="2852" customFormat="1" ht="13.15" customHeight="1">
      <c r="A10" s="2887">
        <v>2</v>
      </c>
      <c r="B10" s="3679" t="s">
        <v>2355</v>
      </c>
      <c r="C10" s="3680"/>
      <c r="D10" s="2888">
        <f>ROUND(D6*E10,0)</f>
        <v>0</v>
      </c>
      <c r="E10" s="2892"/>
      <c r="F10" s="2893" t="s">
        <v>2356</v>
      </c>
      <c r="G10" s="2872"/>
      <c r="H10" s="2847"/>
      <c r="I10" s="2848"/>
      <c r="J10" s="3675"/>
      <c r="K10" s="3677"/>
      <c r="L10" s="2882" t="s">
        <v>2357</v>
      </c>
      <c r="M10" s="2883"/>
      <c r="N10" s="2859"/>
      <c r="O10" s="2884"/>
      <c r="P10" s="2884"/>
      <c r="Q10" s="2885">
        <v>365</v>
      </c>
      <c r="R10" s="2886">
        <f t="shared" si="0"/>
        <v>0</v>
      </c>
      <c r="S10" s="2840"/>
      <c r="T10" s="2840"/>
      <c r="U10" s="2840"/>
      <c r="V10" s="2848"/>
    </row>
    <row r="11" spans="1:22" s="2852" customFormat="1" ht="13.15" customHeight="1">
      <c r="A11" s="2887">
        <v>3</v>
      </c>
      <c r="B11" s="3679" t="s">
        <v>2358</v>
      </c>
      <c r="C11" s="3680"/>
      <c r="D11" s="2888">
        <f>D12+D14+D15+D16</f>
        <v>0</v>
      </c>
      <c r="E11" s="2894" t="e">
        <f>D11/D6</f>
        <v>#DIV/0!</v>
      </c>
      <c r="F11" s="2890"/>
      <c r="G11" s="2891"/>
      <c r="H11" s="2847"/>
      <c r="I11" s="2848"/>
      <c r="J11" s="3675"/>
      <c r="K11" s="3677"/>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681" t="s">
        <v>2361</v>
      </c>
      <c r="C12" s="3682"/>
      <c r="D12" s="2896">
        <f>ROUND(D13*1.2%*(1-30%),0)</f>
        <v>0</v>
      </c>
      <c r="E12" s="2897">
        <v>1.2E-2</v>
      </c>
      <c r="F12" s="2890" t="s">
        <v>2362</v>
      </c>
      <c r="G12" s="2891"/>
      <c r="H12" s="2847"/>
      <c r="I12" s="2848"/>
      <c r="J12" s="3675"/>
      <c r="K12" s="3677"/>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675"/>
      <c r="K13" s="3677"/>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681" t="s">
        <v>2367</v>
      </c>
      <c r="C14" s="3682"/>
      <c r="D14" s="2896">
        <f>ROUND(E14*B5/10000,0)</f>
        <v>0</v>
      </c>
      <c r="E14" s="2885"/>
      <c r="F14" s="2890" t="s">
        <v>2368</v>
      </c>
      <c r="G14" s="2891"/>
      <c r="H14" s="2847"/>
      <c r="I14" s="2848"/>
      <c r="J14" s="3675"/>
      <c r="K14" s="3678"/>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681" t="s">
        <v>2371</v>
      </c>
      <c r="C15" s="3682"/>
      <c r="D15" s="2896">
        <f>ROUND(D6*E15,0)</f>
        <v>0</v>
      </c>
      <c r="E15" s="2897">
        <v>5.5E-2</v>
      </c>
      <c r="F15" s="2890" t="s">
        <v>2372</v>
      </c>
      <c r="G15" s="2872"/>
      <c r="H15" s="2847"/>
      <c r="I15" s="2848"/>
      <c r="J15" s="3675">
        <v>2</v>
      </c>
      <c r="K15" s="3676"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681" t="s">
        <v>2380</v>
      </c>
      <c r="C16" s="3682"/>
      <c r="D16" s="2907">
        <f>D6*E16</f>
        <v>0</v>
      </c>
      <c r="E16" s="2908"/>
      <c r="F16" s="2893" t="s">
        <v>2381</v>
      </c>
      <c r="G16" s="2872"/>
      <c r="H16" s="2847"/>
      <c r="I16" s="2848"/>
      <c r="J16" s="3675"/>
      <c r="K16" s="3677"/>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683" t="s">
        <v>2383</v>
      </c>
      <c r="C17" s="3684"/>
      <c r="D17" s="2910">
        <f>ROUND(D6*E17,0)</f>
        <v>0</v>
      </c>
      <c r="E17" s="2911"/>
      <c r="F17" s="2912" t="s">
        <v>2384</v>
      </c>
      <c r="G17" s="2872"/>
      <c r="H17" s="2847"/>
      <c r="I17" s="2848"/>
      <c r="J17" s="3675"/>
      <c r="K17" s="3677"/>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675"/>
      <c r="K18" s="3677"/>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675"/>
      <c r="K19" s="3678"/>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5">
        <v>3</v>
      </c>
      <c r="K20" s="3676"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675"/>
      <c r="K21" s="3677"/>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675"/>
      <c r="K22" s="3677"/>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675"/>
      <c r="K23" s="3677"/>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675"/>
      <c r="K24" s="3678"/>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685">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68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668" t="s">
        <v>2316</v>
      </c>
      <c r="K32" s="3669"/>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670" t="s">
        <v>2326</v>
      </c>
      <c r="K33" s="3671"/>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670" t="s">
        <v>2328</v>
      </c>
      <c r="K34" s="367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675">
        <v>1</v>
      </c>
      <c r="K36" s="3676"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675"/>
      <c r="K37" s="3677"/>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5"/>
      <c r="K38" s="3677"/>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675"/>
      <c r="K39" s="3677"/>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675"/>
      <c r="K40" s="3678"/>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5">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68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11377</v>
      </c>
      <c r="C2" s="1871" t="s">
        <v>1651</v>
      </c>
      <c r="D2" s="1872" t="s">
        <v>1652</v>
      </c>
      <c r="E2" s="2606">
        <f>SUM(E6:E13)</f>
        <v>29587.64</v>
      </c>
      <c r="F2" s="2706"/>
      <c r="G2" s="1488"/>
      <c r="H2" s="1488"/>
      <c r="I2" s="1488"/>
      <c r="J2" s="1488"/>
      <c r="K2" s="1488"/>
      <c r="L2" s="1488"/>
      <c r="M2" s="1488"/>
      <c r="N2" s="1488"/>
      <c r="O2" s="1488"/>
      <c r="P2" s="1488"/>
      <c r="Q2" s="1488"/>
      <c r="R2" s="1488"/>
      <c r="S2" s="1488"/>
    </row>
    <row r="3" spans="1:22" ht="15.75">
      <c r="A3" s="1869" t="s">
        <v>686</v>
      </c>
      <c r="B3" s="2600">
        <f ca="1">ROUND(B2*10000/E2,0)</f>
        <v>3845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7" t="s">
        <v>1654</v>
      </c>
      <c r="C5" s="368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11377</v>
      </c>
      <c r="C6" s="1871" t="s">
        <v>1651</v>
      </c>
      <c r="D6" s="2708"/>
      <c r="E6" s="2605">
        <f>IF(OR(A6=0,F6="否"),0,'数据-取费表'!K6+'数据-取费表'!S6)</f>
        <v>29587.64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29587.64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7" t="s">
        <v>1667</v>
      </c>
      <c r="D4" s="3708"/>
      <c r="E4" s="3709" t="s">
        <v>1668</v>
      </c>
      <c r="F4" s="3710"/>
      <c r="G4" s="3707" t="s">
        <v>1669</v>
      </c>
      <c r="H4" s="3708"/>
      <c r="I4" s="3707" t="s">
        <v>1670</v>
      </c>
      <c r="J4" s="3708"/>
      <c r="K4" s="1888" t="s">
        <v>1671</v>
      </c>
      <c r="L4" s="2714"/>
      <c r="M4" s="2715"/>
      <c r="N4" s="2715"/>
      <c r="O4" s="2715"/>
      <c r="P4" s="3711" t="s">
        <v>1672</v>
      </c>
      <c r="Q4" s="3712"/>
      <c r="R4" s="3694" t="s">
        <v>1668</v>
      </c>
      <c r="S4" s="3695"/>
      <c r="T4" s="3694" t="s">
        <v>1669</v>
      </c>
      <c r="U4" s="3695"/>
      <c r="V4" s="3719" t="s">
        <v>1670</v>
      </c>
      <c r="W4" s="3719"/>
      <c r="X4" s="1354"/>
      <c r="Y4" s="3694" t="s">
        <v>1672</v>
      </c>
      <c r="Z4" s="3695"/>
      <c r="AA4" s="3689" t="s">
        <v>1668</v>
      </c>
      <c r="AB4" s="3689" t="s">
        <v>1669</v>
      </c>
      <c r="AC4" s="3689" t="s">
        <v>1670</v>
      </c>
    </row>
    <row r="5" spans="1:29" ht="15">
      <c r="A5" s="358"/>
      <c r="B5" s="359"/>
      <c r="C5" s="3700" t="s">
        <v>1673</v>
      </c>
      <c r="D5" s="3701"/>
      <c r="E5" s="3698" t="s">
        <v>1674</v>
      </c>
      <c r="F5" s="3699"/>
      <c r="G5" s="3700" t="s">
        <v>1675</v>
      </c>
      <c r="H5" s="3701"/>
      <c r="I5" s="3700" t="s">
        <v>1676</v>
      </c>
      <c r="J5" s="3701"/>
      <c r="K5" s="188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188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2" t="s">
        <v>1680</v>
      </c>
      <c r="Q7" s="3720"/>
      <c r="R7" s="701" t="s">
        <v>20</v>
      </c>
      <c r="S7" s="702">
        <f t="shared" ref="S7:S15" si="0">F7</f>
        <v>0</v>
      </c>
      <c r="T7" s="701" t="s">
        <v>20</v>
      </c>
      <c r="U7" s="702">
        <f t="shared" ref="U7:U15" si="1">H7</f>
        <v>0</v>
      </c>
      <c r="V7" s="701" t="s">
        <v>20</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2" t="s">
        <v>1683</v>
      </c>
      <c r="Q8" s="3693"/>
      <c r="R8" s="701" t="s">
        <v>20</v>
      </c>
      <c r="S8" s="702">
        <f t="shared" si="0"/>
        <v>100</v>
      </c>
      <c r="T8" s="701" t="s">
        <v>20</v>
      </c>
      <c r="U8" s="702">
        <f t="shared" si="1"/>
        <v>100</v>
      </c>
      <c r="V8" s="701" t="s">
        <v>20</v>
      </c>
      <c r="W8" s="702">
        <f t="shared" si="2"/>
        <v>100</v>
      </c>
      <c r="X8" s="703"/>
      <c r="Y8" s="3692"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6"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6"/>
      <c r="Q11" s="1342" t="str">
        <f t="shared" si="6"/>
        <v>容积率</v>
      </c>
      <c r="R11" s="701" t="s">
        <v>18</v>
      </c>
      <c r="S11" s="702" t="e">
        <f t="shared" si="0"/>
        <v>#N/A</v>
      </c>
      <c r="T11" s="701" t="s">
        <v>18</v>
      </c>
      <c r="U11" s="702" t="e">
        <f t="shared" si="1"/>
        <v>#N/A</v>
      </c>
      <c r="V11" s="701" t="s">
        <v>18</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6"/>
      <c r="Q12" s="1342">
        <f t="shared" si="6"/>
        <v>111</v>
      </c>
      <c r="R12" s="701" t="s">
        <v>18</v>
      </c>
      <c r="S12" s="702">
        <f t="shared" si="0"/>
        <v>100</v>
      </c>
      <c r="T12" s="701" t="s">
        <v>18</v>
      </c>
      <c r="U12" s="702">
        <f t="shared" si="1"/>
        <v>100</v>
      </c>
      <c r="V12" s="701" t="s">
        <v>18</v>
      </c>
      <c r="W12" s="702">
        <f t="shared" si="2"/>
        <v>100</v>
      </c>
      <c r="X12" s="703"/>
      <c r="Y12" s="363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6"/>
      <c r="Q13" s="1342">
        <f t="shared" si="6"/>
        <v>111</v>
      </c>
      <c r="R13" s="701" t="s">
        <v>18</v>
      </c>
      <c r="S13" s="702">
        <f t="shared" si="0"/>
        <v>100</v>
      </c>
      <c r="T13" s="701" t="s">
        <v>18</v>
      </c>
      <c r="U13" s="702">
        <f t="shared" si="1"/>
        <v>100</v>
      </c>
      <c r="V13" s="701" t="s">
        <v>18</v>
      </c>
      <c r="W13" s="702">
        <f t="shared" si="2"/>
        <v>100</v>
      </c>
      <c r="X13" s="703"/>
      <c r="Y13" s="363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6"/>
      <c r="Q14" s="1342">
        <f t="shared" si="6"/>
        <v>111</v>
      </c>
      <c r="R14" s="701" t="s">
        <v>18</v>
      </c>
      <c r="S14" s="702">
        <f t="shared" si="0"/>
        <v>100</v>
      </c>
      <c r="T14" s="701" t="s">
        <v>18</v>
      </c>
      <c r="U14" s="702">
        <f t="shared" si="1"/>
        <v>100</v>
      </c>
      <c r="V14" s="701" t="s">
        <v>18</v>
      </c>
      <c r="W14" s="702">
        <f t="shared" si="2"/>
        <v>100</v>
      </c>
      <c r="X14" s="703"/>
      <c r="Y14" s="3636"/>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3" t="s">
        <v>1691</v>
      </c>
      <c r="Q15" s="1351" t="str">
        <f t="shared" si="6"/>
        <v>居住社区成熟度</v>
      </c>
      <c r="R15" s="705" t="s">
        <v>18</v>
      </c>
      <c r="S15" s="706">
        <f t="shared" si="0"/>
        <v>100</v>
      </c>
      <c r="T15" s="705" t="s">
        <v>18</v>
      </c>
      <c r="U15" s="706">
        <f t="shared" si="1"/>
        <v>100</v>
      </c>
      <c r="V15" s="705" t="s">
        <v>18</v>
      </c>
      <c r="W15" s="706">
        <f t="shared" si="2"/>
        <v>100</v>
      </c>
      <c r="X15" s="1354"/>
      <c r="Y15" s="372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4"/>
      <c r="Q16" s="1351"/>
      <c r="R16" s="705"/>
      <c r="S16" s="706"/>
      <c r="T16" s="705"/>
      <c r="U16" s="706"/>
      <c r="V16" s="705"/>
      <c r="W16" s="706"/>
      <c r="X16" s="1354"/>
      <c r="Y16" s="372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4"/>
      <c r="Q17" s="1351" t="str">
        <f>B17</f>
        <v>交通便捷度</v>
      </c>
      <c r="R17" s="705" t="s">
        <v>18</v>
      </c>
      <c r="S17" s="706">
        <f>F17</f>
        <v>100</v>
      </c>
      <c r="T17" s="705" t="s">
        <v>18</v>
      </c>
      <c r="U17" s="706">
        <f>H17</f>
        <v>100</v>
      </c>
      <c r="V17" s="705" t="s">
        <v>18</v>
      </c>
      <c r="W17" s="706">
        <f>J17</f>
        <v>100</v>
      </c>
      <c r="X17" s="1354"/>
      <c r="Y17" s="372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4"/>
      <c r="Q18" s="1351"/>
      <c r="R18" s="705"/>
      <c r="S18" s="706"/>
      <c r="T18" s="705"/>
      <c r="U18" s="706"/>
      <c r="V18" s="705"/>
      <c r="W18" s="706"/>
      <c r="X18" s="1354"/>
      <c r="Y18" s="372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4"/>
      <c r="Q19" s="1351" t="str">
        <f>B19</f>
        <v>公共配套设施</v>
      </c>
      <c r="R19" s="705" t="s">
        <v>18</v>
      </c>
      <c r="S19" s="706">
        <f>F19</f>
        <v>100</v>
      </c>
      <c r="T19" s="705" t="s">
        <v>18</v>
      </c>
      <c r="U19" s="706">
        <f>H19</f>
        <v>100</v>
      </c>
      <c r="V19" s="705" t="s">
        <v>18</v>
      </c>
      <c r="W19" s="706">
        <f>J19</f>
        <v>100</v>
      </c>
      <c r="X19" s="1354"/>
      <c r="Y19" s="372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4"/>
      <c r="Q20" s="1351"/>
      <c r="R20" s="705"/>
      <c r="S20" s="706"/>
      <c r="T20" s="705"/>
      <c r="U20" s="706"/>
      <c r="V20" s="705"/>
      <c r="W20" s="706"/>
      <c r="X20" s="1354"/>
      <c r="Y20" s="372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4"/>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4"/>
      <c r="Q22" s="1351"/>
      <c r="R22" s="705"/>
      <c r="S22" s="706"/>
      <c r="T22" s="705"/>
      <c r="U22" s="706"/>
      <c r="V22" s="705"/>
      <c r="W22" s="706"/>
      <c r="X22" s="1354"/>
      <c r="Y22" s="372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4"/>
      <c r="Q23" s="1351" t="str">
        <f>B23</f>
        <v>自然及人文环境</v>
      </c>
      <c r="R23" s="705" t="s">
        <v>18</v>
      </c>
      <c r="S23" s="706">
        <f>F23</f>
        <v>100</v>
      </c>
      <c r="T23" s="705" t="s">
        <v>18</v>
      </c>
      <c r="U23" s="706">
        <f>H23</f>
        <v>100</v>
      </c>
      <c r="V23" s="705" t="s">
        <v>18</v>
      </c>
      <c r="W23" s="706">
        <f>J23</f>
        <v>100</v>
      </c>
      <c r="X23" s="1354"/>
      <c r="Y23" s="372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4"/>
      <c r="Q24" s="1351"/>
      <c r="R24" s="705"/>
      <c r="S24" s="706"/>
      <c r="T24" s="705"/>
      <c r="U24" s="706"/>
      <c r="V24" s="705"/>
      <c r="W24" s="706"/>
      <c r="X24" s="1354"/>
      <c r="Y24" s="372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4"/>
      <c r="Q26" s="1351" t="str">
        <f t="shared" si="11"/>
        <v>朝向</v>
      </c>
      <c r="R26" s="705" t="s">
        <v>18</v>
      </c>
      <c r="S26" s="706">
        <f t="shared" si="12"/>
        <v>100</v>
      </c>
      <c r="T26" s="705" t="s">
        <v>18</v>
      </c>
      <c r="U26" s="706">
        <f t="shared" si="13"/>
        <v>100</v>
      </c>
      <c r="V26" s="705" t="s">
        <v>18</v>
      </c>
      <c r="W26" s="706">
        <f t="shared" si="14"/>
        <v>100</v>
      </c>
      <c r="X26" s="1354"/>
      <c r="Y26" s="372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4"/>
      <c r="Q27" s="1342">
        <f t="shared" si="11"/>
        <v>111</v>
      </c>
      <c r="R27" s="701" t="s">
        <v>18</v>
      </c>
      <c r="S27" s="702">
        <f t="shared" si="12"/>
        <v>100</v>
      </c>
      <c r="T27" s="701" t="s">
        <v>18</v>
      </c>
      <c r="U27" s="702">
        <f t="shared" si="13"/>
        <v>100</v>
      </c>
      <c r="V27" s="701" t="s">
        <v>18</v>
      </c>
      <c r="W27" s="702">
        <f t="shared" si="14"/>
        <v>100</v>
      </c>
      <c r="X27" s="703"/>
      <c r="Y27" s="372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4"/>
      <c r="Q28" s="1351">
        <f t="shared" si="11"/>
        <v>111</v>
      </c>
      <c r="R28" s="705" t="s">
        <v>18</v>
      </c>
      <c r="S28" s="706">
        <f t="shared" si="12"/>
        <v>100</v>
      </c>
      <c r="T28" s="705" t="s">
        <v>18</v>
      </c>
      <c r="U28" s="706">
        <f t="shared" si="13"/>
        <v>100</v>
      </c>
      <c r="V28" s="705" t="s">
        <v>18</v>
      </c>
      <c r="W28" s="706">
        <f t="shared" si="14"/>
        <v>100</v>
      </c>
      <c r="X28" s="1354"/>
      <c r="Y28" s="372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4"/>
      <c r="Q29" s="1351">
        <f t="shared" si="11"/>
        <v>111</v>
      </c>
      <c r="R29" s="705" t="s">
        <v>18</v>
      </c>
      <c r="S29" s="706">
        <f t="shared" si="12"/>
        <v>100</v>
      </c>
      <c r="T29" s="705" t="s">
        <v>18</v>
      </c>
      <c r="U29" s="706">
        <f t="shared" si="13"/>
        <v>100</v>
      </c>
      <c r="V29" s="705" t="s">
        <v>18</v>
      </c>
      <c r="W29" s="706">
        <f t="shared" si="14"/>
        <v>100</v>
      </c>
      <c r="X29" s="1354"/>
      <c r="Y29" s="372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4"/>
      <c r="Q30" s="1351">
        <f t="shared" si="11"/>
        <v>111</v>
      </c>
      <c r="R30" s="705" t="s">
        <v>18</v>
      </c>
      <c r="S30" s="706">
        <f t="shared" si="12"/>
        <v>100</v>
      </c>
      <c r="T30" s="705" t="s">
        <v>18</v>
      </c>
      <c r="U30" s="706">
        <f t="shared" si="13"/>
        <v>100</v>
      </c>
      <c r="V30" s="705" t="s">
        <v>18</v>
      </c>
      <c r="W30" s="706">
        <f t="shared" si="14"/>
        <v>100</v>
      </c>
      <c r="X30" s="1354"/>
      <c r="Y30" s="372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4"/>
      <c r="Q31" s="1351">
        <f t="shared" si="11"/>
        <v>111</v>
      </c>
      <c r="R31" s="705" t="s">
        <v>18</v>
      </c>
      <c r="S31" s="706">
        <f t="shared" si="12"/>
        <v>100</v>
      </c>
      <c r="T31" s="705" t="s">
        <v>18</v>
      </c>
      <c r="U31" s="706">
        <f t="shared" si="13"/>
        <v>100</v>
      </c>
      <c r="V31" s="705" t="s">
        <v>18</v>
      </c>
      <c r="W31" s="706">
        <f t="shared" si="14"/>
        <v>100</v>
      </c>
      <c r="X31" s="1354"/>
      <c r="Y31" s="372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8" t="s">
        <v>1696</v>
      </c>
      <c r="Q32" s="1351" t="str">
        <f t="shared" si="11"/>
        <v>建筑类型</v>
      </c>
      <c r="R32" s="705" t="s">
        <v>18</v>
      </c>
      <c r="S32" s="706">
        <f t="shared" si="12"/>
        <v>100</v>
      </c>
      <c r="T32" s="705" t="s">
        <v>18</v>
      </c>
      <c r="U32" s="706">
        <f t="shared" si="13"/>
        <v>100</v>
      </c>
      <c r="V32" s="705" t="s">
        <v>18</v>
      </c>
      <c r="W32" s="706">
        <f t="shared" si="14"/>
        <v>100</v>
      </c>
      <c r="X32" s="1354"/>
      <c r="Y32" s="373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9"/>
      <c r="Q33" s="707" t="str">
        <f t="shared" si="11"/>
        <v>项目建筑规模</v>
      </c>
      <c r="R33" s="708" t="s">
        <v>18</v>
      </c>
      <c r="S33" s="709" t="e">
        <f t="shared" si="12"/>
        <v>#N/A</v>
      </c>
      <c r="T33" s="708" t="s">
        <v>18</v>
      </c>
      <c r="U33" s="709" t="e">
        <f t="shared" si="13"/>
        <v>#N/A</v>
      </c>
      <c r="V33" s="708" t="s">
        <v>18</v>
      </c>
      <c r="W33" s="709" t="e">
        <f t="shared" si="14"/>
        <v>#N/A</v>
      </c>
      <c r="X33" s="710"/>
      <c r="Y33" s="373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9"/>
      <c r="Q34" s="1351" t="str">
        <f t="shared" si="11"/>
        <v>建筑结构</v>
      </c>
      <c r="R34" s="705" t="s">
        <v>18</v>
      </c>
      <c r="S34" s="706">
        <f t="shared" si="12"/>
        <v>100</v>
      </c>
      <c r="T34" s="705" t="s">
        <v>18</v>
      </c>
      <c r="U34" s="706">
        <f t="shared" si="13"/>
        <v>100</v>
      </c>
      <c r="V34" s="705" t="s">
        <v>18</v>
      </c>
      <c r="W34" s="706">
        <f t="shared" si="14"/>
        <v>100</v>
      </c>
      <c r="X34" s="1354"/>
      <c r="Y34" s="373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9"/>
      <c r="Q35" s="1351" t="str">
        <f t="shared" si="11"/>
        <v>建筑品质</v>
      </c>
      <c r="R35" s="705" t="s">
        <v>18</v>
      </c>
      <c r="S35" s="706">
        <f t="shared" si="12"/>
        <v>100</v>
      </c>
      <c r="T35" s="705" t="s">
        <v>18</v>
      </c>
      <c r="U35" s="706">
        <f t="shared" si="13"/>
        <v>100</v>
      </c>
      <c r="V35" s="705" t="s">
        <v>18</v>
      </c>
      <c r="W35" s="706">
        <f t="shared" si="14"/>
        <v>100</v>
      </c>
      <c r="X35" s="1354"/>
      <c r="Y35" s="373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9"/>
      <c r="Q36" s="1351" t="str">
        <f t="shared" si="11"/>
        <v>公共部分装修</v>
      </c>
      <c r="R36" s="705" t="s">
        <v>18</v>
      </c>
      <c r="S36" s="706">
        <f t="shared" si="12"/>
        <v>100</v>
      </c>
      <c r="T36" s="705" t="s">
        <v>18</v>
      </c>
      <c r="U36" s="706">
        <f t="shared" si="13"/>
        <v>100</v>
      </c>
      <c r="V36" s="705" t="s">
        <v>18</v>
      </c>
      <c r="W36" s="706">
        <f t="shared" si="14"/>
        <v>100</v>
      </c>
      <c r="X36" s="1354"/>
      <c r="Y36" s="373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9"/>
      <c r="Q37" s="1342" t="str">
        <f t="shared" si="11"/>
        <v>成新度</v>
      </c>
      <c r="R37" s="701" t="s">
        <v>18</v>
      </c>
      <c r="S37" s="702" t="e">
        <f t="shared" si="12"/>
        <v>#N/A</v>
      </c>
      <c r="T37" s="701" t="s">
        <v>18</v>
      </c>
      <c r="U37" s="702" t="e">
        <f t="shared" si="13"/>
        <v>#N/A</v>
      </c>
      <c r="V37" s="701" t="s">
        <v>18</v>
      </c>
      <c r="W37" s="702" t="e">
        <f t="shared" si="14"/>
        <v>#N/A</v>
      </c>
      <c r="X37" s="703"/>
      <c r="Y37" s="373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9" t="s">
        <v>1696</v>
      </c>
      <c r="Q38" s="1351" t="str">
        <f t="shared" si="11"/>
        <v>物业管理</v>
      </c>
      <c r="R38" s="705" t="s">
        <v>18</v>
      </c>
      <c r="S38" s="706">
        <f t="shared" si="12"/>
        <v>100</v>
      </c>
      <c r="T38" s="705" t="s">
        <v>18</v>
      </c>
      <c r="U38" s="706">
        <f t="shared" si="13"/>
        <v>100</v>
      </c>
      <c r="V38" s="705" t="s">
        <v>18</v>
      </c>
      <c r="W38" s="706">
        <f t="shared" si="14"/>
        <v>100</v>
      </c>
      <c r="X38" s="1354"/>
      <c r="Y38" s="373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9"/>
      <c r="Q39" s="1351" t="str">
        <f t="shared" si="11"/>
        <v>市政基础设施</v>
      </c>
      <c r="R39" s="705" t="s">
        <v>18</v>
      </c>
      <c r="S39" s="706">
        <f t="shared" si="12"/>
        <v>100</v>
      </c>
      <c r="T39" s="705" t="s">
        <v>18</v>
      </c>
      <c r="U39" s="706">
        <f t="shared" si="13"/>
        <v>100</v>
      </c>
      <c r="V39" s="705" t="s">
        <v>18</v>
      </c>
      <c r="W39" s="706">
        <f t="shared" si="14"/>
        <v>100</v>
      </c>
      <c r="X39" s="1354"/>
      <c r="Y39" s="373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9"/>
      <c r="Q40" s="1351" t="str">
        <f t="shared" si="11"/>
        <v>房型</v>
      </c>
      <c r="R40" s="705" t="s">
        <v>18</v>
      </c>
      <c r="S40" s="706">
        <f t="shared" si="12"/>
        <v>100</v>
      </c>
      <c r="T40" s="705" t="s">
        <v>18</v>
      </c>
      <c r="U40" s="706">
        <f t="shared" si="13"/>
        <v>100</v>
      </c>
      <c r="V40" s="705" t="s">
        <v>18</v>
      </c>
      <c r="W40" s="706">
        <f t="shared" si="14"/>
        <v>100</v>
      </c>
      <c r="X40" s="1354"/>
      <c r="Y40" s="373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9"/>
      <c r="Q41" s="707" t="str">
        <f t="shared" si="11"/>
        <v>单套/主力户型建筑面积</v>
      </c>
      <c r="R41" s="708" t="s">
        <v>18</v>
      </c>
      <c r="S41" s="709">
        <f t="shared" si="12"/>
        <v>100</v>
      </c>
      <c r="T41" s="708" t="s">
        <v>18</v>
      </c>
      <c r="U41" s="709">
        <f t="shared" si="13"/>
        <v>100</v>
      </c>
      <c r="V41" s="708" t="s">
        <v>18</v>
      </c>
      <c r="W41" s="709">
        <f t="shared" si="14"/>
        <v>100</v>
      </c>
      <c r="X41" s="710"/>
      <c r="Y41" s="373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9"/>
      <c r="Q42" s="1351" t="str">
        <f t="shared" si="11"/>
        <v>内部装修</v>
      </c>
      <c r="R42" s="705" t="s">
        <v>18</v>
      </c>
      <c r="S42" s="706">
        <f t="shared" si="12"/>
        <v>100</v>
      </c>
      <c r="T42" s="705" t="s">
        <v>18</v>
      </c>
      <c r="U42" s="706">
        <f t="shared" si="13"/>
        <v>100</v>
      </c>
      <c r="V42" s="705" t="s">
        <v>18</v>
      </c>
      <c r="W42" s="706">
        <f t="shared" si="14"/>
        <v>100</v>
      </c>
      <c r="X42" s="1354"/>
      <c r="Y42" s="373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9"/>
      <c r="Q43" s="1351" t="str">
        <f t="shared" si="11"/>
        <v>内部装修维护情况</v>
      </c>
      <c r="R43" s="705" t="s">
        <v>18</v>
      </c>
      <c r="S43" s="706">
        <f t="shared" si="12"/>
        <v>100</v>
      </c>
      <c r="T43" s="705" t="s">
        <v>18</v>
      </c>
      <c r="U43" s="706">
        <f t="shared" si="13"/>
        <v>100</v>
      </c>
      <c r="V43" s="705" t="s">
        <v>18</v>
      </c>
      <c r="W43" s="706">
        <f t="shared" si="14"/>
        <v>100</v>
      </c>
      <c r="X43" s="1354"/>
      <c r="Y43" s="373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9"/>
      <c r="Q44" s="1342">
        <f t="shared" si="11"/>
        <v>111</v>
      </c>
      <c r="R44" s="701" t="s">
        <v>18</v>
      </c>
      <c r="S44" s="702">
        <f t="shared" si="12"/>
        <v>100</v>
      </c>
      <c r="T44" s="701" t="s">
        <v>18</v>
      </c>
      <c r="U44" s="702">
        <f t="shared" si="13"/>
        <v>100</v>
      </c>
      <c r="V44" s="701" t="s">
        <v>18</v>
      </c>
      <c r="W44" s="702">
        <f t="shared" si="14"/>
        <v>100</v>
      </c>
      <c r="X44" s="703"/>
      <c r="Y44" s="373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9"/>
      <c r="Q45" s="1351">
        <f t="shared" si="11"/>
        <v>111</v>
      </c>
      <c r="R45" s="705" t="s">
        <v>18</v>
      </c>
      <c r="S45" s="706">
        <f t="shared" si="12"/>
        <v>100</v>
      </c>
      <c r="T45" s="705" t="s">
        <v>18</v>
      </c>
      <c r="U45" s="706">
        <f t="shared" si="13"/>
        <v>100</v>
      </c>
      <c r="V45" s="705" t="s">
        <v>18</v>
      </c>
      <c r="W45" s="706">
        <f t="shared" si="14"/>
        <v>100</v>
      </c>
      <c r="X45" s="1354"/>
      <c r="Y45" s="373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0"/>
      <c r="Q46" s="1351">
        <f t="shared" si="11"/>
        <v>111</v>
      </c>
      <c r="R46" s="705" t="s">
        <v>17</v>
      </c>
      <c r="S46" s="706">
        <f t="shared" si="12"/>
        <v>100</v>
      </c>
      <c r="T46" s="705" t="s">
        <v>17</v>
      </c>
      <c r="U46" s="706">
        <f t="shared" si="13"/>
        <v>100</v>
      </c>
      <c r="V46" s="705" t="s">
        <v>17</v>
      </c>
      <c r="W46" s="706">
        <f t="shared" si="14"/>
        <v>100</v>
      </c>
      <c r="X46" s="1354"/>
      <c r="Y46" s="373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24" t="str">
        <f>A47</f>
        <v>成交单价（元/平方米）</v>
      </c>
      <c r="Q47" s="3724"/>
      <c r="R47" s="3725">
        <f>E47</f>
        <v>0</v>
      </c>
      <c r="S47" s="3725"/>
      <c r="T47" s="3725">
        <f>G47</f>
        <v>0</v>
      </c>
      <c r="U47" s="3725"/>
      <c r="V47" s="3725">
        <f>I47</f>
        <v>0</v>
      </c>
      <c r="W47" s="3725"/>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29587.64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719"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719"/>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719"/>
      <c r="AC6" s="3691"/>
    </row>
    <row r="7" spans="1:29" s="108" customFormat="1" ht="15.75" thickBot="1">
      <c r="A7" s="362" t="s">
        <v>1679</v>
      </c>
      <c r="B7" s="363"/>
      <c r="C7" s="364">
        <f>'数据-取费表'!B2</f>
        <v>45941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6"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6"/>
      <c r="Q11" s="1342"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6"/>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6"/>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6"/>
      <c r="Q14" s="1342">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3" t="s">
        <v>1691</v>
      </c>
      <c r="Q15" s="1351" t="str">
        <f t="shared" si="6"/>
        <v>商业繁华度</v>
      </c>
      <c r="R15" s="705" t="s">
        <v>14</v>
      </c>
      <c r="S15" s="706">
        <f t="shared" si="0"/>
        <v>100</v>
      </c>
      <c r="T15" s="705" t="s">
        <v>14</v>
      </c>
      <c r="U15" s="706">
        <f t="shared" si="1"/>
        <v>100</v>
      </c>
      <c r="V15" s="705" t="s">
        <v>14</v>
      </c>
      <c r="W15" s="706">
        <f t="shared" si="2"/>
        <v>100</v>
      </c>
      <c r="X15" s="1354"/>
      <c r="Y15" s="372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4"/>
      <c r="Q16" s="1351"/>
      <c r="R16" s="705"/>
      <c r="S16" s="706"/>
      <c r="T16" s="705"/>
      <c r="U16" s="706"/>
      <c r="V16" s="705"/>
      <c r="W16" s="706"/>
      <c r="X16" s="1354"/>
      <c r="Y16" s="372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4"/>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4"/>
      <c r="Q18" s="1351"/>
      <c r="R18" s="705"/>
      <c r="S18" s="706"/>
      <c r="T18" s="705"/>
      <c r="U18" s="706"/>
      <c r="V18" s="705"/>
      <c r="W18" s="706"/>
      <c r="X18" s="1354"/>
      <c r="Y18" s="372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4"/>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4"/>
      <c r="Q20" s="1351"/>
      <c r="R20" s="705"/>
      <c r="S20" s="706"/>
      <c r="T20" s="705"/>
      <c r="U20" s="706"/>
      <c r="V20" s="705"/>
      <c r="W20" s="706"/>
      <c r="X20" s="1354"/>
      <c r="Y20" s="3727"/>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4"/>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4"/>
      <c r="Q22" s="1351"/>
      <c r="R22" s="705"/>
      <c r="S22" s="706"/>
      <c r="T22" s="705"/>
      <c r="U22" s="706"/>
      <c r="V22" s="705"/>
      <c r="W22" s="706"/>
      <c r="X22" s="1354"/>
      <c r="Y22" s="372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4"/>
      <c r="Q23" s="1351" t="str">
        <f>B23</f>
        <v>自然及人文环境</v>
      </c>
      <c r="R23" s="705" t="s">
        <v>14</v>
      </c>
      <c r="S23" s="706">
        <f>F23</f>
        <v>100</v>
      </c>
      <c r="T23" s="705" t="s">
        <v>14</v>
      </c>
      <c r="U23" s="706">
        <f>H23</f>
        <v>100</v>
      </c>
      <c r="V23" s="705" t="s">
        <v>14</v>
      </c>
      <c r="W23" s="706">
        <f>J23</f>
        <v>100</v>
      </c>
      <c r="X23" s="1354"/>
      <c r="Y23" s="372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4"/>
      <c r="Q24" s="1351"/>
      <c r="R24" s="705"/>
      <c r="S24" s="706"/>
      <c r="T24" s="705"/>
      <c r="U24" s="706"/>
      <c r="V24" s="705"/>
      <c r="W24" s="706"/>
      <c r="X24" s="1354"/>
      <c r="Y24" s="372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4"/>
      <c r="Q25" s="1351" t="str">
        <f t="shared" ref="Q25:Q46" si="11">B25</f>
        <v>临街状况</v>
      </c>
      <c r="R25" s="705" t="s">
        <v>14</v>
      </c>
      <c r="S25" s="706">
        <f>F25</f>
        <v>100</v>
      </c>
      <c r="T25" s="705" t="s">
        <v>14</v>
      </c>
      <c r="U25" s="706">
        <f>H25</f>
        <v>100</v>
      </c>
      <c r="V25" s="705" t="s">
        <v>14</v>
      </c>
      <c r="W25" s="706">
        <f>J25</f>
        <v>100</v>
      </c>
      <c r="X25" s="1354"/>
      <c r="Y25" s="372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4"/>
      <c r="Q26" s="1351" t="str">
        <f t="shared" si="11"/>
        <v>平面位置/可视性</v>
      </c>
      <c r="R26" s="705" t="s">
        <v>14</v>
      </c>
      <c r="S26" s="706">
        <f>F26</f>
        <v>100</v>
      </c>
      <c r="T26" s="705" t="s">
        <v>14</v>
      </c>
      <c r="U26" s="706">
        <f>H26</f>
        <v>100</v>
      </c>
      <c r="V26" s="705" t="s">
        <v>14</v>
      </c>
      <c r="W26" s="706">
        <f>J26</f>
        <v>100</v>
      </c>
      <c r="X26" s="1354"/>
      <c r="Y26" s="372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4"/>
      <c r="Q27" s="1342" t="str">
        <f t="shared" si="11"/>
        <v>人流量</v>
      </c>
      <c r="R27" s="701" t="s">
        <v>14</v>
      </c>
      <c r="S27" s="702">
        <f>F27</f>
        <v>100</v>
      </c>
      <c r="T27" s="701" t="s">
        <v>14</v>
      </c>
      <c r="U27" s="702">
        <f>H27</f>
        <v>100</v>
      </c>
      <c r="V27" s="701" t="s">
        <v>14</v>
      </c>
      <c r="W27" s="702">
        <f>J27</f>
        <v>100</v>
      </c>
      <c r="X27" s="703"/>
      <c r="Y27" s="372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4"/>
      <c r="Q29" s="1351">
        <f t="shared" si="11"/>
        <v>111</v>
      </c>
      <c r="R29" s="705" t="s">
        <v>14</v>
      </c>
      <c r="S29" s="706">
        <f t="shared" si="12"/>
        <v>100</v>
      </c>
      <c r="T29" s="705" t="s">
        <v>14</v>
      </c>
      <c r="U29" s="706">
        <f t="shared" si="13"/>
        <v>100</v>
      </c>
      <c r="V29" s="705" t="s">
        <v>14</v>
      </c>
      <c r="W29" s="706">
        <f t="shared" si="14"/>
        <v>100</v>
      </c>
      <c r="X29" s="1354"/>
      <c r="Y29" s="372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4"/>
      <c r="Q30" s="1351">
        <f t="shared" si="11"/>
        <v>111</v>
      </c>
      <c r="R30" s="705" t="s">
        <v>14</v>
      </c>
      <c r="S30" s="706">
        <f t="shared" si="12"/>
        <v>100</v>
      </c>
      <c r="T30" s="705" t="s">
        <v>14</v>
      </c>
      <c r="U30" s="706">
        <f t="shared" si="13"/>
        <v>100</v>
      </c>
      <c r="V30" s="705" t="s">
        <v>14</v>
      </c>
      <c r="W30" s="706">
        <f t="shared" si="14"/>
        <v>100</v>
      </c>
      <c r="X30" s="1354"/>
      <c r="Y30" s="372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4"/>
      <c r="Q31" s="1351">
        <f t="shared" si="11"/>
        <v>111</v>
      </c>
      <c r="R31" s="705" t="s">
        <v>14</v>
      </c>
      <c r="S31" s="706">
        <f t="shared" si="12"/>
        <v>100</v>
      </c>
      <c r="T31" s="705" t="s">
        <v>14</v>
      </c>
      <c r="U31" s="706">
        <f t="shared" si="13"/>
        <v>100</v>
      </c>
      <c r="V31" s="705" t="s">
        <v>14</v>
      </c>
      <c r="W31" s="706">
        <f t="shared" si="14"/>
        <v>100</v>
      </c>
      <c r="X31" s="1354"/>
      <c r="Y31" s="372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8" t="s">
        <v>1696</v>
      </c>
      <c r="Q32" s="1351" t="str">
        <f t="shared" si="11"/>
        <v>商业类型</v>
      </c>
      <c r="R32" s="705" t="s">
        <v>14</v>
      </c>
      <c r="S32" s="706">
        <f t="shared" si="12"/>
        <v>100</v>
      </c>
      <c r="T32" s="705" t="s">
        <v>14</v>
      </c>
      <c r="U32" s="706">
        <f t="shared" si="13"/>
        <v>100</v>
      </c>
      <c r="V32" s="705" t="s">
        <v>14</v>
      </c>
      <c r="W32" s="706">
        <f t="shared" si="14"/>
        <v>100</v>
      </c>
      <c r="X32" s="1354"/>
      <c r="Y32" s="373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9"/>
      <c r="Q33" s="707" t="str">
        <f t="shared" si="11"/>
        <v>项目建筑规模</v>
      </c>
      <c r="R33" s="708" t="s">
        <v>14</v>
      </c>
      <c r="S33" s="709" t="e">
        <f t="shared" si="12"/>
        <v>#N/A</v>
      </c>
      <c r="T33" s="708" t="s">
        <v>14</v>
      </c>
      <c r="U33" s="709" t="e">
        <f t="shared" si="13"/>
        <v>#N/A</v>
      </c>
      <c r="V33" s="708" t="s">
        <v>14</v>
      </c>
      <c r="W33" s="709" t="e">
        <f t="shared" si="14"/>
        <v>#N/A</v>
      </c>
      <c r="X33" s="710"/>
      <c r="Y33" s="3731"/>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9"/>
      <c r="Q34" s="1351" t="str">
        <f t="shared" si="11"/>
        <v>建筑结构</v>
      </c>
      <c r="R34" s="705" t="s">
        <v>14</v>
      </c>
      <c r="S34" s="706">
        <f t="shared" si="12"/>
        <v>100</v>
      </c>
      <c r="T34" s="705" t="s">
        <v>14</v>
      </c>
      <c r="U34" s="706">
        <f t="shared" si="13"/>
        <v>100</v>
      </c>
      <c r="V34" s="705" t="s">
        <v>14</v>
      </c>
      <c r="W34" s="706">
        <f t="shared" si="14"/>
        <v>100</v>
      </c>
      <c r="X34" s="1354"/>
      <c r="Y34" s="373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9"/>
      <c r="Q35" s="1351" t="str">
        <f t="shared" si="11"/>
        <v>公共部分装修</v>
      </c>
      <c r="R35" s="705" t="s">
        <v>14</v>
      </c>
      <c r="S35" s="706">
        <f t="shared" si="12"/>
        <v>100</v>
      </c>
      <c r="T35" s="705" t="s">
        <v>14</v>
      </c>
      <c r="U35" s="706">
        <f t="shared" si="13"/>
        <v>100</v>
      </c>
      <c r="V35" s="705" t="s">
        <v>14</v>
      </c>
      <c r="W35" s="706">
        <f t="shared" si="14"/>
        <v>100</v>
      </c>
      <c r="X35" s="1354"/>
      <c r="Y35" s="373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9"/>
      <c r="Q36" s="1351" t="str">
        <f t="shared" si="11"/>
        <v>成新度</v>
      </c>
      <c r="R36" s="705" t="s">
        <v>14</v>
      </c>
      <c r="S36" s="706" t="e">
        <f t="shared" si="12"/>
        <v>#N/A</v>
      </c>
      <c r="T36" s="705" t="s">
        <v>14</v>
      </c>
      <c r="U36" s="706" t="e">
        <f t="shared" si="13"/>
        <v>#N/A</v>
      </c>
      <c r="V36" s="705" t="s">
        <v>14</v>
      </c>
      <c r="W36" s="706" t="e">
        <f t="shared" si="14"/>
        <v>#N/A</v>
      </c>
      <c r="X36" s="1354"/>
      <c r="Y36" s="373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9"/>
      <c r="Q37" s="1342" t="str">
        <f t="shared" si="11"/>
        <v>市政基础设施</v>
      </c>
      <c r="R37" s="701" t="s">
        <v>14</v>
      </c>
      <c r="S37" s="702">
        <f t="shared" si="12"/>
        <v>100</v>
      </c>
      <c r="T37" s="701" t="s">
        <v>14</v>
      </c>
      <c r="U37" s="702">
        <f t="shared" si="13"/>
        <v>100</v>
      </c>
      <c r="V37" s="701" t="s">
        <v>14</v>
      </c>
      <c r="W37" s="702">
        <f t="shared" si="14"/>
        <v>100</v>
      </c>
      <c r="X37" s="703"/>
      <c r="Y37" s="3731"/>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9" t="s">
        <v>1696</v>
      </c>
      <c r="Q38" s="1351" t="str">
        <f t="shared" si="11"/>
        <v>业态</v>
      </c>
      <c r="R38" s="705" t="s">
        <v>14</v>
      </c>
      <c r="S38" s="706">
        <f t="shared" si="12"/>
        <v>100</v>
      </c>
      <c r="T38" s="705" t="s">
        <v>14</v>
      </c>
      <c r="U38" s="706">
        <f t="shared" si="13"/>
        <v>100</v>
      </c>
      <c r="V38" s="705" t="s">
        <v>14</v>
      </c>
      <c r="W38" s="706">
        <f t="shared" si="14"/>
        <v>100</v>
      </c>
      <c r="X38" s="1354"/>
      <c r="Y38" s="373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9"/>
      <c r="Q39" s="1351" t="str">
        <f t="shared" si="11"/>
        <v>层高</v>
      </c>
      <c r="R39" s="705" t="s">
        <v>14</v>
      </c>
      <c r="S39" s="706">
        <f t="shared" si="12"/>
        <v>100</v>
      </c>
      <c r="T39" s="705" t="s">
        <v>14</v>
      </c>
      <c r="U39" s="706">
        <f t="shared" si="13"/>
        <v>100</v>
      </c>
      <c r="V39" s="705" t="s">
        <v>14</v>
      </c>
      <c r="W39" s="706">
        <f t="shared" si="14"/>
        <v>100</v>
      </c>
      <c r="X39" s="1354"/>
      <c r="Y39" s="373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9"/>
      <c r="Q40" s="1351" t="str">
        <f t="shared" si="11"/>
        <v>单套建筑面积</v>
      </c>
      <c r="R40" s="705" t="s">
        <v>14</v>
      </c>
      <c r="S40" s="706">
        <f t="shared" si="12"/>
        <v>100</v>
      </c>
      <c r="T40" s="705" t="s">
        <v>14</v>
      </c>
      <c r="U40" s="706">
        <f t="shared" si="13"/>
        <v>100</v>
      </c>
      <c r="V40" s="705" t="s">
        <v>14</v>
      </c>
      <c r="W40" s="706">
        <f t="shared" si="14"/>
        <v>100</v>
      </c>
      <c r="X40" s="1354"/>
      <c r="Y40" s="373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9"/>
      <c r="Q41" s="707" t="str">
        <f t="shared" si="11"/>
        <v>进深比</v>
      </c>
      <c r="R41" s="708" t="s">
        <v>14</v>
      </c>
      <c r="S41" s="709">
        <f t="shared" si="12"/>
        <v>100</v>
      </c>
      <c r="T41" s="708" t="s">
        <v>14</v>
      </c>
      <c r="U41" s="709">
        <f t="shared" si="13"/>
        <v>100</v>
      </c>
      <c r="V41" s="708" t="s">
        <v>14</v>
      </c>
      <c r="W41" s="709">
        <f t="shared" si="14"/>
        <v>100</v>
      </c>
      <c r="X41" s="710"/>
      <c r="Y41" s="3731"/>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9"/>
      <c r="Q42" s="1351" t="str">
        <f t="shared" si="11"/>
        <v>内部装修</v>
      </c>
      <c r="R42" s="705" t="s">
        <v>14</v>
      </c>
      <c r="S42" s="706">
        <f t="shared" si="12"/>
        <v>100</v>
      </c>
      <c r="T42" s="705" t="s">
        <v>14</v>
      </c>
      <c r="U42" s="706">
        <f t="shared" si="13"/>
        <v>100</v>
      </c>
      <c r="V42" s="705" t="s">
        <v>14</v>
      </c>
      <c r="W42" s="706">
        <f t="shared" si="14"/>
        <v>100</v>
      </c>
      <c r="X42" s="1354"/>
      <c r="Y42" s="373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9"/>
      <c r="Q43" s="1351" t="str">
        <f t="shared" si="11"/>
        <v>内部装修维护情况</v>
      </c>
      <c r="R43" s="705" t="s">
        <v>14</v>
      </c>
      <c r="S43" s="706">
        <f t="shared" si="12"/>
        <v>100</v>
      </c>
      <c r="T43" s="705" t="s">
        <v>14</v>
      </c>
      <c r="U43" s="706">
        <f t="shared" si="13"/>
        <v>100</v>
      </c>
      <c r="V43" s="705" t="s">
        <v>14</v>
      </c>
      <c r="W43" s="706">
        <f t="shared" si="14"/>
        <v>100</v>
      </c>
      <c r="X43" s="1354"/>
      <c r="Y43" s="373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9"/>
      <c r="Q44" s="1342">
        <f t="shared" si="11"/>
        <v>111</v>
      </c>
      <c r="R44" s="701" t="s">
        <v>14</v>
      </c>
      <c r="S44" s="702">
        <f t="shared" si="12"/>
        <v>100</v>
      </c>
      <c r="T44" s="701" t="s">
        <v>14</v>
      </c>
      <c r="U44" s="702">
        <f t="shared" si="13"/>
        <v>100</v>
      </c>
      <c r="V44" s="701" t="s">
        <v>14</v>
      </c>
      <c r="W44" s="702">
        <f t="shared" si="14"/>
        <v>100</v>
      </c>
      <c r="X44" s="703"/>
      <c r="Y44" s="373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9"/>
      <c r="Q45" s="1351">
        <f t="shared" si="11"/>
        <v>111</v>
      </c>
      <c r="R45" s="705" t="s">
        <v>14</v>
      </c>
      <c r="S45" s="706">
        <f t="shared" si="12"/>
        <v>100</v>
      </c>
      <c r="T45" s="705" t="s">
        <v>14</v>
      </c>
      <c r="U45" s="706">
        <f t="shared" si="13"/>
        <v>100</v>
      </c>
      <c r="V45" s="705" t="s">
        <v>14</v>
      </c>
      <c r="W45" s="706">
        <f t="shared" si="14"/>
        <v>100</v>
      </c>
      <c r="X45" s="1354"/>
      <c r="Y45" s="373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0"/>
      <c r="Q46" s="1351">
        <f t="shared" si="11"/>
        <v>111</v>
      </c>
      <c r="R46" s="705" t="s">
        <v>14</v>
      </c>
      <c r="S46" s="706">
        <f t="shared" si="12"/>
        <v>100</v>
      </c>
      <c r="T46" s="705" t="s">
        <v>14</v>
      </c>
      <c r="U46" s="706">
        <f t="shared" si="13"/>
        <v>100</v>
      </c>
      <c r="V46" s="705" t="s">
        <v>14</v>
      </c>
      <c r="W46" s="706">
        <f t="shared" si="14"/>
        <v>100</v>
      </c>
      <c r="X46" s="1354"/>
      <c r="Y46" s="373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24" t="str">
        <f>A47</f>
        <v>成交单价（元/平方米）</v>
      </c>
      <c r="Q47" s="3724"/>
      <c r="R47" s="3719">
        <f>E47</f>
        <v>0</v>
      </c>
      <c r="S47" s="3719"/>
      <c r="T47" s="3719">
        <f>G47</f>
        <v>0</v>
      </c>
      <c r="U47" s="3719"/>
      <c r="V47" s="3719">
        <f>I47</f>
        <v>0</v>
      </c>
      <c r="W47" s="3719"/>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29587.64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41" t="s">
        <v>1775</v>
      </c>
      <c r="Q4" s="3742"/>
      <c r="R4" s="3736" t="s">
        <v>1771</v>
      </c>
      <c r="S4" s="3737"/>
      <c r="T4" s="3736" t="s">
        <v>1772</v>
      </c>
      <c r="U4" s="3737"/>
      <c r="V4" s="3745" t="s">
        <v>1773</v>
      </c>
      <c r="W4" s="3745"/>
      <c r="X4" s="1957"/>
      <c r="Y4" s="3736" t="s">
        <v>1775</v>
      </c>
      <c r="Z4" s="3737"/>
      <c r="AA4" s="3735" t="s">
        <v>1771</v>
      </c>
      <c r="AB4" s="3735" t="s">
        <v>1772</v>
      </c>
      <c r="AC4" s="3738" t="s">
        <v>1773</v>
      </c>
    </row>
    <row r="5" spans="1:29" ht="15">
      <c r="A5" s="358"/>
      <c r="B5" s="359"/>
      <c r="C5" s="3700" t="s">
        <v>1673</v>
      </c>
      <c r="D5" s="3701"/>
      <c r="E5" s="3698" t="s">
        <v>1674</v>
      </c>
      <c r="F5" s="3699"/>
      <c r="G5" s="3700" t="s">
        <v>1675</v>
      </c>
      <c r="H5" s="3701"/>
      <c r="I5" s="3700" t="s">
        <v>1676</v>
      </c>
      <c r="J5" s="3701"/>
      <c r="K5" s="559"/>
      <c r="L5" s="2714"/>
      <c r="M5" s="2715"/>
      <c r="N5" s="2715"/>
      <c r="O5" s="2715"/>
      <c r="P5" s="3743"/>
      <c r="Q5" s="3714"/>
      <c r="R5" s="3696"/>
      <c r="S5" s="3697"/>
      <c r="T5" s="3696"/>
      <c r="U5" s="3697"/>
      <c r="V5" s="3719"/>
      <c r="W5" s="3719"/>
      <c r="X5" s="1354"/>
      <c r="Y5" s="3696"/>
      <c r="Z5" s="3697"/>
      <c r="AA5" s="3690"/>
      <c r="AB5" s="3690"/>
      <c r="AC5" s="3739"/>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44"/>
      <c r="Q6" s="3716"/>
      <c r="R6" s="3696"/>
      <c r="S6" s="3697"/>
      <c r="T6" s="3717"/>
      <c r="U6" s="3718"/>
      <c r="V6" s="3719"/>
      <c r="W6" s="3719"/>
      <c r="X6" s="1354"/>
      <c r="Y6" s="3717"/>
      <c r="Z6" s="3718"/>
      <c r="AA6" s="3691"/>
      <c r="AB6" s="3691"/>
      <c r="AC6" s="3740"/>
    </row>
    <row r="7" spans="1:29" s="108" customFormat="1" ht="15.75" thickBot="1">
      <c r="A7" s="362" t="s">
        <v>1679</v>
      </c>
      <c r="B7" s="363"/>
      <c r="C7" s="364">
        <f>'数据-取费表'!B2</f>
        <v>45941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6"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6" t="s">
        <v>1683</v>
      </c>
      <c r="Q8" s="3693"/>
      <c r="R8" s="701" t="s">
        <v>14</v>
      </c>
      <c r="S8" s="702">
        <f t="shared" si="0"/>
        <v>100</v>
      </c>
      <c r="T8" s="701" t="s">
        <v>14</v>
      </c>
      <c r="U8" s="702">
        <f t="shared" si="1"/>
        <v>100</v>
      </c>
      <c r="V8" s="701" t="s">
        <v>14</v>
      </c>
      <c r="W8" s="702">
        <f t="shared" si="2"/>
        <v>100</v>
      </c>
      <c r="X8" s="703"/>
      <c r="Y8" s="3692" t="s">
        <v>1683</v>
      </c>
      <c r="Z8" s="369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6"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6"/>
      <c r="Q11" s="1342"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6"/>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6"/>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6"/>
      <c r="Q14" s="1342">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3" t="s">
        <v>1691</v>
      </c>
      <c r="Q15" s="1351" t="str">
        <f t="shared" si="6"/>
        <v>办公集聚程度</v>
      </c>
      <c r="R15" s="705" t="s">
        <v>14</v>
      </c>
      <c r="S15" s="706">
        <f t="shared" si="0"/>
        <v>100</v>
      </c>
      <c r="T15" s="705" t="s">
        <v>14</v>
      </c>
      <c r="U15" s="706">
        <f t="shared" si="1"/>
        <v>100</v>
      </c>
      <c r="V15" s="705" t="s">
        <v>14</v>
      </c>
      <c r="W15" s="706">
        <f t="shared" si="2"/>
        <v>100</v>
      </c>
      <c r="X15" s="1354"/>
      <c r="Y15" s="372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4"/>
      <c r="Q16" s="1351"/>
      <c r="R16" s="705"/>
      <c r="S16" s="706"/>
      <c r="T16" s="705"/>
      <c r="U16" s="706"/>
      <c r="V16" s="705"/>
      <c r="W16" s="706"/>
      <c r="X16" s="1354"/>
      <c r="Y16" s="372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4"/>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4"/>
      <c r="Q18" s="1351"/>
      <c r="R18" s="705"/>
      <c r="S18" s="706"/>
      <c r="T18" s="705"/>
      <c r="U18" s="706"/>
      <c r="V18" s="705"/>
      <c r="W18" s="706"/>
      <c r="X18" s="1354"/>
      <c r="Y18" s="372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4"/>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4"/>
      <c r="Q20" s="1351"/>
      <c r="R20" s="705"/>
      <c r="S20" s="706"/>
      <c r="T20" s="705"/>
      <c r="U20" s="706"/>
      <c r="V20" s="705"/>
      <c r="W20" s="706"/>
      <c r="X20" s="1354"/>
      <c r="Y20" s="372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4"/>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4"/>
      <c r="Q22" s="1351"/>
      <c r="R22" s="705"/>
      <c r="S22" s="706"/>
      <c r="T22" s="705"/>
      <c r="U22" s="706"/>
      <c r="V22" s="705"/>
      <c r="W22" s="706"/>
      <c r="X22" s="1354"/>
      <c r="Y22" s="372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4"/>
      <c r="Q23" s="1351" t="str">
        <f>B23</f>
        <v>环境质量</v>
      </c>
      <c r="R23" s="705" t="s">
        <v>14</v>
      </c>
      <c r="S23" s="706">
        <f>F23</f>
        <v>100</v>
      </c>
      <c r="T23" s="705" t="s">
        <v>14</v>
      </c>
      <c r="U23" s="706">
        <f>H23</f>
        <v>100</v>
      </c>
      <c r="V23" s="705" t="s">
        <v>14</v>
      </c>
      <c r="W23" s="706">
        <f>J23</f>
        <v>100</v>
      </c>
      <c r="X23" s="1354"/>
      <c r="Y23" s="372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4"/>
      <c r="Q24" s="1351"/>
      <c r="R24" s="705"/>
      <c r="S24" s="706"/>
      <c r="T24" s="705"/>
      <c r="U24" s="706"/>
      <c r="V24" s="705"/>
      <c r="W24" s="706"/>
      <c r="X24" s="1354"/>
      <c r="Y24" s="372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4"/>
      <c r="Q25" s="1351" t="str">
        <f>B25</f>
        <v>毗邻道路的类型与等级</v>
      </c>
      <c r="R25" s="705" t="s">
        <v>14</v>
      </c>
      <c r="S25" s="706">
        <f>F25</f>
        <v>100</v>
      </c>
      <c r="T25" s="705" t="s">
        <v>14</v>
      </c>
      <c r="U25" s="706">
        <f>H25</f>
        <v>100</v>
      </c>
      <c r="V25" s="705" t="s">
        <v>14</v>
      </c>
      <c r="W25" s="706">
        <f>J25</f>
        <v>100</v>
      </c>
      <c r="X25" s="1354"/>
      <c r="Y25" s="372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4"/>
      <c r="Q26" s="1351"/>
      <c r="R26" s="705"/>
      <c r="S26" s="706"/>
      <c r="T26" s="705"/>
      <c r="U26" s="706"/>
      <c r="V26" s="705"/>
      <c r="W26" s="706"/>
      <c r="X26" s="1354"/>
      <c r="Y26" s="372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4"/>
      <c r="Q27" s="1351" t="str">
        <f t="shared" ref="Q27:Q47" si="11">B27</f>
        <v>楼层</v>
      </c>
      <c r="R27" s="705" t="s">
        <v>14</v>
      </c>
      <c r="S27" s="706">
        <f>F27</f>
        <v>100</v>
      </c>
      <c r="T27" s="705" t="s">
        <v>14</v>
      </c>
      <c r="U27" s="706">
        <f>H27</f>
        <v>100</v>
      </c>
      <c r="V27" s="705" t="s">
        <v>14</v>
      </c>
      <c r="W27" s="706">
        <f>J27</f>
        <v>100</v>
      </c>
      <c r="X27" s="1354"/>
      <c r="Y27" s="372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4"/>
      <c r="Q28" s="1342" t="str">
        <f t="shared" si="11"/>
        <v>朝向</v>
      </c>
      <c r="R28" s="701" t="s">
        <v>14</v>
      </c>
      <c r="S28" s="702">
        <f>F28</f>
        <v>100</v>
      </c>
      <c r="T28" s="701" t="s">
        <v>14</v>
      </c>
      <c r="U28" s="702">
        <f>H28</f>
        <v>100</v>
      </c>
      <c r="V28" s="701" t="s">
        <v>14</v>
      </c>
      <c r="W28" s="702">
        <f>J28</f>
        <v>100</v>
      </c>
      <c r="X28" s="703"/>
      <c r="Y28" s="372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4"/>
      <c r="Q29" s="1351">
        <f t="shared" si="11"/>
        <v>111</v>
      </c>
      <c r="R29" s="705" t="s">
        <v>14</v>
      </c>
      <c r="S29" s="706">
        <f t="shared" ref="S29:S47" si="12">F29</f>
        <v>100</v>
      </c>
      <c r="T29" s="705" t="s">
        <v>14</v>
      </c>
      <c r="U29" s="706">
        <f t="shared" ref="U29:U47" si="13">H29</f>
        <v>100</v>
      </c>
      <c r="V29" s="705" t="s">
        <v>14</v>
      </c>
      <c r="W29" s="706">
        <f t="shared" ref="W29:W47" si="14">J29</f>
        <v>100</v>
      </c>
      <c r="X29" s="1354"/>
      <c r="Y29" s="372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4"/>
      <c r="Q30" s="1351">
        <f t="shared" si="11"/>
        <v>111</v>
      </c>
      <c r="R30" s="705" t="s">
        <v>14</v>
      </c>
      <c r="S30" s="706">
        <f t="shared" si="12"/>
        <v>100</v>
      </c>
      <c r="T30" s="705" t="s">
        <v>14</v>
      </c>
      <c r="U30" s="706">
        <f t="shared" si="13"/>
        <v>100</v>
      </c>
      <c r="V30" s="705" t="s">
        <v>14</v>
      </c>
      <c r="W30" s="706">
        <f t="shared" si="14"/>
        <v>100</v>
      </c>
      <c r="X30" s="1354"/>
      <c r="Y30" s="372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4"/>
      <c r="Q31" s="1351">
        <f t="shared" si="11"/>
        <v>111</v>
      </c>
      <c r="R31" s="705" t="s">
        <v>14</v>
      </c>
      <c r="S31" s="706">
        <f t="shared" si="12"/>
        <v>100</v>
      </c>
      <c r="T31" s="705" t="s">
        <v>14</v>
      </c>
      <c r="U31" s="706">
        <f t="shared" si="13"/>
        <v>100</v>
      </c>
      <c r="V31" s="705" t="s">
        <v>14</v>
      </c>
      <c r="W31" s="706">
        <f t="shared" si="14"/>
        <v>100</v>
      </c>
      <c r="X31" s="1354"/>
      <c r="Y31" s="372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4"/>
      <c r="Q32" s="1351">
        <f t="shared" si="11"/>
        <v>111</v>
      </c>
      <c r="R32" s="705" t="s">
        <v>14</v>
      </c>
      <c r="S32" s="706">
        <f t="shared" si="12"/>
        <v>100</v>
      </c>
      <c r="T32" s="705" t="s">
        <v>14</v>
      </c>
      <c r="U32" s="706">
        <f t="shared" si="13"/>
        <v>100</v>
      </c>
      <c r="V32" s="705" t="s">
        <v>14</v>
      </c>
      <c r="W32" s="706">
        <f t="shared" si="14"/>
        <v>100</v>
      </c>
      <c r="X32" s="1354"/>
      <c r="Y32" s="372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8" t="s">
        <v>1696</v>
      </c>
      <c r="Q33" s="1351" t="str">
        <f t="shared" si="11"/>
        <v>建筑类型</v>
      </c>
      <c r="R33" s="705" t="s">
        <v>14</v>
      </c>
      <c r="S33" s="706">
        <f t="shared" si="12"/>
        <v>100</v>
      </c>
      <c r="T33" s="705" t="s">
        <v>14</v>
      </c>
      <c r="U33" s="706">
        <f t="shared" si="13"/>
        <v>100</v>
      </c>
      <c r="V33" s="705" t="s">
        <v>14</v>
      </c>
      <c r="W33" s="706">
        <f t="shared" si="14"/>
        <v>100</v>
      </c>
      <c r="X33" s="1354"/>
      <c r="Y33" s="373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9"/>
      <c r="Q34" s="707" t="str">
        <f t="shared" si="11"/>
        <v>项目建筑规模</v>
      </c>
      <c r="R34" s="708" t="s">
        <v>14</v>
      </c>
      <c r="S34" s="709" t="e">
        <f t="shared" si="12"/>
        <v>#N/A</v>
      </c>
      <c r="T34" s="708" t="s">
        <v>14</v>
      </c>
      <c r="U34" s="709" t="e">
        <f t="shared" si="13"/>
        <v>#N/A</v>
      </c>
      <c r="V34" s="708" t="s">
        <v>14</v>
      </c>
      <c r="W34" s="709" t="e">
        <f t="shared" si="14"/>
        <v>#N/A</v>
      </c>
      <c r="X34" s="710"/>
      <c r="Y34" s="3731"/>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9"/>
      <c r="Q35" s="1351" t="str">
        <f t="shared" si="11"/>
        <v>建筑结构</v>
      </c>
      <c r="R35" s="705" t="s">
        <v>14</v>
      </c>
      <c r="S35" s="706">
        <f t="shared" si="12"/>
        <v>100</v>
      </c>
      <c r="T35" s="705" t="s">
        <v>14</v>
      </c>
      <c r="U35" s="706">
        <f t="shared" si="13"/>
        <v>100</v>
      </c>
      <c r="V35" s="705" t="s">
        <v>14</v>
      </c>
      <c r="W35" s="706">
        <f t="shared" si="14"/>
        <v>100</v>
      </c>
      <c r="X35" s="1354"/>
      <c r="Y35" s="373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9"/>
      <c r="Q36" s="1351" t="str">
        <f t="shared" si="11"/>
        <v>公共部分装修</v>
      </c>
      <c r="R36" s="705" t="s">
        <v>14</v>
      </c>
      <c r="S36" s="706">
        <f t="shared" si="12"/>
        <v>100</v>
      </c>
      <c r="T36" s="705" t="s">
        <v>14</v>
      </c>
      <c r="U36" s="706">
        <f t="shared" si="13"/>
        <v>100</v>
      </c>
      <c r="V36" s="705" t="s">
        <v>14</v>
      </c>
      <c r="W36" s="706">
        <f t="shared" si="14"/>
        <v>100</v>
      </c>
      <c r="X36" s="1354"/>
      <c r="Y36" s="373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9"/>
      <c r="Q37" s="1351" t="str">
        <f t="shared" si="11"/>
        <v>成新度</v>
      </c>
      <c r="R37" s="705" t="s">
        <v>14</v>
      </c>
      <c r="S37" s="706" t="e">
        <f t="shared" si="12"/>
        <v>#N/A</v>
      </c>
      <c r="T37" s="705" t="s">
        <v>14</v>
      </c>
      <c r="U37" s="706" t="e">
        <f t="shared" si="13"/>
        <v>#N/A</v>
      </c>
      <c r="V37" s="705" t="s">
        <v>14</v>
      </c>
      <c r="W37" s="706" t="e">
        <f t="shared" si="14"/>
        <v>#N/A</v>
      </c>
      <c r="X37" s="1354"/>
      <c r="Y37" s="373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9"/>
      <c r="Q38" s="1342" t="str">
        <f t="shared" si="11"/>
        <v>写字楼等级</v>
      </c>
      <c r="R38" s="701" t="s">
        <v>14</v>
      </c>
      <c r="S38" s="702">
        <f t="shared" si="12"/>
        <v>100</v>
      </c>
      <c r="T38" s="701" t="s">
        <v>14</v>
      </c>
      <c r="U38" s="702">
        <f t="shared" si="13"/>
        <v>100</v>
      </c>
      <c r="V38" s="701" t="s">
        <v>14</v>
      </c>
      <c r="W38" s="702">
        <f t="shared" si="14"/>
        <v>100</v>
      </c>
      <c r="X38" s="703"/>
      <c r="Y38" s="373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9" t="s">
        <v>1696</v>
      </c>
      <c r="Q39" s="1351" t="str">
        <f t="shared" si="11"/>
        <v>物业管理</v>
      </c>
      <c r="R39" s="705" t="s">
        <v>14</v>
      </c>
      <c r="S39" s="706">
        <f t="shared" si="12"/>
        <v>100</v>
      </c>
      <c r="T39" s="705" t="s">
        <v>14</v>
      </c>
      <c r="U39" s="706">
        <f t="shared" si="13"/>
        <v>100</v>
      </c>
      <c r="V39" s="705" t="s">
        <v>14</v>
      </c>
      <c r="W39" s="706">
        <f t="shared" si="14"/>
        <v>100</v>
      </c>
      <c r="X39" s="1354"/>
      <c r="Y39" s="373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9"/>
      <c r="Q40" s="1351" t="str">
        <f t="shared" si="11"/>
        <v>市政基础设施</v>
      </c>
      <c r="R40" s="705" t="s">
        <v>14</v>
      </c>
      <c r="S40" s="706">
        <f t="shared" si="12"/>
        <v>100</v>
      </c>
      <c r="T40" s="705" t="s">
        <v>14</v>
      </c>
      <c r="U40" s="706">
        <f t="shared" si="13"/>
        <v>100</v>
      </c>
      <c r="V40" s="705" t="s">
        <v>14</v>
      </c>
      <c r="W40" s="706">
        <f t="shared" si="14"/>
        <v>100</v>
      </c>
      <c r="X40" s="1354"/>
      <c r="Y40" s="373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9"/>
      <c r="Q41" s="1351" t="str">
        <f t="shared" si="11"/>
        <v>层高</v>
      </c>
      <c r="R41" s="705" t="s">
        <v>14</v>
      </c>
      <c r="S41" s="706">
        <f t="shared" si="12"/>
        <v>100</v>
      </c>
      <c r="T41" s="705" t="s">
        <v>14</v>
      </c>
      <c r="U41" s="706">
        <f t="shared" si="13"/>
        <v>100</v>
      </c>
      <c r="V41" s="705" t="s">
        <v>14</v>
      </c>
      <c r="W41" s="706">
        <f t="shared" si="14"/>
        <v>100</v>
      </c>
      <c r="X41" s="1354"/>
      <c r="Y41" s="373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9"/>
      <c r="Q43" s="1351" t="str">
        <f t="shared" si="11"/>
        <v>内部装修</v>
      </c>
      <c r="R43" s="705" t="s">
        <v>14</v>
      </c>
      <c r="S43" s="706">
        <f t="shared" si="12"/>
        <v>100</v>
      </c>
      <c r="T43" s="705" t="s">
        <v>14</v>
      </c>
      <c r="U43" s="706">
        <f t="shared" si="13"/>
        <v>100</v>
      </c>
      <c r="V43" s="705" t="s">
        <v>14</v>
      </c>
      <c r="W43" s="706">
        <f t="shared" si="14"/>
        <v>100</v>
      </c>
      <c r="X43" s="1354"/>
      <c r="Y43" s="373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9"/>
      <c r="Q44" s="1351" t="str">
        <f t="shared" si="11"/>
        <v>内部装修维护情况</v>
      </c>
      <c r="R44" s="705" t="s">
        <v>14</v>
      </c>
      <c r="S44" s="706">
        <f t="shared" si="12"/>
        <v>100</v>
      </c>
      <c r="T44" s="705" t="s">
        <v>14</v>
      </c>
      <c r="U44" s="706">
        <f t="shared" si="13"/>
        <v>100</v>
      </c>
      <c r="V44" s="705" t="s">
        <v>14</v>
      </c>
      <c r="W44" s="706">
        <f t="shared" si="14"/>
        <v>100</v>
      </c>
      <c r="X44" s="1354"/>
      <c r="Y44" s="373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9"/>
      <c r="Q45" s="1342">
        <f t="shared" si="11"/>
        <v>111</v>
      </c>
      <c r="R45" s="701" t="s">
        <v>14</v>
      </c>
      <c r="S45" s="702">
        <f t="shared" si="12"/>
        <v>100</v>
      </c>
      <c r="T45" s="701" t="s">
        <v>14</v>
      </c>
      <c r="U45" s="702">
        <f t="shared" si="13"/>
        <v>100</v>
      </c>
      <c r="V45" s="701" t="s">
        <v>14</v>
      </c>
      <c r="W45" s="702">
        <f t="shared" si="14"/>
        <v>100</v>
      </c>
      <c r="X45" s="703"/>
      <c r="Y45" s="373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9"/>
      <c r="Q46" s="1351">
        <f t="shared" si="11"/>
        <v>111</v>
      </c>
      <c r="R46" s="705" t="s">
        <v>14</v>
      </c>
      <c r="S46" s="706">
        <f t="shared" si="12"/>
        <v>100</v>
      </c>
      <c r="T46" s="705" t="s">
        <v>14</v>
      </c>
      <c r="U46" s="706">
        <f t="shared" si="13"/>
        <v>100</v>
      </c>
      <c r="V46" s="705" t="s">
        <v>14</v>
      </c>
      <c r="W46" s="706">
        <f t="shared" si="14"/>
        <v>100</v>
      </c>
      <c r="X46" s="1354"/>
      <c r="Y46" s="373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0"/>
      <c r="Q47" s="1351">
        <f t="shared" si="11"/>
        <v>111</v>
      </c>
      <c r="R47" s="705" t="s">
        <v>14</v>
      </c>
      <c r="S47" s="706">
        <f t="shared" si="12"/>
        <v>100</v>
      </c>
      <c r="T47" s="705" t="s">
        <v>14</v>
      </c>
      <c r="U47" s="706">
        <f t="shared" si="13"/>
        <v>100</v>
      </c>
      <c r="V47" s="705" t="s">
        <v>14</v>
      </c>
      <c r="W47" s="706">
        <f t="shared" si="14"/>
        <v>100</v>
      </c>
      <c r="X47" s="1354"/>
      <c r="Y47" s="3732"/>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6" t="str">
        <f>A48</f>
        <v>成交单价（元/平方米）</v>
      </c>
      <c r="Q48" s="3724"/>
      <c r="R48" s="3725">
        <f>E48</f>
        <v>0</v>
      </c>
      <c r="S48" s="3725"/>
      <c r="T48" s="3725">
        <f>G48</f>
        <v>0</v>
      </c>
      <c r="U48" s="3725"/>
      <c r="V48" s="3725">
        <f>I48</f>
        <v>0</v>
      </c>
      <c r="W48" s="3725"/>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06"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29587.64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913"/>
      <c r="M4" s="914"/>
      <c r="N4" s="914"/>
      <c r="O4" s="914"/>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913"/>
      <c r="M5" s="914"/>
      <c r="N5" s="914"/>
      <c r="O5" s="914"/>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913"/>
      <c r="M6" s="914"/>
      <c r="N6" s="914"/>
      <c r="O6" s="914"/>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45941</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4"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4"/>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1342"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4"/>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4"/>
      <c r="Q14" s="1342">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6" t="s">
        <v>1691</v>
      </c>
      <c r="Q15" s="1351" t="str">
        <f t="shared" si="6"/>
        <v>产业集聚程度</v>
      </c>
      <c r="R15" s="705" t="s">
        <v>14</v>
      </c>
      <c r="S15" s="706">
        <f t="shared" si="0"/>
        <v>100</v>
      </c>
      <c r="T15" s="705" t="s">
        <v>14</v>
      </c>
      <c r="U15" s="706">
        <f t="shared" si="1"/>
        <v>100</v>
      </c>
      <c r="V15" s="705" t="s">
        <v>14</v>
      </c>
      <c r="W15" s="706">
        <f t="shared" si="2"/>
        <v>100</v>
      </c>
      <c r="X15" s="1354"/>
      <c r="Y15" s="372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7"/>
      <c r="Q16" s="1351"/>
      <c r="R16" s="705"/>
      <c r="S16" s="706"/>
      <c r="T16" s="705"/>
      <c r="U16" s="706"/>
      <c r="V16" s="705"/>
      <c r="W16" s="706"/>
      <c r="X16" s="1354"/>
      <c r="Y16" s="372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7"/>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7"/>
      <c r="Q18" s="1351"/>
      <c r="R18" s="705"/>
      <c r="S18" s="706"/>
      <c r="T18" s="705"/>
      <c r="U18" s="706"/>
      <c r="V18" s="705"/>
      <c r="W18" s="706"/>
      <c r="X18" s="1354"/>
      <c r="Y18" s="372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7"/>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7"/>
      <c r="Q20" s="1351"/>
      <c r="R20" s="705"/>
      <c r="S20" s="706"/>
      <c r="T20" s="705"/>
      <c r="U20" s="706"/>
      <c r="V20" s="705"/>
      <c r="W20" s="706"/>
      <c r="X20" s="1354"/>
      <c r="Y20" s="3727"/>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7"/>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7"/>
      <c r="Q22" s="1351"/>
      <c r="R22" s="705"/>
      <c r="S22" s="706"/>
      <c r="T22" s="705"/>
      <c r="U22" s="706"/>
      <c r="V22" s="705"/>
      <c r="W22" s="706"/>
      <c r="X22" s="1354"/>
      <c r="Y22" s="372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7"/>
      <c r="Q23" s="1351" t="str">
        <f>B23</f>
        <v>环境质量</v>
      </c>
      <c r="R23" s="705" t="s">
        <v>14</v>
      </c>
      <c r="S23" s="706">
        <f>F23</f>
        <v>100</v>
      </c>
      <c r="T23" s="705" t="s">
        <v>14</v>
      </c>
      <c r="U23" s="706">
        <f>H23</f>
        <v>100</v>
      </c>
      <c r="V23" s="705" t="s">
        <v>14</v>
      </c>
      <c r="W23" s="706">
        <f>J23</f>
        <v>100</v>
      </c>
      <c r="X23" s="1354"/>
      <c r="Y23" s="372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7"/>
      <c r="Q24" s="1351"/>
      <c r="R24" s="705"/>
      <c r="S24" s="706"/>
      <c r="T24" s="705"/>
      <c r="U24" s="706"/>
      <c r="V24" s="705"/>
      <c r="W24" s="706"/>
      <c r="X24" s="1354"/>
      <c r="Y24" s="372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1">
        <f>B25</f>
        <v>111</v>
      </c>
      <c r="R25" s="705" t="s">
        <v>14</v>
      </c>
      <c r="S25" s="706">
        <f>F25</f>
        <v>100</v>
      </c>
      <c r="T25" s="705" t="s">
        <v>14</v>
      </c>
      <c r="U25" s="706">
        <f>H25</f>
        <v>100</v>
      </c>
      <c r="V25" s="705" t="s">
        <v>14</v>
      </c>
      <c r="W25" s="706">
        <f>J25</f>
        <v>100</v>
      </c>
      <c r="X25" s="1354"/>
      <c r="Y25" s="372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1">
        <f t="shared" ref="Q26:Q40" si="11">B26</f>
        <v>111</v>
      </c>
      <c r="R26" s="705" t="s">
        <v>14</v>
      </c>
      <c r="S26" s="706">
        <f>F26</f>
        <v>100</v>
      </c>
      <c r="T26" s="705" t="s">
        <v>14</v>
      </c>
      <c r="U26" s="706">
        <f>H26</f>
        <v>100</v>
      </c>
      <c r="V26" s="705" t="s">
        <v>14</v>
      </c>
      <c r="W26" s="706">
        <f>J26</f>
        <v>100</v>
      </c>
      <c r="X26" s="1354"/>
      <c r="Y26" s="372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2">
        <f t="shared" si="11"/>
        <v>111</v>
      </c>
      <c r="R27" s="701" t="s">
        <v>14</v>
      </c>
      <c r="S27" s="702">
        <f>F27</f>
        <v>100</v>
      </c>
      <c r="T27" s="701" t="s">
        <v>14</v>
      </c>
      <c r="U27" s="702">
        <f>H27</f>
        <v>100</v>
      </c>
      <c r="V27" s="701" t="s">
        <v>14</v>
      </c>
      <c r="W27" s="702">
        <f>J27</f>
        <v>100</v>
      </c>
      <c r="X27" s="703"/>
      <c r="Y27" s="372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1">
        <f t="shared" si="11"/>
        <v>111</v>
      </c>
      <c r="R28" s="705" t="s">
        <v>14</v>
      </c>
      <c r="S28" s="706">
        <f t="shared" ref="S28:S40" si="12">F28</f>
        <v>100</v>
      </c>
      <c r="T28" s="705" t="s">
        <v>14</v>
      </c>
      <c r="U28" s="706">
        <f t="shared" ref="U28:U40" si="13">H28</f>
        <v>100</v>
      </c>
      <c r="V28" s="705" t="s">
        <v>14</v>
      </c>
      <c r="W28" s="706">
        <f t="shared" ref="W28:W40" si="14">J28</f>
        <v>100</v>
      </c>
      <c r="X28" s="1354"/>
      <c r="Y28" s="372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0" t="s">
        <v>1696</v>
      </c>
      <c r="Q29" s="1351" t="str">
        <f t="shared" si="11"/>
        <v>建筑类型</v>
      </c>
      <c r="R29" s="705" t="s">
        <v>14</v>
      </c>
      <c r="S29" s="706">
        <f t="shared" si="12"/>
        <v>100</v>
      </c>
      <c r="T29" s="705" t="s">
        <v>14</v>
      </c>
      <c r="U29" s="706">
        <f t="shared" si="13"/>
        <v>100</v>
      </c>
      <c r="V29" s="705" t="s">
        <v>14</v>
      </c>
      <c r="W29" s="706">
        <f t="shared" si="14"/>
        <v>100</v>
      </c>
      <c r="X29" s="1354"/>
      <c r="Y29" s="373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1"/>
      <c r="Q30" s="707" t="str">
        <f t="shared" si="11"/>
        <v>项目建筑规模</v>
      </c>
      <c r="R30" s="708" t="s">
        <v>14</v>
      </c>
      <c r="S30" s="709" t="e">
        <f t="shared" si="12"/>
        <v>#N/A</v>
      </c>
      <c r="T30" s="708" t="s">
        <v>14</v>
      </c>
      <c r="U30" s="709" t="e">
        <f t="shared" si="13"/>
        <v>#N/A</v>
      </c>
      <c r="V30" s="708" t="s">
        <v>14</v>
      </c>
      <c r="W30" s="709" t="e">
        <f t="shared" si="14"/>
        <v>#N/A</v>
      </c>
      <c r="X30" s="710"/>
      <c r="Y30" s="373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1"/>
      <c r="Q31" s="1351" t="str">
        <f t="shared" si="11"/>
        <v>建筑结构</v>
      </c>
      <c r="R31" s="705" t="s">
        <v>14</v>
      </c>
      <c r="S31" s="706">
        <f t="shared" si="12"/>
        <v>100</v>
      </c>
      <c r="T31" s="705" t="s">
        <v>14</v>
      </c>
      <c r="U31" s="706">
        <f t="shared" si="13"/>
        <v>100</v>
      </c>
      <c r="V31" s="705" t="s">
        <v>14</v>
      </c>
      <c r="W31" s="706">
        <f t="shared" si="14"/>
        <v>100</v>
      </c>
      <c r="X31" s="1354"/>
      <c r="Y31" s="373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1"/>
      <c r="Q32" s="1351" t="str">
        <f t="shared" si="11"/>
        <v>公共部分装修</v>
      </c>
      <c r="R32" s="705" t="s">
        <v>14</v>
      </c>
      <c r="S32" s="706">
        <f t="shared" si="12"/>
        <v>100</v>
      </c>
      <c r="T32" s="705" t="s">
        <v>14</v>
      </c>
      <c r="U32" s="706">
        <f t="shared" si="13"/>
        <v>100</v>
      </c>
      <c r="V32" s="705" t="s">
        <v>14</v>
      </c>
      <c r="W32" s="706">
        <f t="shared" si="14"/>
        <v>100</v>
      </c>
      <c r="X32" s="1354"/>
      <c r="Y32" s="373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1"/>
      <c r="Q33" s="1351" t="str">
        <f t="shared" si="11"/>
        <v>成新度</v>
      </c>
      <c r="R33" s="705" t="s">
        <v>14</v>
      </c>
      <c r="S33" s="706" t="e">
        <f t="shared" si="12"/>
        <v>#N/A</v>
      </c>
      <c r="T33" s="705" t="s">
        <v>14</v>
      </c>
      <c r="U33" s="706" t="e">
        <f t="shared" si="13"/>
        <v>#N/A</v>
      </c>
      <c r="V33" s="705" t="s">
        <v>14</v>
      </c>
      <c r="W33" s="706" t="e">
        <f t="shared" si="14"/>
        <v>#N/A</v>
      </c>
      <c r="X33" s="1354"/>
      <c r="Y33" s="373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1"/>
      <c r="Q34" s="1342" t="str">
        <f t="shared" si="11"/>
        <v>物业管理</v>
      </c>
      <c r="R34" s="701" t="s">
        <v>14</v>
      </c>
      <c r="S34" s="702">
        <f t="shared" si="12"/>
        <v>100</v>
      </c>
      <c r="T34" s="701" t="s">
        <v>14</v>
      </c>
      <c r="U34" s="702">
        <f t="shared" si="13"/>
        <v>100</v>
      </c>
      <c r="V34" s="701" t="s">
        <v>14</v>
      </c>
      <c r="W34" s="702">
        <f t="shared" si="14"/>
        <v>100</v>
      </c>
      <c r="X34" s="703"/>
      <c r="Y34" s="373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1" t="s">
        <v>1696</v>
      </c>
      <c r="Q35" s="1351" t="str">
        <f t="shared" si="11"/>
        <v>市政基础设施</v>
      </c>
      <c r="R35" s="705" t="s">
        <v>14</v>
      </c>
      <c r="S35" s="706">
        <f t="shared" si="12"/>
        <v>100</v>
      </c>
      <c r="T35" s="705" t="s">
        <v>14</v>
      </c>
      <c r="U35" s="706">
        <f t="shared" si="13"/>
        <v>100</v>
      </c>
      <c r="V35" s="705" t="s">
        <v>14</v>
      </c>
      <c r="W35" s="706">
        <f t="shared" si="14"/>
        <v>100</v>
      </c>
      <c r="X35" s="1354"/>
      <c r="Y35" s="373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1"/>
      <c r="Q36" s="1351" t="str">
        <f t="shared" si="11"/>
        <v>内部装修</v>
      </c>
      <c r="R36" s="705" t="s">
        <v>14</v>
      </c>
      <c r="S36" s="706">
        <f t="shared" si="12"/>
        <v>100</v>
      </c>
      <c r="T36" s="705" t="s">
        <v>14</v>
      </c>
      <c r="U36" s="706">
        <f t="shared" si="13"/>
        <v>100</v>
      </c>
      <c r="V36" s="705" t="s">
        <v>14</v>
      </c>
      <c r="W36" s="706">
        <f t="shared" si="14"/>
        <v>100</v>
      </c>
      <c r="X36" s="1354"/>
      <c r="Y36" s="373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1"/>
      <c r="Q37" s="1351" t="str">
        <f t="shared" si="11"/>
        <v>内部装修状况</v>
      </c>
      <c r="R37" s="705" t="s">
        <v>14</v>
      </c>
      <c r="S37" s="706">
        <f t="shared" si="12"/>
        <v>100</v>
      </c>
      <c r="T37" s="705" t="s">
        <v>14</v>
      </c>
      <c r="U37" s="706">
        <f t="shared" si="13"/>
        <v>100</v>
      </c>
      <c r="V37" s="705" t="s">
        <v>14</v>
      </c>
      <c r="W37" s="706">
        <f t="shared" si="14"/>
        <v>100</v>
      </c>
      <c r="X37" s="1354"/>
      <c r="Y37" s="373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1"/>
      <c r="Q38" s="707">
        <f t="shared" si="11"/>
        <v>111</v>
      </c>
      <c r="R38" s="708" t="s">
        <v>14</v>
      </c>
      <c r="S38" s="709">
        <f t="shared" si="12"/>
        <v>100</v>
      </c>
      <c r="T38" s="708" t="s">
        <v>14</v>
      </c>
      <c r="U38" s="709">
        <f t="shared" si="13"/>
        <v>100</v>
      </c>
      <c r="V38" s="708" t="s">
        <v>14</v>
      </c>
      <c r="W38" s="709">
        <f t="shared" si="14"/>
        <v>100</v>
      </c>
      <c r="X38" s="710"/>
      <c r="Y38" s="373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1"/>
      <c r="Q39" s="1351">
        <f t="shared" si="11"/>
        <v>111</v>
      </c>
      <c r="R39" s="705" t="s">
        <v>14</v>
      </c>
      <c r="S39" s="706">
        <f t="shared" si="12"/>
        <v>100</v>
      </c>
      <c r="T39" s="705" t="s">
        <v>14</v>
      </c>
      <c r="U39" s="706">
        <f t="shared" si="13"/>
        <v>100</v>
      </c>
      <c r="V39" s="705" t="s">
        <v>14</v>
      </c>
      <c r="W39" s="706">
        <f t="shared" si="14"/>
        <v>100</v>
      </c>
      <c r="X39" s="1354"/>
      <c r="Y39" s="373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2"/>
      <c r="Q40" s="1351">
        <f t="shared" si="11"/>
        <v>111</v>
      </c>
      <c r="R40" s="705" t="s">
        <v>14</v>
      </c>
      <c r="S40" s="706">
        <f t="shared" si="12"/>
        <v>100</v>
      </c>
      <c r="T40" s="705" t="s">
        <v>14</v>
      </c>
      <c r="U40" s="706">
        <f t="shared" si="13"/>
        <v>100</v>
      </c>
      <c r="V40" s="705" t="s">
        <v>14</v>
      </c>
      <c r="W40" s="706">
        <f t="shared" si="14"/>
        <v>100</v>
      </c>
      <c r="X40" s="1354"/>
      <c r="Y40" s="373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4" t="str">
        <f>A41</f>
        <v>成交单价（元/平方米）</v>
      </c>
      <c r="Q41" s="3724"/>
      <c r="R41" s="3725">
        <f>E41</f>
        <v>0</v>
      </c>
      <c r="S41" s="3725"/>
      <c r="T41" s="3725">
        <f>G41</f>
        <v>0</v>
      </c>
      <c r="U41" s="3725"/>
      <c r="V41" s="3725">
        <f>I41</f>
        <v>0</v>
      </c>
      <c r="W41" s="3725"/>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估价对象为房地产，为所有。根据《国有土地使用证》[]，估价对象（分摊）出让国有建设用地使用权面积为24593平方米，建筑面积为29587.64平方米。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估价对象为房地产,属开发建设的工业项目，该项目尚在开发建设中。根据《国有土地使用证》[]，估价对象（分摊）出让国有建设用地使用权面积为24593平方米，规划建筑面积为29587.64平方米。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4" t="s">
        <v>1686</v>
      </c>
      <c r="Q9" s="1342"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4"/>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4"/>
      <c r="Q11" s="1342">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4"/>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6" t="s">
        <v>1691</v>
      </c>
      <c r="Q14" s="1351" t="str">
        <f t="shared" si="6"/>
        <v>交通便捷度</v>
      </c>
      <c r="R14" s="705" t="s">
        <v>14</v>
      </c>
      <c r="S14" s="706">
        <f t="shared" si="0"/>
        <v>100</v>
      </c>
      <c r="T14" s="705" t="s">
        <v>14</v>
      </c>
      <c r="U14" s="706">
        <f t="shared" si="1"/>
        <v>100</v>
      </c>
      <c r="V14" s="705" t="s">
        <v>14</v>
      </c>
      <c r="W14" s="706">
        <f t="shared" si="2"/>
        <v>100</v>
      </c>
      <c r="X14" s="1354"/>
      <c r="Y14" s="372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7"/>
      <c r="Q15" s="1351"/>
      <c r="R15" s="705"/>
      <c r="S15" s="706"/>
      <c r="T15" s="705"/>
      <c r="U15" s="706"/>
      <c r="V15" s="705"/>
      <c r="W15" s="706"/>
      <c r="X15" s="1354"/>
      <c r="Y15" s="372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7"/>
      <c r="Q16" s="1351" t="str">
        <f>B16</f>
        <v>公共配套设施</v>
      </c>
      <c r="R16" s="705" t="s">
        <v>14</v>
      </c>
      <c r="S16" s="706">
        <f>F16</f>
        <v>100</v>
      </c>
      <c r="T16" s="705" t="s">
        <v>14</v>
      </c>
      <c r="U16" s="706">
        <f>H16</f>
        <v>100</v>
      </c>
      <c r="V16" s="705" t="s">
        <v>14</v>
      </c>
      <c r="W16" s="706">
        <f>J16</f>
        <v>100</v>
      </c>
      <c r="X16" s="1354"/>
      <c r="Y16" s="372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7"/>
      <c r="Q17" s="1351"/>
      <c r="R17" s="705"/>
      <c r="S17" s="706"/>
      <c r="T17" s="705"/>
      <c r="U17" s="706"/>
      <c r="V17" s="705"/>
      <c r="W17" s="706"/>
      <c r="X17" s="1354"/>
      <c r="Y17" s="372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7"/>
      <c r="Q18" s="1351" t="str">
        <f>B18</f>
        <v>基础设施水平</v>
      </c>
      <c r="R18" s="705" t="s">
        <v>14</v>
      </c>
      <c r="S18" s="706">
        <f>F18</f>
        <v>100</v>
      </c>
      <c r="T18" s="705" t="s">
        <v>14</v>
      </c>
      <c r="U18" s="706">
        <f>H18</f>
        <v>100</v>
      </c>
      <c r="V18" s="705" t="s">
        <v>14</v>
      </c>
      <c r="W18" s="706">
        <f>J18</f>
        <v>100</v>
      </c>
      <c r="X18" s="1354"/>
      <c r="Y18" s="372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7"/>
      <c r="Q19" s="1351"/>
      <c r="R19" s="705"/>
      <c r="S19" s="706"/>
      <c r="T19" s="705"/>
      <c r="U19" s="706"/>
      <c r="V19" s="705"/>
      <c r="W19" s="706"/>
      <c r="X19" s="1354"/>
      <c r="Y19" s="372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7"/>
      <c r="Q20" s="1351" t="str">
        <f>B20</f>
        <v>自然及人文环境</v>
      </c>
      <c r="R20" s="705" t="s">
        <v>14</v>
      </c>
      <c r="S20" s="706">
        <f>F20</f>
        <v>100</v>
      </c>
      <c r="T20" s="705" t="s">
        <v>14</v>
      </c>
      <c r="U20" s="706">
        <f>H20</f>
        <v>100</v>
      </c>
      <c r="V20" s="705" t="s">
        <v>14</v>
      </c>
      <c r="W20" s="706">
        <f>J20</f>
        <v>100</v>
      </c>
      <c r="X20" s="1354"/>
      <c r="Y20" s="372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7"/>
      <c r="Q21" s="1351"/>
      <c r="R21" s="705"/>
      <c r="S21" s="706"/>
      <c r="T21" s="705"/>
      <c r="U21" s="706"/>
      <c r="V21" s="705"/>
      <c r="W21" s="706"/>
      <c r="X21" s="1354"/>
      <c r="Y21" s="372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7"/>
      <c r="Q22" s="1351" t="str">
        <f>B22</f>
        <v>楼层</v>
      </c>
      <c r="R22" s="705" t="s">
        <v>14</v>
      </c>
      <c r="S22" s="706">
        <f>F22</f>
        <v>100</v>
      </c>
      <c r="T22" s="705" t="s">
        <v>14</v>
      </c>
      <c r="U22" s="706">
        <f>H22</f>
        <v>100</v>
      </c>
      <c r="V22" s="705" t="s">
        <v>14</v>
      </c>
      <c r="W22" s="706">
        <f>J22</f>
        <v>100</v>
      </c>
      <c r="X22" s="1354"/>
      <c r="Y22" s="372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7"/>
      <c r="Q23" s="1351">
        <f>B23</f>
        <v>111</v>
      </c>
      <c r="R23" s="705" t="s">
        <v>14</v>
      </c>
      <c r="S23" s="706">
        <f>F23</f>
        <v>100</v>
      </c>
      <c r="T23" s="705" t="s">
        <v>14</v>
      </c>
      <c r="U23" s="706">
        <f>H23</f>
        <v>100</v>
      </c>
      <c r="V23" s="705" t="s">
        <v>14</v>
      </c>
      <c r="W23" s="706">
        <f>J23</f>
        <v>100</v>
      </c>
      <c r="X23" s="1354"/>
      <c r="Y23" s="372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7"/>
      <c r="Q24" s="1351">
        <f t="shared" ref="Q24:Q36" si="11">B24</f>
        <v>111</v>
      </c>
      <c r="R24" s="705" t="s">
        <v>14</v>
      </c>
      <c r="S24" s="706">
        <f>F24</f>
        <v>100</v>
      </c>
      <c r="T24" s="705" t="s">
        <v>14</v>
      </c>
      <c r="U24" s="706">
        <f>H24</f>
        <v>100</v>
      </c>
      <c r="V24" s="705" t="s">
        <v>14</v>
      </c>
      <c r="W24" s="706">
        <f>J24</f>
        <v>100</v>
      </c>
      <c r="X24" s="1354"/>
      <c r="Y24" s="372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7"/>
      <c r="Q25" s="1342">
        <f t="shared" si="11"/>
        <v>111</v>
      </c>
      <c r="R25" s="701" t="s">
        <v>14</v>
      </c>
      <c r="S25" s="702">
        <f>F25</f>
        <v>100</v>
      </c>
      <c r="T25" s="701" t="s">
        <v>14</v>
      </c>
      <c r="U25" s="702">
        <f>H25</f>
        <v>100</v>
      </c>
      <c r="V25" s="701" t="s">
        <v>14</v>
      </c>
      <c r="W25" s="702">
        <f>J25</f>
        <v>100</v>
      </c>
      <c r="X25" s="703"/>
      <c r="Y25" s="372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1"/>
      <c r="Q27" s="707" t="str">
        <f t="shared" si="11"/>
        <v>项目停车位配比</v>
      </c>
      <c r="R27" s="708" t="s">
        <v>14</v>
      </c>
      <c r="S27" s="709">
        <f t="shared" si="12"/>
        <v>100</v>
      </c>
      <c r="T27" s="708" t="s">
        <v>14</v>
      </c>
      <c r="U27" s="709">
        <f t="shared" si="13"/>
        <v>100</v>
      </c>
      <c r="V27" s="708" t="s">
        <v>14</v>
      </c>
      <c r="W27" s="709">
        <f t="shared" si="14"/>
        <v>100</v>
      </c>
      <c r="X27" s="710"/>
      <c r="Y27" s="373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1"/>
      <c r="Q28" s="1351" t="str">
        <f t="shared" si="11"/>
        <v>公共部分装修</v>
      </c>
      <c r="R28" s="705" t="s">
        <v>14</v>
      </c>
      <c r="S28" s="706">
        <f t="shared" si="12"/>
        <v>100</v>
      </c>
      <c r="T28" s="705" t="s">
        <v>14</v>
      </c>
      <c r="U28" s="706">
        <f t="shared" si="13"/>
        <v>100</v>
      </c>
      <c r="V28" s="705" t="s">
        <v>14</v>
      </c>
      <c r="W28" s="706">
        <f t="shared" si="14"/>
        <v>100</v>
      </c>
      <c r="X28" s="1354"/>
      <c r="Y28" s="373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1"/>
      <c r="Q29" s="1351" t="str">
        <f t="shared" si="11"/>
        <v>成新率</v>
      </c>
      <c r="R29" s="705" t="s">
        <v>14</v>
      </c>
      <c r="S29" s="706" t="e">
        <f t="shared" si="12"/>
        <v>#N/A</v>
      </c>
      <c r="T29" s="705" t="s">
        <v>14</v>
      </c>
      <c r="U29" s="706" t="e">
        <f t="shared" si="13"/>
        <v>#N/A</v>
      </c>
      <c r="V29" s="705" t="s">
        <v>14</v>
      </c>
      <c r="W29" s="706" t="e">
        <f t="shared" si="14"/>
        <v>#N/A</v>
      </c>
      <c r="X29" s="1354"/>
      <c r="Y29" s="373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1"/>
      <c r="Q30" s="1351" t="str">
        <f t="shared" si="11"/>
        <v>物业等级</v>
      </c>
      <c r="R30" s="705" t="s">
        <v>14</v>
      </c>
      <c r="S30" s="706">
        <f t="shared" si="12"/>
        <v>100</v>
      </c>
      <c r="T30" s="705" t="s">
        <v>14</v>
      </c>
      <c r="U30" s="706">
        <f t="shared" si="13"/>
        <v>100</v>
      </c>
      <c r="V30" s="705" t="s">
        <v>14</v>
      </c>
      <c r="W30" s="706">
        <f t="shared" si="14"/>
        <v>100</v>
      </c>
      <c r="X30" s="1354"/>
      <c r="Y30" s="373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1"/>
      <c r="Q31" s="1342" t="str">
        <f t="shared" si="11"/>
        <v>停车位面积</v>
      </c>
      <c r="R31" s="701" t="s">
        <v>14</v>
      </c>
      <c r="S31" s="702" t="e">
        <f t="shared" si="12"/>
        <v>#N/A</v>
      </c>
      <c r="T31" s="701" t="s">
        <v>14</v>
      </c>
      <c r="U31" s="702" t="e">
        <f t="shared" si="13"/>
        <v>#N/A</v>
      </c>
      <c r="V31" s="701" t="s">
        <v>14</v>
      </c>
      <c r="W31" s="702" t="e">
        <f t="shared" si="14"/>
        <v>#N/A</v>
      </c>
      <c r="X31" s="703"/>
      <c r="Y31" s="373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1" t="s">
        <v>1696</v>
      </c>
      <c r="Q32" s="1351" t="str">
        <f t="shared" si="11"/>
        <v>车位类型</v>
      </c>
      <c r="R32" s="705" t="s">
        <v>14</v>
      </c>
      <c r="S32" s="706">
        <f t="shared" si="12"/>
        <v>100</v>
      </c>
      <c r="T32" s="705" t="s">
        <v>14</v>
      </c>
      <c r="U32" s="706">
        <f t="shared" si="13"/>
        <v>100</v>
      </c>
      <c r="V32" s="705" t="s">
        <v>14</v>
      </c>
      <c r="W32" s="706">
        <f t="shared" si="14"/>
        <v>100</v>
      </c>
      <c r="X32" s="1354"/>
      <c r="Y32" s="373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1"/>
      <c r="Q33" s="1351" t="str">
        <f t="shared" si="11"/>
        <v>是否直接入户</v>
      </c>
      <c r="R33" s="705" t="s">
        <v>14</v>
      </c>
      <c r="S33" s="706">
        <f t="shared" si="12"/>
        <v>100</v>
      </c>
      <c r="T33" s="705" t="s">
        <v>14</v>
      </c>
      <c r="U33" s="706">
        <f t="shared" si="13"/>
        <v>100</v>
      </c>
      <c r="V33" s="705" t="s">
        <v>14</v>
      </c>
      <c r="W33" s="706">
        <f t="shared" si="14"/>
        <v>100</v>
      </c>
      <c r="X33" s="1354"/>
      <c r="Y33" s="373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1"/>
      <c r="Q34" s="1351">
        <f t="shared" si="11"/>
        <v>111</v>
      </c>
      <c r="R34" s="705" t="s">
        <v>14</v>
      </c>
      <c r="S34" s="706">
        <f t="shared" si="12"/>
        <v>100</v>
      </c>
      <c r="T34" s="705" t="s">
        <v>14</v>
      </c>
      <c r="U34" s="706">
        <f t="shared" si="13"/>
        <v>100</v>
      </c>
      <c r="V34" s="705" t="s">
        <v>14</v>
      </c>
      <c r="W34" s="706">
        <f t="shared" si="14"/>
        <v>100</v>
      </c>
      <c r="X34" s="1354"/>
      <c r="Y34" s="373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1"/>
      <c r="Q35" s="707">
        <f t="shared" si="11"/>
        <v>111</v>
      </c>
      <c r="R35" s="708" t="s">
        <v>14</v>
      </c>
      <c r="S35" s="709">
        <f t="shared" si="12"/>
        <v>100</v>
      </c>
      <c r="T35" s="708" t="s">
        <v>14</v>
      </c>
      <c r="U35" s="709">
        <f t="shared" si="13"/>
        <v>100</v>
      </c>
      <c r="V35" s="708" t="s">
        <v>14</v>
      </c>
      <c r="W35" s="709">
        <f t="shared" si="14"/>
        <v>100</v>
      </c>
      <c r="X35" s="710"/>
      <c r="Y35" s="373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1"/>
      <c r="Q36" s="1351">
        <f t="shared" si="11"/>
        <v>111</v>
      </c>
      <c r="R36" s="705" t="s">
        <v>14</v>
      </c>
      <c r="S36" s="706">
        <f t="shared" si="12"/>
        <v>100</v>
      </c>
      <c r="T36" s="705" t="s">
        <v>14</v>
      </c>
      <c r="U36" s="706">
        <f t="shared" si="13"/>
        <v>100</v>
      </c>
      <c r="V36" s="705" t="s">
        <v>14</v>
      </c>
      <c r="W36" s="706">
        <f t="shared" si="14"/>
        <v>100</v>
      </c>
      <c r="X36" s="1354"/>
      <c r="Y36" s="3731"/>
      <c r="Z36" s="1355">
        <f t="shared" si="15"/>
        <v>111</v>
      </c>
      <c r="AA36" s="1352">
        <f t="shared" si="3"/>
        <v>1</v>
      </c>
      <c r="AB36" s="1352">
        <f t="shared" si="4"/>
        <v>1</v>
      </c>
      <c r="AC36" s="1352">
        <f t="shared" si="5"/>
        <v>1</v>
      </c>
    </row>
    <row r="37" spans="1:29" ht="15">
      <c r="A37" s="430" t="s">
        <v>1844</v>
      </c>
      <c r="B37" s="1972" t="s">
        <v>3351</v>
      </c>
      <c r="C37" s="1154" t="s">
        <v>0</v>
      </c>
      <c r="D37" s="1155"/>
      <c r="E37" s="1156"/>
      <c r="F37" s="1157"/>
      <c r="G37" s="1158"/>
      <c r="H37" s="1159"/>
      <c r="I37" s="1156"/>
      <c r="J37" s="1159"/>
      <c r="K37" s="568"/>
      <c r="L37" s="2723"/>
      <c r="M37" s="2724"/>
      <c r="N37" s="2715"/>
      <c r="O37" s="2724"/>
      <c r="P37" s="3724" t="str">
        <f>A37</f>
        <v>成交单价</v>
      </c>
      <c r="Q37" s="3724"/>
      <c r="R37" s="3725">
        <f>E37</f>
        <v>0</v>
      </c>
      <c r="S37" s="3725"/>
      <c r="T37" s="3725">
        <f>G37</f>
        <v>0</v>
      </c>
      <c r="U37" s="3725"/>
      <c r="V37" s="3725">
        <f>I37</f>
        <v>0</v>
      </c>
      <c r="W37" s="3725"/>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1" t="str">
        <f>A39</f>
        <v>估价对象XX用房的比较价值（楼面单价，元/平方米）</v>
      </c>
      <c r="Q39" s="3722"/>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4" t="s">
        <v>1686</v>
      </c>
      <c r="Q9" s="1342"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4"/>
      <c r="Q10" s="1342"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4"/>
      <c r="Q11" s="1342">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4"/>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6" t="s">
        <v>1691</v>
      </c>
      <c r="Q14" s="1351" t="str">
        <f t="shared" si="6"/>
        <v>交通便捷度</v>
      </c>
      <c r="R14" s="705" t="s">
        <v>14</v>
      </c>
      <c r="S14" s="706">
        <f t="shared" si="0"/>
        <v>100</v>
      </c>
      <c r="T14" s="705" t="s">
        <v>14</v>
      </c>
      <c r="U14" s="706">
        <f t="shared" si="1"/>
        <v>100</v>
      </c>
      <c r="V14" s="705" t="s">
        <v>14</v>
      </c>
      <c r="W14" s="706">
        <f t="shared" si="2"/>
        <v>100</v>
      </c>
      <c r="X14" s="1354"/>
      <c r="Y14" s="372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7"/>
      <c r="Q15" s="1351"/>
      <c r="R15" s="705"/>
      <c r="S15" s="706"/>
      <c r="T15" s="705"/>
      <c r="U15" s="706"/>
      <c r="V15" s="705"/>
      <c r="W15" s="706"/>
      <c r="X15" s="1354"/>
      <c r="Y15" s="372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7"/>
      <c r="Q16" s="1351" t="str">
        <f>B16</f>
        <v>公共配套设施</v>
      </c>
      <c r="R16" s="705" t="s">
        <v>14</v>
      </c>
      <c r="S16" s="706">
        <f>F16</f>
        <v>100</v>
      </c>
      <c r="T16" s="705" t="s">
        <v>14</v>
      </c>
      <c r="U16" s="706">
        <f>H16</f>
        <v>100</v>
      </c>
      <c r="V16" s="705" t="s">
        <v>14</v>
      </c>
      <c r="W16" s="706">
        <f>J16</f>
        <v>100</v>
      </c>
      <c r="X16" s="1354"/>
      <c r="Y16" s="372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7"/>
      <c r="Q17" s="1351"/>
      <c r="R17" s="705"/>
      <c r="S17" s="706"/>
      <c r="T17" s="705"/>
      <c r="U17" s="706"/>
      <c r="V17" s="705"/>
      <c r="W17" s="706"/>
      <c r="X17" s="1354"/>
      <c r="Y17" s="3727"/>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7"/>
      <c r="Q18" s="1351" t="str">
        <f>B18</f>
        <v>基础设施水平</v>
      </c>
      <c r="R18" s="705" t="s">
        <v>14</v>
      </c>
      <c r="S18" s="706">
        <f>F18</f>
        <v>100</v>
      </c>
      <c r="T18" s="705" t="s">
        <v>14</v>
      </c>
      <c r="U18" s="706">
        <f>H18</f>
        <v>100</v>
      </c>
      <c r="V18" s="705" t="s">
        <v>14</v>
      </c>
      <c r="W18" s="706">
        <f>J18</f>
        <v>100</v>
      </c>
      <c r="X18" s="1354"/>
      <c r="Y18" s="372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7"/>
      <c r="Q19" s="1351"/>
      <c r="R19" s="705"/>
      <c r="S19" s="706"/>
      <c r="T19" s="705"/>
      <c r="U19" s="706"/>
      <c r="V19" s="705"/>
      <c r="W19" s="706"/>
      <c r="X19" s="1354"/>
      <c r="Y19" s="372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7"/>
      <c r="Q20" s="1351" t="str">
        <f>B20</f>
        <v>自然及人文环境</v>
      </c>
      <c r="R20" s="705" t="s">
        <v>14</v>
      </c>
      <c r="S20" s="706">
        <f>F20</f>
        <v>100</v>
      </c>
      <c r="T20" s="705" t="s">
        <v>14</v>
      </c>
      <c r="U20" s="706">
        <f>H20</f>
        <v>100</v>
      </c>
      <c r="V20" s="705" t="s">
        <v>14</v>
      </c>
      <c r="W20" s="706">
        <f>J20</f>
        <v>100</v>
      </c>
      <c r="X20" s="1354"/>
      <c r="Y20" s="372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7"/>
      <c r="Q21" s="1351"/>
      <c r="R21" s="705"/>
      <c r="S21" s="706"/>
      <c r="T21" s="705"/>
      <c r="U21" s="706"/>
      <c r="V21" s="705"/>
      <c r="W21" s="706"/>
      <c r="X21" s="1354"/>
      <c r="Y21" s="372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7"/>
      <c r="Q22" s="1351" t="str">
        <f>B22</f>
        <v>楼层</v>
      </c>
      <c r="R22" s="705" t="s">
        <v>14</v>
      </c>
      <c r="S22" s="706">
        <f>F22</f>
        <v>100</v>
      </c>
      <c r="T22" s="705" t="s">
        <v>14</v>
      </c>
      <c r="U22" s="706">
        <f>H22</f>
        <v>100</v>
      </c>
      <c r="V22" s="705" t="s">
        <v>14</v>
      </c>
      <c r="W22" s="706">
        <f>J22</f>
        <v>100</v>
      </c>
      <c r="X22" s="1354"/>
      <c r="Y22" s="372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7"/>
      <c r="Q23" s="1351">
        <f>B23</f>
        <v>111</v>
      </c>
      <c r="R23" s="705" t="s">
        <v>14</v>
      </c>
      <c r="S23" s="706">
        <f>F23</f>
        <v>100</v>
      </c>
      <c r="T23" s="705" t="s">
        <v>14</v>
      </c>
      <c r="U23" s="706">
        <f>H23</f>
        <v>100</v>
      </c>
      <c r="V23" s="705" t="s">
        <v>14</v>
      </c>
      <c r="W23" s="706">
        <f>J23</f>
        <v>100</v>
      </c>
      <c r="X23" s="1354"/>
      <c r="Y23" s="372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7"/>
      <c r="Q24" s="1351">
        <f t="shared" ref="Q24:Q34" si="11">B24</f>
        <v>111</v>
      </c>
      <c r="R24" s="705" t="s">
        <v>14</v>
      </c>
      <c r="S24" s="706">
        <f>F24</f>
        <v>100</v>
      </c>
      <c r="T24" s="705" t="s">
        <v>14</v>
      </c>
      <c r="U24" s="706">
        <f>H24</f>
        <v>100</v>
      </c>
      <c r="V24" s="705" t="s">
        <v>14</v>
      </c>
      <c r="W24" s="706">
        <f>J24</f>
        <v>100</v>
      </c>
      <c r="X24" s="1354"/>
      <c r="Y24" s="372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7"/>
      <c r="Q25" s="1342">
        <f t="shared" si="11"/>
        <v>111</v>
      </c>
      <c r="R25" s="701" t="s">
        <v>14</v>
      </c>
      <c r="S25" s="702">
        <f>F25</f>
        <v>100</v>
      </c>
      <c r="T25" s="701" t="s">
        <v>14</v>
      </c>
      <c r="U25" s="702">
        <f>H25</f>
        <v>100</v>
      </c>
      <c r="V25" s="701" t="s">
        <v>14</v>
      </c>
      <c r="W25" s="702">
        <f>J25</f>
        <v>100</v>
      </c>
      <c r="X25" s="703"/>
      <c r="Y25" s="372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1"/>
      <c r="Q27" s="707" t="str">
        <f t="shared" si="11"/>
        <v>成新率</v>
      </c>
      <c r="R27" s="708" t="s">
        <v>14</v>
      </c>
      <c r="S27" s="709" t="e">
        <f t="shared" si="12"/>
        <v>#N/A</v>
      </c>
      <c r="T27" s="708" t="s">
        <v>14</v>
      </c>
      <c r="U27" s="709" t="e">
        <f t="shared" si="13"/>
        <v>#N/A</v>
      </c>
      <c r="V27" s="708" t="s">
        <v>14</v>
      </c>
      <c r="W27" s="709" t="e">
        <f t="shared" si="14"/>
        <v>#N/A</v>
      </c>
      <c r="X27" s="710"/>
      <c r="Y27" s="373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1"/>
      <c r="Q28" s="1351" t="str">
        <f t="shared" si="11"/>
        <v>物业等级</v>
      </c>
      <c r="R28" s="705" t="s">
        <v>14</v>
      </c>
      <c r="S28" s="706">
        <f t="shared" si="12"/>
        <v>100</v>
      </c>
      <c r="T28" s="705" t="s">
        <v>14</v>
      </c>
      <c r="U28" s="706">
        <f t="shared" si="13"/>
        <v>100</v>
      </c>
      <c r="V28" s="705" t="s">
        <v>14</v>
      </c>
      <c r="W28" s="706">
        <f t="shared" si="14"/>
        <v>100</v>
      </c>
      <c r="X28" s="1354"/>
      <c r="Y28" s="373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1"/>
      <c r="Q29" s="1351" t="str">
        <f t="shared" si="11"/>
        <v>有无电梯</v>
      </c>
      <c r="R29" s="705" t="s">
        <v>14</v>
      </c>
      <c r="S29" s="706">
        <f t="shared" si="12"/>
        <v>100</v>
      </c>
      <c r="T29" s="705" t="s">
        <v>14</v>
      </c>
      <c r="U29" s="706">
        <f t="shared" si="13"/>
        <v>100</v>
      </c>
      <c r="V29" s="705" t="s">
        <v>14</v>
      </c>
      <c r="W29" s="706">
        <f t="shared" si="14"/>
        <v>100</v>
      </c>
      <c r="X29" s="1354"/>
      <c r="Y29" s="373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1"/>
      <c r="Q30" s="1351" t="str">
        <f t="shared" si="11"/>
        <v>建筑面积</v>
      </c>
      <c r="R30" s="705" t="s">
        <v>14</v>
      </c>
      <c r="S30" s="706" t="e">
        <f t="shared" si="12"/>
        <v>#N/A</v>
      </c>
      <c r="T30" s="705" t="s">
        <v>14</v>
      </c>
      <c r="U30" s="706" t="e">
        <f t="shared" si="13"/>
        <v>#N/A</v>
      </c>
      <c r="V30" s="705" t="s">
        <v>14</v>
      </c>
      <c r="W30" s="706" t="e">
        <f t="shared" si="14"/>
        <v>#N/A</v>
      </c>
      <c r="X30" s="1354"/>
      <c r="Y30" s="373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1"/>
      <c r="Q31" s="1342" t="str">
        <f t="shared" si="11"/>
        <v>是否封闭</v>
      </c>
      <c r="R31" s="701" t="s">
        <v>14</v>
      </c>
      <c r="S31" s="702">
        <f t="shared" si="12"/>
        <v>100</v>
      </c>
      <c r="T31" s="701" t="s">
        <v>14</v>
      </c>
      <c r="U31" s="702">
        <f t="shared" si="13"/>
        <v>100</v>
      </c>
      <c r="V31" s="701" t="s">
        <v>14</v>
      </c>
      <c r="W31" s="702">
        <f t="shared" si="14"/>
        <v>100</v>
      </c>
      <c r="X31" s="703"/>
      <c r="Y31" s="373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1" t="s">
        <v>1696</v>
      </c>
      <c r="Q32" s="1351">
        <f t="shared" si="11"/>
        <v>111</v>
      </c>
      <c r="R32" s="705" t="s">
        <v>14</v>
      </c>
      <c r="S32" s="706">
        <f t="shared" si="12"/>
        <v>100</v>
      </c>
      <c r="T32" s="705" t="s">
        <v>14</v>
      </c>
      <c r="U32" s="706">
        <f t="shared" si="13"/>
        <v>100</v>
      </c>
      <c r="V32" s="705" t="s">
        <v>14</v>
      </c>
      <c r="W32" s="706">
        <f t="shared" si="14"/>
        <v>100</v>
      </c>
      <c r="X32" s="1354"/>
      <c r="Y32" s="373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1"/>
      <c r="Q33" s="1351">
        <f t="shared" si="11"/>
        <v>111</v>
      </c>
      <c r="R33" s="705" t="s">
        <v>14</v>
      </c>
      <c r="S33" s="706">
        <f t="shared" si="12"/>
        <v>100</v>
      </c>
      <c r="T33" s="705" t="s">
        <v>14</v>
      </c>
      <c r="U33" s="706">
        <f t="shared" si="13"/>
        <v>100</v>
      </c>
      <c r="V33" s="705" t="s">
        <v>14</v>
      </c>
      <c r="W33" s="706">
        <f t="shared" si="14"/>
        <v>100</v>
      </c>
      <c r="X33" s="1354"/>
      <c r="Y33" s="373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1"/>
      <c r="Q34" s="1351">
        <f t="shared" si="11"/>
        <v>111</v>
      </c>
      <c r="R34" s="705" t="s">
        <v>14</v>
      </c>
      <c r="S34" s="706">
        <f t="shared" si="12"/>
        <v>100</v>
      </c>
      <c r="T34" s="705" t="s">
        <v>14</v>
      </c>
      <c r="U34" s="706">
        <f t="shared" si="13"/>
        <v>100</v>
      </c>
      <c r="V34" s="705" t="s">
        <v>14</v>
      </c>
      <c r="W34" s="706">
        <f t="shared" si="14"/>
        <v>100</v>
      </c>
      <c r="X34" s="1354"/>
      <c r="Y34" s="373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24" t="str">
        <f>A35</f>
        <v>成交单价（元/平方米）</v>
      </c>
      <c r="Q35" s="3724"/>
      <c r="R35" s="3725">
        <f>E35</f>
        <v>0</v>
      </c>
      <c r="S35" s="3725"/>
      <c r="T35" s="3725">
        <f>G35</f>
        <v>0</v>
      </c>
      <c r="U35" s="3725"/>
      <c r="V35" s="3725">
        <f>I35</f>
        <v>0</v>
      </c>
      <c r="W35" s="3725"/>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1" t="str">
        <f>A37</f>
        <v>估价对象XX用房的比较价值（楼面单价，元/平方米）</v>
      </c>
      <c r="Q37" s="3722"/>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30"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30"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30" s="108" customFormat="1" ht="15.75" thickBot="1">
      <c r="A7" s="362" t="s">
        <v>1679</v>
      </c>
      <c r="B7" s="363"/>
      <c r="C7" s="364">
        <f>'数据-取费表'!B2</f>
        <v>45941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2" t="s">
        <v>1683</v>
      </c>
      <c r="Q8" s="3693"/>
      <c r="R8" s="701" t="s">
        <v>14</v>
      </c>
      <c r="S8" s="702">
        <f t="shared" si="0"/>
        <v>0</v>
      </c>
      <c r="T8" s="701" t="s">
        <v>14</v>
      </c>
      <c r="U8" s="702">
        <f t="shared" si="1"/>
        <v>0</v>
      </c>
      <c r="V8" s="701" t="s">
        <v>14</v>
      </c>
      <c r="W8" s="702">
        <f t="shared" si="2"/>
        <v>0</v>
      </c>
      <c r="X8" s="703"/>
      <c r="Y8" s="3692" t="s">
        <v>1683</v>
      </c>
      <c r="Z8" s="3693"/>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4"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8"/>
      <c r="M10" s="2719"/>
      <c r="N10" s="2719"/>
      <c r="O10" s="2772"/>
      <c r="P10" s="3724"/>
      <c r="Q10" s="1342" t="str">
        <f t="shared" si="6"/>
        <v>土地使用年限（年）</v>
      </c>
      <c r="R10" s="701" t="s">
        <v>14</v>
      </c>
      <c r="S10" s="702">
        <f t="shared" si="0"/>
        <v>116</v>
      </c>
      <c r="T10" s="701" t="s">
        <v>14</v>
      </c>
      <c r="U10" s="702">
        <f t="shared" si="1"/>
        <v>116</v>
      </c>
      <c r="V10" s="701" t="s">
        <v>14</v>
      </c>
      <c r="W10" s="702">
        <f t="shared" si="2"/>
        <v>116</v>
      </c>
      <c r="X10" s="703"/>
      <c r="Y10" s="3636"/>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4"/>
      <c r="Q11" s="1342"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4"/>
      <c r="Q12" s="1342" t="str">
        <f t="shared" si="6"/>
        <v>配建</v>
      </c>
      <c r="R12" s="701" t="s">
        <v>14</v>
      </c>
      <c r="S12" s="702">
        <f t="shared" si="0"/>
        <v>100</v>
      </c>
      <c r="T12" s="701" t="s">
        <v>14</v>
      </c>
      <c r="U12" s="702">
        <f t="shared" si="1"/>
        <v>100</v>
      </c>
      <c r="V12" s="701" t="s">
        <v>14</v>
      </c>
      <c r="W12" s="702">
        <f t="shared" si="2"/>
        <v>100</v>
      </c>
      <c r="X12" s="703"/>
      <c r="Y12" s="363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4"/>
      <c r="Q14" s="1342">
        <f t="shared" si="6"/>
        <v>111</v>
      </c>
      <c r="R14" s="701" t="s">
        <v>14</v>
      </c>
      <c r="S14" s="702">
        <f t="shared" si="0"/>
        <v>100</v>
      </c>
      <c r="T14" s="701" t="s">
        <v>14</v>
      </c>
      <c r="U14" s="702">
        <f t="shared" si="1"/>
        <v>100</v>
      </c>
      <c r="V14" s="701" t="s">
        <v>14</v>
      </c>
      <c r="W14" s="702">
        <f t="shared" si="2"/>
        <v>100</v>
      </c>
      <c r="X14" s="703"/>
      <c r="Y14" s="3636"/>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6" t="s">
        <v>1691</v>
      </c>
      <c r="Q15" s="1351" t="str">
        <f t="shared" si="6"/>
        <v>居住社区成熟度</v>
      </c>
      <c r="R15" s="705" t="s">
        <v>14</v>
      </c>
      <c r="S15" s="706">
        <f t="shared" si="0"/>
        <v>100</v>
      </c>
      <c r="T15" s="705" t="s">
        <v>14</v>
      </c>
      <c r="U15" s="706">
        <f t="shared" si="1"/>
        <v>100</v>
      </c>
      <c r="V15" s="705" t="s">
        <v>14</v>
      </c>
      <c r="W15" s="706">
        <f t="shared" si="2"/>
        <v>100</v>
      </c>
      <c r="X15" s="1354"/>
      <c r="Y15" s="372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7"/>
      <c r="Q16" s="1351"/>
      <c r="R16" s="705"/>
      <c r="S16" s="706"/>
      <c r="T16" s="705"/>
      <c r="U16" s="706"/>
      <c r="V16" s="705"/>
      <c r="W16" s="706"/>
      <c r="X16" s="1354"/>
      <c r="Y16" s="372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7"/>
      <c r="Q17" s="1351" t="str">
        <f>B17</f>
        <v>商业繁华度</v>
      </c>
      <c r="R17" s="705" t="s">
        <v>14</v>
      </c>
      <c r="S17" s="706">
        <f>F17</f>
        <v>100</v>
      </c>
      <c r="T17" s="705" t="s">
        <v>14</v>
      </c>
      <c r="U17" s="706">
        <f>H17</f>
        <v>100</v>
      </c>
      <c r="V17" s="705" t="s">
        <v>14</v>
      </c>
      <c r="W17" s="706">
        <f>J17</f>
        <v>100</v>
      </c>
      <c r="X17" s="1354"/>
      <c r="Y17" s="372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7"/>
      <c r="Q18" s="1351"/>
      <c r="R18" s="705"/>
      <c r="S18" s="706"/>
      <c r="T18" s="705"/>
      <c r="U18" s="706"/>
      <c r="V18" s="705"/>
      <c r="W18" s="706"/>
      <c r="X18" s="1354"/>
      <c r="Y18" s="372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7"/>
      <c r="Q19" s="1351" t="str">
        <f>B19</f>
        <v>办公集聚程度</v>
      </c>
      <c r="R19" s="705" t="s">
        <v>14</v>
      </c>
      <c r="S19" s="706">
        <f>F19</f>
        <v>100</v>
      </c>
      <c r="T19" s="705" t="s">
        <v>14</v>
      </c>
      <c r="U19" s="706">
        <f>H19</f>
        <v>100</v>
      </c>
      <c r="V19" s="705" t="s">
        <v>14</v>
      </c>
      <c r="W19" s="706">
        <f>J19</f>
        <v>100</v>
      </c>
      <c r="X19" s="1354"/>
      <c r="Y19" s="372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7"/>
      <c r="Q20" s="1351"/>
      <c r="R20" s="705"/>
      <c r="S20" s="706"/>
      <c r="T20" s="705"/>
      <c r="U20" s="706"/>
      <c r="V20" s="705"/>
      <c r="W20" s="706"/>
      <c r="X20" s="1354"/>
      <c r="Y20" s="372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7"/>
      <c r="Q21" s="1351" t="str">
        <f>B21</f>
        <v>交通便捷度</v>
      </c>
      <c r="R21" s="705" t="s">
        <v>14</v>
      </c>
      <c r="S21" s="706">
        <f>F21</f>
        <v>100</v>
      </c>
      <c r="T21" s="705" t="s">
        <v>14</v>
      </c>
      <c r="U21" s="706">
        <f>H21</f>
        <v>100</v>
      </c>
      <c r="V21" s="705" t="s">
        <v>14</v>
      </c>
      <c r="W21" s="706">
        <f>J21</f>
        <v>100</v>
      </c>
      <c r="X21" s="1354"/>
      <c r="Y21" s="372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27"/>
      <c r="Q22" s="1351"/>
      <c r="R22" s="705"/>
      <c r="S22" s="706"/>
      <c r="T22" s="705"/>
      <c r="U22" s="706"/>
      <c r="V22" s="705"/>
      <c r="W22" s="706"/>
      <c r="X22" s="1354"/>
      <c r="Y22" s="372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7"/>
      <c r="Q23" s="1351" t="str">
        <f t="shared" ref="Q23:Q37" si="8">B23</f>
        <v>区域土地利用方向</v>
      </c>
      <c r="R23" s="705" t="s">
        <v>14</v>
      </c>
      <c r="S23" s="706">
        <f>F23</f>
        <v>100</v>
      </c>
      <c r="T23" s="705" t="s">
        <v>14</v>
      </c>
      <c r="U23" s="706">
        <f>H23</f>
        <v>100</v>
      </c>
      <c r="V23" s="705" t="s">
        <v>14</v>
      </c>
      <c r="W23" s="706">
        <f>J23</f>
        <v>100</v>
      </c>
      <c r="X23" s="1354"/>
      <c r="Y23" s="372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27"/>
      <c r="Q24" s="1351"/>
      <c r="R24" s="705"/>
      <c r="S24" s="706"/>
      <c r="T24" s="705"/>
      <c r="U24" s="706"/>
      <c r="V24" s="705"/>
      <c r="W24" s="706"/>
      <c r="X24" s="1354"/>
      <c r="Y24" s="3727"/>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7"/>
      <c r="Q25" s="1351" t="str">
        <f t="shared" si="8"/>
        <v>自然及人文环境状况</v>
      </c>
      <c r="R25" s="705" t="s">
        <v>14</v>
      </c>
      <c r="S25" s="706">
        <f>F25</f>
        <v>100</v>
      </c>
      <c r="T25" s="705" t="s">
        <v>14</v>
      </c>
      <c r="U25" s="706">
        <f>H25</f>
        <v>100</v>
      </c>
      <c r="V25" s="705" t="s">
        <v>14</v>
      </c>
      <c r="W25" s="706">
        <f>J25</f>
        <v>100</v>
      </c>
      <c r="X25" s="1354"/>
      <c r="Y25" s="372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7"/>
      <c r="Q26" s="1351"/>
      <c r="R26" s="705"/>
      <c r="S26" s="706"/>
      <c r="T26" s="705"/>
      <c r="U26" s="706"/>
      <c r="V26" s="705"/>
      <c r="W26" s="706"/>
      <c r="X26" s="1354"/>
      <c r="Y26" s="3727"/>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7"/>
      <c r="Q27" s="1342" t="str">
        <f t="shared" si="8"/>
        <v>公共配套设施</v>
      </c>
      <c r="R27" s="701" t="s">
        <v>14</v>
      </c>
      <c r="S27" s="702">
        <f>F27</f>
        <v>100</v>
      </c>
      <c r="T27" s="701" t="s">
        <v>14</v>
      </c>
      <c r="U27" s="702">
        <f>H27</f>
        <v>100</v>
      </c>
      <c r="V27" s="701" t="s">
        <v>14</v>
      </c>
      <c r="W27" s="702">
        <f>J27</f>
        <v>100</v>
      </c>
      <c r="X27" s="703"/>
      <c r="Y27" s="372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7"/>
      <c r="Q28" s="1342"/>
      <c r="R28" s="701"/>
      <c r="S28" s="702"/>
      <c r="T28" s="701"/>
      <c r="U28" s="702"/>
      <c r="V28" s="701"/>
      <c r="W28" s="702"/>
      <c r="X28" s="703"/>
      <c r="Y28" s="3727"/>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7"/>
      <c r="Q29" s="1342"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7"/>
      <c r="Q30" s="1342"/>
      <c r="R30" s="701"/>
      <c r="S30" s="702"/>
      <c r="T30" s="701"/>
      <c r="U30" s="702"/>
      <c r="V30" s="701"/>
      <c r="W30" s="702"/>
      <c r="X30" s="703"/>
      <c r="Y30" s="372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7"/>
      <c r="Q32" s="1351" t="str">
        <f t="shared" si="8"/>
        <v>毗邻道路的类型与等级</v>
      </c>
      <c r="R32" s="705" t="s">
        <v>14</v>
      </c>
      <c r="S32" s="706">
        <f t="shared" si="10"/>
        <v>100</v>
      </c>
      <c r="T32" s="705" t="s">
        <v>14</v>
      </c>
      <c r="U32" s="706">
        <f t="shared" si="11"/>
        <v>100</v>
      </c>
      <c r="V32" s="705" t="s">
        <v>14</v>
      </c>
      <c r="W32" s="706">
        <f t="shared" si="12"/>
        <v>100</v>
      </c>
      <c r="X32" s="1354"/>
      <c r="Y32" s="372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7"/>
      <c r="Q33" s="1351"/>
      <c r="R33" s="705"/>
      <c r="S33" s="706"/>
      <c r="T33" s="705"/>
      <c r="U33" s="706"/>
      <c r="V33" s="705"/>
      <c r="W33" s="706"/>
      <c r="X33" s="1354"/>
      <c r="Y33" s="372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7"/>
      <c r="Q34" s="1351" t="str">
        <f t="shared" si="8"/>
        <v>土地级别</v>
      </c>
      <c r="R34" s="705" t="s">
        <v>14</v>
      </c>
      <c r="S34" s="706">
        <f t="shared" si="10"/>
        <v>100</v>
      </c>
      <c r="T34" s="705" t="s">
        <v>14</v>
      </c>
      <c r="U34" s="706">
        <f t="shared" si="11"/>
        <v>100</v>
      </c>
      <c r="V34" s="705" t="s">
        <v>14</v>
      </c>
      <c r="W34" s="706">
        <f t="shared" si="12"/>
        <v>100</v>
      </c>
      <c r="X34" s="1354"/>
      <c r="Y34" s="372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7"/>
      <c r="Q35" s="1351">
        <f t="shared" si="8"/>
        <v>111</v>
      </c>
      <c r="R35" s="705" t="s">
        <v>14</v>
      </c>
      <c r="S35" s="706">
        <f t="shared" si="10"/>
        <v>100</v>
      </c>
      <c r="T35" s="705" t="s">
        <v>14</v>
      </c>
      <c r="U35" s="706">
        <f t="shared" si="11"/>
        <v>100</v>
      </c>
      <c r="V35" s="705" t="s">
        <v>14</v>
      </c>
      <c r="W35" s="706">
        <f t="shared" si="12"/>
        <v>100</v>
      </c>
      <c r="X35" s="1354"/>
      <c r="Y35" s="372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0" t="s">
        <v>1696</v>
      </c>
      <c r="Q36" s="1351">
        <f t="shared" si="8"/>
        <v>111</v>
      </c>
      <c r="R36" s="705" t="s">
        <v>14</v>
      </c>
      <c r="S36" s="706">
        <f t="shared" si="10"/>
        <v>100</v>
      </c>
      <c r="T36" s="705" t="s">
        <v>14</v>
      </c>
      <c r="U36" s="706">
        <f t="shared" si="11"/>
        <v>100</v>
      </c>
      <c r="V36" s="705" t="s">
        <v>14</v>
      </c>
      <c r="W36" s="706">
        <f t="shared" si="12"/>
        <v>100</v>
      </c>
      <c r="X36" s="1354"/>
      <c r="Y36" s="373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1"/>
      <c r="Q37" s="1351">
        <f t="shared" si="8"/>
        <v>111</v>
      </c>
      <c r="R37" s="708" t="s">
        <v>14</v>
      </c>
      <c r="S37" s="709">
        <f t="shared" si="10"/>
        <v>100</v>
      </c>
      <c r="T37" s="708" t="s">
        <v>14</v>
      </c>
      <c r="U37" s="709">
        <f t="shared" si="11"/>
        <v>100</v>
      </c>
      <c r="V37" s="708" t="s">
        <v>14</v>
      </c>
      <c r="W37" s="709">
        <f t="shared" si="12"/>
        <v>100</v>
      </c>
      <c r="X37" s="710"/>
      <c r="Y37" s="373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1"/>
      <c r="Q38" s="1351" t="str">
        <f>B38</f>
        <v>宗地面积</v>
      </c>
      <c r="R38" s="705" t="s">
        <v>14</v>
      </c>
      <c r="S38" s="706" t="e">
        <f t="shared" si="10"/>
        <v>#N/A</v>
      </c>
      <c r="T38" s="705" t="s">
        <v>14</v>
      </c>
      <c r="U38" s="706" t="e">
        <f t="shared" si="11"/>
        <v>#N/A</v>
      </c>
      <c r="V38" s="705" t="s">
        <v>14</v>
      </c>
      <c r="W38" s="706" t="e">
        <f t="shared" si="12"/>
        <v>#N/A</v>
      </c>
      <c r="X38" s="1354"/>
      <c r="Y38" s="373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31"/>
      <c r="Q39" s="1351" t="str">
        <f t="shared" ref="Q39:Q45" si="14">B39</f>
        <v>宗地形状</v>
      </c>
      <c r="R39" s="705" t="s">
        <v>14</v>
      </c>
      <c r="S39" s="706">
        <f t="shared" si="10"/>
        <v>100</v>
      </c>
      <c r="T39" s="705" t="s">
        <v>14</v>
      </c>
      <c r="U39" s="706">
        <f t="shared" si="11"/>
        <v>100</v>
      </c>
      <c r="V39" s="705" t="s">
        <v>14</v>
      </c>
      <c r="W39" s="706">
        <f t="shared" si="12"/>
        <v>100</v>
      </c>
      <c r="X39" s="1354"/>
      <c r="Y39" s="373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31"/>
      <c r="Q40" s="1351" t="str">
        <f t="shared" si="14"/>
        <v>临街宽度及深度</v>
      </c>
      <c r="R40" s="705" t="s">
        <v>14</v>
      </c>
      <c r="S40" s="706">
        <f t="shared" si="10"/>
        <v>100</v>
      </c>
      <c r="T40" s="705" t="s">
        <v>14</v>
      </c>
      <c r="U40" s="706">
        <f t="shared" si="11"/>
        <v>100</v>
      </c>
      <c r="V40" s="705" t="s">
        <v>14</v>
      </c>
      <c r="W40" s="706">
        <f t="shared" si="12"/>
        <v>100</v>
      </c>
      <c r="X40" s="1354"/>
      <c r="Y40" s="373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31"/>
      <c r="Q41" s="1351" t="str">
        <f t="shared" si="14"/>
        <v>宗地开发程度</v>
      </c>
      <c r="R41" s="701" t="s">
        <v>14</v>
      </c>
      <c r="S41" s="702">
        <f t="shared" si="10"/>
        <v>100</v>
      </c>
      <c r="T41" s="701" t="s">
        <v>14</v>
      </c>
      <c r="U41" s="702">
        <f t="shared" si="11"/>
        <v>100</v>
      </c>
      <c r="V41" s="701" t="s">
        <v>14</v>
      </c>
      <c r="W41" s="702">
        <f t="shared" si="12"/>
        <v>100</v>
      </c>
      <c r="X41" s="703"/>
      <c r="Y41" s="3731"/>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31" t="s">
        <v>1696</v>
      </c>
      <c r="Q42" s="1351" t="str">
        <f t="shared" si="14"/>
        <v>工程地质条件</v>
      </c>
      <c r="R42" s="705" t="s">
        <v>14</v>
      </c>
      <c r="S42" s="706">
        <f t="shared" si="10"/>
        <v>100</v>
      </c>
      <c r="T42" s="705" t="s">
        <v>14</v>
      </c>
      <c r="U42" s="706">
        <f t="shared" si="11"/>
        <v>100</v>
      </c>
      <c r="V42" s="705" t="s">
        <v>14</v>
      </c>
      <c r="W42" s="706">
        <f t="shared" si="12"/>
        <v>100</v>
      </c>
      <c r="X42" s="1354"/>
      <c r="Y42" s="373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1"/>
      <c r="Q43" s="1351">
        <f t="shared" si="14"/>
        <v>111</v>
      </c>
      <c r="R43" s="705" t="s">
        <v>14</v>
      </c>
      <c r="S43" s="706">
        <f t="shared" si="10"/>
        <v>100</v>
      </c>
      <c r="T43" s="705" t="s">
        <v>14</v>
      </c>
      <c r="U43" s="706">
        <f t="shared" si="11"/>
        <v>100</v>
      </c>
      <c r="V43" s="705" t="s">
        <v>14</v>
      </c>
      <c r="W43" s="706">
        <f t="shared" si="12"/>
        <v>100</v>
      </c>
      <c r="X43" s="1354"/>
      <c r="Y43" s="373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1"/>
      <c r="Q44" s="1351">
        <f t="shared" si="14"/>
        <v>111</v>
      </c>
      <c r="R44" s="705" t="s">
        <v>14</v>
      </c>
      <c r="S44" s="706">
        <f t="shared" si="10"/>
        <v>100</v>
      </c>
      <c r="T44" s="705" t="s">
        <v>14</v>
      </c>
      <c r="U44" s="706">
        <f t="shared" si="11"/>
        <v>100</v>
      </c>
      <c r="V44" s="705" t="s">
        <v>14</v>
      </c>
      <c r="W44" s="706">
        <f t="shared" si="12"/>
        <v>100</v>
      </c>
      <c r="X44" s="1354"/>
      <c r="Y44" s="373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1"/>
      <c r="Q45" s="1351">
        <f t="shared" si="14"/>
        <v>111</v>
      </c>
      <c r="R45" s="708" t="s">
        <v>14</v>
      </c>
      <c r="S45" s="709">
        <f t="shared" si="10"/>
        <v>100</v>
      </c>
      <c r="T45" s="708" t="s">
        <v>14</v>
      </c>
      <c r="U45" s="709">
        <f t="shared" si="11"/>
        <v>100</v>
      </c>
      <c r="V45" s="708" t="s">
        <v>14</v>
      </c>
      <c r="W45" s="709">
        <f t="shared" si="12"/>
        <v>100</v>
      </c>
      <c r="X45" s="710"/>
      <c r="Y45" s="3731"/>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24" t="str">
        <f>A46</f>
        <v>成交单价</v>
      </c>
      <c r="Q46" s="3724"/>
      <c r="R46" s="3719">
        <f>E46</f>
        <v>0</v>
      </c>
      <c r="S46" s="3719"/>
      <c r="T46" s="3719">
        <f>G46</f>
        <v>0</v>
      </c>
      <c r="U46" s="3719"/>
      <c r="V46" s="3719">
        <f>I46</f>
        <v>0</v>
      </c>
      <c r="W46" s="3719"/>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24" t="str">
        <f>A47</f>
        <v>比较价值（元/平方米）</v>
      </c>
      <c r="Q47" s="3724"/>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1" t="str">
        <f>A48</f>
        <v>估价对象XX用房的比较价值（楼面单价，元/平方米）</v>
      </c>
      <c r="Q48" s="3722"/>
      <c r="R48" s="3753" t="e">
        <f>ROUND(IF(D47="简单平均",AVERAGE(R47:W47),R47*F47+T47*H47+V47*J47),0)</f>
        <v>#DIV/0!</v>
      </c>
      <c r="S48" s="3753"/>
      <c r="T48" s="3753"/>
      <c r="U48" s="3753"/>
      <c r="V48" s="3753"/>
      <c r="W48" s="375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7"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29587.64</v>
      </c>
      <c r="F56" s="886" t="e">
        <f t="shared" ref="F56:F64" si="15">ROUND(B56*E56/10000,0)</f>
        <v>#DIV/0!</v>
      </c>
      <c r="G56" s="3706"/>
      <c r="H56" s="372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29587.64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zoomScaleSheetLayoutView="85" workbookViewId="0">
      <selection activeCell="K11" sqref="K1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1414</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478</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tr">
        <f>Sheet1!A2</f>
        <v>燕郊高新区迎宾北路东侧,规划和业街北侧</v>
      </c>
      <c r="F5" s="3699"/>
      <c r="G5" s="3700" t="str">
        <f>Sheet1!A3</f>
        <v>燕郊高新区留山大街北侧、燕兴北路西侧</v>
      </c>
      <c r="H5" s="3701"/>
      <c r="I5" s="3700" t="str">
        <f>Sheet1!A4</f>
        <v>燕郊高新区留山大街北侧、燕兴北路西侧</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45941</v>
      </c>
      <c r="D7" s="365">
        <v>100</v>
      </c>
      <c r="E7" s="366" t="str">
        <f>Sheet1!K2</f>
        <v>2024-02-02</v>
      </c>
      <c r="F7" s="367">
        <f>SUMIF(65:65,YEAR(E7)&amp;"-"&amp;INT((MONTH(E7)+2)/3),66:66)</f>
        <v>98.799999999999983</v>
      </c>
      <c r="G7" s="1973" t="str">
        <f>Sheet1!K3</f>
        <v>2023-05-31</v>
      </c>
      <c r="H7" s="365">
        <f>SUMIF(65:65,YEAR(G7)&amp;"-"&amp;INT((MONTH(G7)+2)/3),66:66)</f>
        <v>98.199999999999974</v>
      </c>
      <c r="I7" s="1973" t="str">
        <f>Sheet1!K4</f>
        <v>2023-04-12</v>
      </c>
      <c r="J7" s="365">
        <f>SUMIF(65:65,YEAR(I7)&amp;"-"&amp;INT((MONTH(I7)+2)/3),66:66)</f>
        <v>98.199999999999974</v>
      </c>
      <c r="K7" s="560"/>
      <c r="L7" s="2716"/>
      <c r="M7" s="2717"/>
      <c r="N7" s="2717"/>
      <c r="O7" s="2717"/>
      <c r="P7" s="3692" t="s">
        <v>1680</v>
      </c>
      <c r="Q7" s="3720"/>
      <c r="R7" s="701" t="s">
        <v>14</v>
      </c>
      <c r="S7" s="702">
        <f t="shared" ref="S7:S15" si="0">F7</f>
        <v>98.799999999999983</v>
      </c>
      <c r="T7" s="701" t="s">
        <v>14</v>
      </c>
      <c r="U7" s="702">
        <f t="shared" ref="U7:U15" si="1">H7</f>
        <v>98.199999999999974</v>
      </c>
      <c r="V7" s="701" t="s">
        <v>14</v>
      </c>
      <c r="W7" s="702">
        <f t="shared" ref="W7:W15" si="2">J7</f>
        <v>98.199999999999974</v>
      </c>
      <c r="X7" s="703"/>
      <c r="Y7" s="3692" t="s">
        <v>1680</v>
      </c>
      <c r="Z7" s="3693"/>
      <c r="AA7" s="704">
        <f>D7/F7</f>
        <v>1.0121457489878545</v>
      </c>
      <c r="AB7" s="704">
        <f>D7/H7</f>
        <v>1.0183299389002038</v>
      </c>
      <c r="AC7" s="704">
        <f>D7/J7</f>
        <v>1.0183299389002038</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ht="15">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24" t="s">
        <v>1686</v>
      </c>
      <c r="Q9" s="1342"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8"/>
      <c r="M10" s="2719"/>
      <c r="N10" s="2719"/>
      <c r="O10" s="2772"/>
      <c r="P10" s="3724"/>
      <c r="Q10" s="1342" t="str">
        <f t="shared" si="6"/>
        <v>土地使用年限（年）</v>
      </c>
      <c r="R10" s="701" t="s">
        <v>14</v>
      </c>
      <c r="S10" s="702">
        <f t="shared" si="0"/>
        <v>116</v>
      </c>
      <c r="T10" s="701" t="s">
        <v>14</v>
      </c>
      <c r="U10" s="702">
        <f t="shared" si="1"/>
        <v>116</v>
      </c>
      <c r="V10" s="701" t="s">
        <v>14</v>
      </c>
      <c r="W10" s="702">
        <f t="shared" si="2"/>
        <v>116</v>
      </c>
      <c r="X10" s="703"/>
      <c r="Y10" s="3636"/>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v>1.2</v>
      </c>
      <c r="D11" s="127">
        <v>100</v>
      </c>
      <c r="E11" s="380">
        <v>2</v>
      </c>
      <c r="F11" s="127">
        <f>LOOKUP(E11,75:75,76:76)-LOOKUP(C11,75:75,76:76)+100</f>
        <v>98</v>
      </c>
      <c r="G11" s="381">
        <v>2</v>
      </c>
      <c r="H11" s="127">
        <f>LOOKUP(G11,75:75,76:76)-LOOKUP(C11,75:75,76:76)+100</f>
        <v>98</v>
      </c>
      <c r="I11" s="380">
        <v>2</v>
      </c>
      <c r="J11" s="127">
        <f>LOOKUP(I11,75:75,76:76)-LOOKUP(C11,75:75,76:76)+100</f>
        <v>98</v>
      </c>
      <c r="K11" s="621">
        <v>2</v>
      </c>
      <c r="L11" s="2720"/>
      <c r="M11" s="2715"/>
      <c r="N11" s="2715"/>
      <c r="O11" s="2773"/>
      <c r="P11" s="3724"/>
      <c r="Q11" s="1342" t="str">
        <f t="shared" si="6"/>
        <v>容积率</v>
      </c>
      <c r="R11" s="701" t="s">
        <v>14</v>
      </c>
      <c r="S11" s="702">
        <f t="shared" si="0"/>
        <v>98</v>
      </c>
      <c r="T11" s="701" t="s">
        <v>14</v>
      </c>
      <c r="U11" s="702">
        <f t="shared" si="1"/>
        <v>98</v>
      </c>
      <c r="V11" s="701" t="s">
        <v>14</v>
      </c>
      <c r="W11" s="702">
        <f t="shared" si="2"/>
        <v>98</v>
      </c>
      <c r="X11" s="703"/>
      <c r="Y11" s="3636"/>
      <c r="Z11" s="52" t="str">
        <f t="shared" si="7"/>
        <v>容积率</v>
      </c>
      <c r="AA11" s="704">
        <f t="shared" si="3"/>
        <v>1.0204081632653061</v>
      </c>
      <c r="AB11" s="704">
        <f t="shared" si="4"/>
        <v>1.0204081632653061</v>
      </c>
      <c r="AC11" s="704">
        <f t="shared" si="5"/>
        <v>1.0204081632653061</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4"/>
      <c r="Q12" s="1342">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4"/>
      <c r="Q14" s="1342">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6" t="s">
        <v>1691</v>
      </c>
      <c r="Q15" s="1351" t="str">
        <f t="shared" si="6"/>
        <v>产业集聚程度</v>
      </c>
      <c r="R15" s="705" t="s">
        <v>14</v>
      </c>
      <c r="S15" s="706">
        <f t="shared" si="0"/>
        <v>100</v>
      </c>
      <c r="T15" s="705" t="s">
        <v>14</v>
      </c>
      <c r="U15" s="706">
        <f t="shared" si="1"/>
        <v>100</v>
      </c>
      <c r="V15" s="705" t="s">
        <v>14</v>
      </c>
      <c r="W15" s="706">
        <f t="shared" si="2"/>
        <v>100</v>
      </c>
      <c r="X15" s="1354"/>
      <c r="Y15" s="3726" t="s">
        <v>1691</v>
      </c>
      <c r="Z15" s="1355" t="str">
        <f t="shared" si="7"/>
        <v>产业集聚程度</v>
      </c>
      <c r="AA15" s="1352">
        <f t="shared" si="3"/>
        <v>1</v>
      </c>
      <c r="AB15" s="1352">
        <f t="shared" si="4"/>
        <v>1</v>
      </c>
      <c r="AC15" s="1352">
        <f t="shared" si="5"/>
        <v>1</v>
      </c>
    </row>
    <row r="16" spans="1:29" ht="15">
      <c r="A16" s="379"/>
      <c r="B16" s="578"/>
      <c r="C16" s="398" t="s">
        <v>3653</v>
      </c>
      <c r="D16" s="399"/>
      <c r="E16" s="398" t="s">
        <v>3653</v>
      </c>
      <c r="F16" s="399"/>
      <c r="G16" s="398" t="s">
        <v>3653</v>
      </c>
      <c r="H16" s="401"/>
      <c r="I16" s="398" t="s">
        <v>3653</v>
      </c>
      <c r="J16" s="399"/>
      <c r="K16" s="620"/>
      <c r="L16" s="2721"/>
      <c r="M16" s="2715"/>
      <c r="N16" s="2715"/>
      <c r="O16" s="2773"/>
      <c r="P16" s="3727"/>
      <c r="Q16" s="1351"/>
      <c r="R16" s="705"/>
      <c r="S16" s="706"/>
      <c r="T16" s="705"/>
      <c r="U16" s="706"/>
      <c r="V16" s="705"/>
      <c r="W16" s="706"/>
      <c r="X16" s="1354"/>
      <c r="Y16" s="372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7"/>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580"/>
      <c r="C18" s="398" t="s">
        <v>3654</v>
      </c>
      <c r="D18" s="399"/>
      <c r="E18" s="398" t="s">
        <v>3654</v>
      </c>
      <c r="F18" s="399"/>
      <c r="G18" s="398" t="s">
        <v>3654</v>
      </c>
      <c r="H18" s="399"/>
      <c r="I18" s="398" t="s">
        <v>3654</v>
      </c>
      <c r="J18" s="399"/>
      <c r="K18" s="620"/>
      <c r="L18" s="2721"/>
      <c r="M18" s="2715"/>
      <c r="N18" s="2715"/>
      <c r="O18" s="2773"/>
      <c r="P18" s="3727"/>
      <c r="Q18" s="1351"/>
      <c r="R18" s="705"/>
      <c r="S18" s="706"/>
      <c r="T18" s="705"/>
      <c r="U18" s="706"/>
      <c r="V18" s="705"/>
      <c r="W18" s="706"/>
      <c r="X18" s="1354"/>
      <c r="Y18" s="372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7"/>
      <c r="Q19" s="1351" t="str">
        <f t="shared" ref="Q19:Q33" si="8">B19</f>
        <v>区域土地利用方向</v>
      </c>
      <c r="R19" s="705" t="s">
        <v>14</v>
      </c>
      <c r="S19" s="706">
        <f>F19</f>
        <v>100</v>
      </c>
      <c r="T19" s="705" t="s">
        <v>14</v>
      </c>
      <c r="U19" s="706">
        <f>H19</f>
        <v>100</v>
      </c>
      <c r="V19" s="705" t="s">
        <v>14</v>
      </c>
      <c r="W19" s="706">
        <f>J19</f>
        <v>100</v>
      </c>
      <c r="X19" s="1354"/>
      <c r="Y19" s="3727"/>
      <c r="Z19" s="1355" t="str">
        <f>Q19</f>
        <v>区域土地利用方向</v>
      </c>
      <c r="AA19" s="1352">
        <f t="shared" si="3"/>
        <v>1</v>
      </c>
      <c r="AB19" s="1352">
        <f t="shared" si="4"/>
        <v>1</v>
      </c>
      <c r="AC19" s="1352">
        <f t="shared" si="5"/>
        <v>1</v>
      </c>
    </row>
    <row r="20" spans="1:29" ht="15">
      <c r="A20" s="358"/>
      <c r="B20" s="580"/>
      <c r="C20" s="398" t="s">
        <v>3653</v>
      </c>
      <c r="D20" s="399"/>
      <c r="E20" s="398" t="s">
        <v>3653</v>
      </c>
      <c r="F20" s="399"/>
      <c r="G20" s="398" t="s">
        <v>3653</v>
      </c>
      <c r="H20" s="399"/>
      <c r="I20" s="398" t="s">
        <v>3653</v>
      </c>
      <c r="J20" s="399"/>
      <c r="K20" s="740"/>
      <c r="L20" s="2721"/>
      <c r="M20" s="2715"/>
      <c r="N20" s="2715"/>
      <c r="O20" s="2773"/>
      <c r="P20" s="3727"/>
      <c r="Q20" s="1351"/>
      <c r="R20" s="705"/>
      <c r="S20" s="706"/>
      <c r="T20" s="705"/>
      <c r="U20" s="706"/>
      <c r="V20" s="705"/>
      <c r="W20" s="706"/>
      <c r="X20" s="1354"/>
      <c r="Y20" s="372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7"/>
      <c r="Q21" s="1351" t="str">
        <f t="shared" si="8"/>
        <v>环境状况</v>
      </c>
      <c r="R21" s="705" t="s">
        <v>14</v>
      </c>
      <c r="S21" s="706">
        <f>F21</f>
        <v>100</v>
      </c>
      <c r="T21" s="705" t="s">
        <v>14</v>
      </c>
      <c r="U21" s="706">
        <f>H21</f>
        <v>100</v>
      </c>
      <c r="V21" s="705" t="s">
        <v>14</v>
      </c>
      <c r="W21" s="706">
        <f>J21</f>
        <v>100</v>
      </c>
      <c r="X21" s="1354"/>
      <c r="Y21" s="3727"/>
      <c r="Z21" s="1355" t="str">
        <f>Q21</f>
        <v>环境状况</v>
      </c>
      <c r="AA21" s="1352">
        <f t="shared" si="3"/>
        <v>1</v>
      </c>
      <c r="AB21" s="1352">
        <f t="shared" si="4"/>
        <v>1</v>
      </c>
      <c r="AC21" s="1352">
        <f t="shared" si="5"/>
        <v>1</v>
      </c>
    </row>
    <row r="22" spans="1:29" ht="15">
      <c r="A22" s="358"/>
      <c r="B22" s="580"/>
      <c r="C22" s="398" t="s">
        <v>3653</v>
      </c>
      <c r="D22" s="399"/>
      <c r="E22" s="398" t="s">
        <v>3653</v>
      </c>
      <c r="F22" s="399"/>
      <c r="G22" s="398" t="s">
        <v>3653</v>
      </c>
      <c r="H22" s="399"/>
      <c r="I22" s="398" t="s">
        <v>3653</v>
      </c>
      <c r="J22" s="399"/>
      <c r="K22" s="620"/>
      <c r="L22" s="2721"/>
      <c r="M22" s="2715"/>
      <c r="N22" s="2715"/>
      <c r="O22" s="2773"/>
      <c r="P22" s="3727"/>
      <c r="Q22" s="1351"/>
      <c r="R22" s="705"/>
      <c r="S22" s="706"/>
      <c r="T22" s="705"/>
      <c r="U22" s="706"/>
      <c r="V22" s="705"/>
      <c r="W22" s="706"/>
      <c r="X22" s="1354"/>
      <c r="Y22" s="372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7"/>
      <c r="Q23" s="1342" t="str">
        <f t="shared" si="8"/>
        <v>公共配套设施</v>
      </c>
      <c r="R23" s="701" t="s">
        <v>14</v>
      </c>
      <c r="S23" s="702">
        <f>F23</f>
        <v>100</v>
      </c>
      <c r="T23" s="701" t="s">
        <v>14</v>
      </c>
      <c r="U23" s="702">
        <f>H23</f>
        <v>100</v>
      </c>
      <c r="V23" s="701" t="s">
        <v>14</v>
      </c>
      <c r="W23" s="702">
        <f>J23</f>
        <v>100</v>
      </c>
      <c r="X23" s="703"/>
      <c r="Y23" s="3727"/>
      <c r="Z23" s="52" t="str">
        <f>Q23</f>
        <v>公共配套设施</v>
      </c>
      <c r="AA23" s="1352">
        <f>D23/F23</f>
        <v>1</v>
      </c>
      <c r="AB23" s="1352">
        <f>D23/H23</f>
        <v>1</v>
      </c>
      <c r="AC23" s="1352">
        <f>D23/J23</f>
        <v>1</v>
      </c>
    </row>
    <row r="24" spans="1:29" s="108" customFormat="1" ht="15">
      <c r="A24" s="597"/>
      <c r="B24" s="580"/>
      <c r="C24" s="1977" t="s">
        <v>3654</v>
      </c>
      <c r="D24" s="399"/>
      <c r="E24" s="398" t="s">
        <v>3654</v>
      </c>
      <c r="F24" s="399"/>
      <c r="G24" s="398" t="s">
        <v>3654</v>
      </c>
      <c r="H24" s="399"/>
      <c r="I24" s="3823" t="s">
        <v>3656</v>
      </c>
      <c r="J24" s="399"/>
      <c r="K24" s="620"/>
      <c r="L24" s="2716"/>
      <c r="M24" s="2717"/>
      <c r="N24" s="2717"/>
      <c r="O24" s="2771"/>
      <c r="P24" s="3727"/>
      <c r="Q24" s="1342"/>
      <c r="R24" s="701"/>
      <c r="S24" s="702"/>
      <c r="T24" s="701"/>
      <c r="U24" s="702"/>
      <c r="V24" s="701"/>
      <c r="W24" s="702"/>
      <c r="X24" s="703"/>
      <c r="Y24" s="372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7"/>
      <c r="Q25" s="1342"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2">
        <f>D25/F25</f>
        <v>1</v>
      </c>
      <c r="AB25" s="1352">
        <f>D25/H25</f>
        <v>1</v>
      </c>
      <c r="AC25" s="1352">
        <f>D25/J25</f>
        <v>1</v>
      </c>
    </row>
    <row r="26" spans="1:29" s="108" customFormat="1" ht="15">
      <c r="A26" s="597"/>
      <c r="B26" s="580"/>
      <c r="C26" s="1977" t="s">
        <v>3655</v>
      </c>
      <c r="D26" s="399"/>
      <c r="E26" s="1978" t="s">
        <v>3655</v>
      </c>
      <c r="F26" s="399"/>
      <c r="G26" s="1978" t="s">
        <v>3655</v>
      </c>
      <c r="H26" s="399"/>
      <c r="I26" s="1978" t="s">
        <v>3655</v>
      </c>
      <c r="J26" s="399"/>
      <c r="K26" s="620"/>
      <c r="L26" s="2716"/>
      <c r="M26" s="2717"/>
      <c r="N26" s="2717"/>
      <c r="O26" s="2771"/>
      <c r="P26" s="3727"/>
      <c r="Q26" s="1342"/>
      <c r="R26" s="701"/>
      <c r="S26" s="702"/>
      <c r="T26" s="701"/>
      <c r="U26" s="702"/>
      <c r="V26" s="701"/>
      <c r="W26" s="702"/>
      <c r="X26" s="703"/>
      <c r="Y26" s="372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7"/>
      <c r="Q28" s="1351" t="str">
        <f t="shared" si="8"/>
        <v>毗邻道路的类型与等级</v>
      </c>
      <c r="R28" s="705" t="s">
        <v>14</v>
      </c>
      <c r="S28" s="706">
        <f t="shared" si="10"/>
        <v>100</v>
      </c>
      <c r="T28" s="705" t="s">
        <v>14</v>
      </c>
      <c r="U28" s="706">
        <f t="shared" si="11"/>
        <v>100</v>
      </c>
      <c r="V28" s="705" t="s">
        <v>14</v>
      </c>
      <c r="W28" s="706">
        <f t="shared" si="12"/>
        <v>100</v>
      </c>
      <c r="X28" s="1354"/>
      <c r="Y28" s="372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7"/>
      <c r="Q29" s="1351"/>
      <c r="R29" s="705"/>
      <c r="S29" s="706"/>
      <c r="T29" s="705"/>
      <c r="U29" s="706"/>
      <c r="V29" s="705"/>
      <c r="W29" s="706"/>
      <c r="X29" s="1354"/>
      <c r="Y29" s="372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7"/>
      <c r="Q30" s="1351" t="str">
        <f t="shared" si="8"/>
        <v>土地级别</v>
      </c>
      <c r="R30" s="705" t="s">
        <v>14</v>
      </c>
      <c r="S30" s="706">
        <f t="shared" si="10"/>
        <v>100</v>
      </c>
      <c r="T30" s="705" t="s">
        <v>14</v>
      </c>
      <c r="U30" s="706">
        <f t="shared" si="11"/>
        <v>100</v>
      </c>
      <c r="V30" s="705" t="s">
        <v>14</v>
      </c>
      <c r="W30" s="706">
        <f t="shared" si="12"/>
        <v>100</v>
      </c>
      <c r="X30" s="1354"/>
      <c r="Y30" s="372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7"/>
      <c r="Q31" s="1351">
        <f t="shared" si="8"/>
        <v>111</v>
      </c>
      <c r="R31" s="705" t="s">
        <v>14</v>
      </c>
      <c r="S31" s="706">
        <f t="shared" si="10"/>
        <v>100</v>
      </c>
      <c r="T31" s="705" t="s">
        <v>14</v>
      </c>
      <c r="U31" s="706">
        <f t="shared" si="11"/>
        <v>100</v>
      </c>
      <c r="V31" s="705" t="s">
        <v>14</v>
      </c>
      <c r="W31" s="706">
        <f t="shared" si="12"/>
        <v>100</v>
      </c>
      <c r="X31" s="1354"/>
      <c r="Y31" s="372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0" t="s">
        <v>1696</v>
      </c>
      <c r="Q32" s="1351">
        <f t="shared" si="8"/>
        <v>111</v>
      </c>
      <c r="R32" s="705" t="s">
        <v>14</v>
      </c>
      <c r="S32" s="706">
        <f t="shared" si="10"/>
        <v>100</v>
      </c>
      <c r="T32" s="705" t="s">
        <v>14</v>
      </c>
      <c r="U32" s="706">
        <f t="shared" si="11"/>
        <v>100</v>
      </c>
      <c r="V32" s="705" t="s">
        <v>14</v>
      </c>
      <c r="W32" s="706">
        <f t="shared" si="12"/>
        <v>100</v>
      </c>
      <c r="X32" s="1354"/>
      <c r="Y32" s="373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1"/>
      <c r="Q33" s="1351">
        <f t="shared" si="8"/>
        <v>111</v>
      </c>
      <c r="R33" s="708" t="s">
        <v>14</v>
      </c>
      <c r="S33" s="709">
        <f t="shared" si="10"/>
        <v>100</v>
      </c>
      <c r="T33" s="708" t="s">
        <v>14</v>
      </c>
      <c r="U33" s="709">
        <f t="shared" si="11"/>
        <v>100</v>
      </c>
      <c r="V33" s="708" t="s">
        <v>14</v>
      </c>
      <c r="W33" s="709">
        <f t="shared" si="12"/>
        <v>100</v>
      </c>
      <c r="X33" s="710"/>
      <c r="Y33" s="3731"/>
      <c r="Z33" s="711">
        <f t="shared" si="13"/>
        <v>111</v>
      </c>
      <c r="AA33" s="1352">
        <f t="shared" si="3"/>
        <v>1</v>
      </c>
      <c r="AB33" s="1352">
        <f t="shared" si="4"/>
        <v>1</v>
      </c>
      <c r="AC33" s="1352">
        <f t="shared" si="5"/>
        <v>1</v>
      </c>
    </row>
    <row r="34" spans="1:31" ht="15">
      <c r="A34" s="391" t="s">
        <v>1694</v>
      </c>
      <c r="B34" s="407" t="s">
        <v>1874</v>
      </c>
      <c r="C34" s="627">
        <f>'数据-汇总表'!D3</f>
        <v>24593</v>
      </c>
      <c r="D34" s="418">
        <v>100</v>
      </c>
      <c r="E34" s="627">
        <f>Sheet1!E2</f>
        <v>60178</v>
      </c>
      <c r="F34" s="418">
        <f>LOOKUP(E34,108:108,109:109)-LOOKUP(C34,108:108,109:109)+100</f>
        <v>96</v>
      </c>
      <c r="G34" s="627">
        <f>Sheet1!E3</f>
        <v>31310</v>
      </c>
      <c r="H34" s="418">
        <f>LOOKUP(G34,108:108,109:109)-LOOKUP(C34,108:108,109:109)+100</f>
        <v>98</v>
      </c>
      <c r="I34" s="479">
        <f>Sheet1!E4</f>
        <v>69478</v>
      </c>
      <c r="J34" s="418">
        <f>LOOKUP(I34,108:108,109:109)-LOOKUP(C34,108:108,109:109)+100</f>
        <v>96</v>
      </c>
      <c r="K34" s="562"/>
      <c r="L34" s="2721"/>
      <c r="M34" s="2715"/>
      <c r="N34" s="2715"/>
      <c r="O34" s="2773"/>
      <c r="P34" s="3731"/>
      <c r="Q34" s="1351" t="str">
        <f>B34</f>
        <v>宗地面积</v>
      </c>
      <c r="R34" s="705" t="s">
        <v>14</v>
      </c>
      <c r="S34" s="706">
        <f t="shared" si="10"/>
        <v>96</v>
      </c>
      <c r="T34" s="705" t="s">
        <v>14</v>
      </c>
      <c r="U34" s="706">
        <f t="shared" si="11"/>
        <v>98</v>
      </c>
      <c r="V34" s="705" t="s">
        <v>14</v>
      </c>
      <c r="W34" s="706">
        <f t="shared" si="12"/>
        <v>96</v>
      </c>
      <c r="X34" s="1354"/>
      <c r="Y34" s="3731"/>
      <c r="Z34" s="1355" t="str">
        <f t="shared" si="13"/>
        <v>宗地面积</v>
      </c>
      <c r="AA34" s="1352">
        <f t="shared" si="3"/>
        <v>1.0416666666666667</v>
      </c>
      <c r="AB34" s="1352">
        <f t="shared" si="4"/>
        <v>1.0204081632653061</v>
      </c>
      <c r="AC34" s="1352">
        <f t="shared" si="5"/>
        <v>1.0416666666666667</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31"/>
      <c r="Q35" s="1351" t="str">
        <f t="shared" ref="Q35:Q40" si="14">B35</f>
        <v>宗地形状</v>
      </c>
      <c r="R35" s="705" t="s">
        <v>14</v>
      </c>
      <c r="S35" s="706">
        <f t="shared" si="10"/>
        <v>100</v>
      </c>
      <c r="T35" s="705" t="s">
        <v>14</v>
      </c>
      <c r="U35" s="706">
        <f t="shared" si="11"/>
        <v>100</v>
      </c>
      <c r="V35" s="705" t="s">
        <v>14</v>
      </c>
      <c r="W35" s="706">
        <f t="shared" si="12"/>
        <v>100</v>
      </c>
      <c r="X35" s="1354"/>
      <c r="Y35" s="373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31"/>
      <c r="Q36" s="1351" t="str">
        <f t="shared" si="14"/>
        <v>宗地开发程度</v>
      </c>
      <c r="R36" s="701" t="s">
        <v>14</v>
      </c>
      <c r="S36" s="702">
        <f t="shared" si="10"/>
        <v>100</v>
      </c>
      <c r="T36" s="701" t="s">
        <v>14</v>
      </c>
      <c r="U36" s="702">
        <f t="shared" si="11"/>
        <v>100</v>
      </c>
      <c r="V36" s="701" t="s">
        <v>14</v>
      </c>
      <c r="W36" s="702">
        <f t="shared" si="12"/>
        <v>100</v>
      </c>
      <c r="X36" s="703"/>
      <c r="Y36" s="3731"/>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31" t="s">
        <v>1696</v>
      </c>
      <c r="Q37" s="1351" t="str">
        <f t="shared" si="14"/>
        <v>工程地质条件</v>
      </c>
      <c r="R37" s="705" t="s">
        <v>14</v>
      </c>
      <c r="S37" s="706">
        <f t="shared" si="10"/>
        <v>100</v>
      </c>
      <c r="T37" s="705" t="s">
        <v>14</v>
      </c>
      <c r="U37" s="706">
        <f t="shared" si="11"/>
        <v>100</v>
      </c>
      <c r="V37" s="705" t="s">
        <v>14</v>
      </c>
      <c r="W37" s="706">
        <f t="shared" si="12"/>
        <v>100</v>
      </c>
      <c r="X37" s="1354"/>
      <c r="Y37" s="373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1"/>
      <c r="Q38" s="1351">
        <f t="shared" si="14"/>
        <v>111</v>
      </c>
      <c r="R38" s="705" t="s">
        <v>14</v>
      </c>
      <c r="S38" s="706">
        <f t="shared" si="10"/>
        <v>100</v>
      </c>
      <c r="T38" s="705" t="s">
        <v>14</v>
      </c>
      <c r="U38" s="706">
        <f t="shared" si="11"/>
        <v>100</v>
      </c>
      <c r="V38" s="705" t="s">
        <v>14</v>
      </c>
      <c r="W38" s="706">
        <f t="shared" si="12"/>
        <v>100</v>
      </c>
      <c r="X38" s="1354"/>
      <c r="Y38" s="373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1"/>
      <c r="Q39" s="1351">
        <f t="shared" si="14"/>
        <v>111</v>
      </c>
      <c r="R39" s="705" t="s">
        <v>14</v>
      </c>
      <c r="S39" s="706">
        <f t="shared" si="10"/>
        <v>100</v>
      </c>
      <c r="T39" s="705" t="s">
        <v>14</v>
      </c>
      <c r="U39" s="706">
        <f t="shared" si="11"/>
        <v>100</v>
      </c>
      <c r="V39" s="705" t="s">
        <v>14</v>
      </c>
      <c r="W39" s="706">
        <f t="shared" si="12"/>
        <v>100</v>
      </c>
      <c r="X39" s="1354"/>
      <c r="Y39" s="373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1"/>
      <c r="Q40" s="1351">
        <f t="shared" si="14"/>
        <v>111</v>
      </c>
      <c r="R40" s="708" t="s">
        <v>14</v>
      </c>
      <c r="S40" s="709">
        <f t="shared" si="10"/>
        <v>100</v>
      </c>
      <c r="T40" s="708" t="s">
        <v>14</v>
      </c>
      <c r="U40" s="709">
        <f t="shared" si="11"/>
        <v>100</v>
      </c>
      <c r="V40" s="708" t="s">
        <v>14</v>
      </c>
      <c r="W40" s="709">
        <f t="shared" si="12"/>
        <v>100</v>
      </c>
      <c r="X40" s="710"/>
      <c r="Y40" s="3731"/>
      <c r="Z40" s="711">
        <f t="shared" si="13"/>
        <v>111</v>
      </c>
      <c r="AA40" s="1352">
        <f t="shared" si="3"/>
        <v>1</v>
      </c>
      <c r="AB40" s="1352">
        <f t="shared" si="4"/>
        <v>1</v>
      </c>
      <c r="AC40" s="1352">
        <f t="shared" si="5"/>
        <v>1</v>
      </c>
    </row>
    <row r="41" spans="1:31" ht="15">
      <c r="A41" s="430" t="s">
        <v>1844</v>
      </c>
      <c r="B41" s="1981" t="s">
        <v>3657</v>
      </c>
      <c r="C41" s="630" t="s">
        <v>0</v>
      </c>
      <c r="D41" s="432"/>
      <c r="E41" s="433">
        <f>Sheet1!S2</f>
        <v>519</v>
      </c>
      <c r="F41" s="434"/>
      <c r="G41" s="435">
        <f>Sheet1!S3</f>
        <v>517</v>
      </c>
      <c r="H41" s="436"/>
      <c r="I41" s="433">
        <f>Sheet1!S4</f>
        <v>516</v>
      </c>
      <c r="J41" s="436"/>
      <c r="K41" s="714"/>
      <c r="L41" s="2723"/>
      <c r="M41" s="2715"/>
      <c r="N41" s="2715"/>
      <c r="O41" s="2724"/>
      <c r="P41" s="3724" t="str">
        <f>A41</f>
        <v>成交单价</v>
      </c>
      <c r="Q41" s="3724"/>
      <c r="R41" s="3719">
        <f>E41</f>
        <v>519</v>
      </c>
      <c r="S41" s="3719"/>
      <c r="T41" s="3719">
        <f>G41</f>
        <v>517</v>
      </c>
      <c r="U41" s="3719"/>
      <c r="V41" s="3719">
        <f>I41</f>
        <v>516</v>
      </c>
      <c r="W41" s="3719"/>
      <c r="X41" s="690"/>
      <c r="Y41" s="712"/>
      <c r="Z41" s="690"/>
      <c r="AA41" s="690"/>
      <c r="AB41" s="690"/>
      <c r="AC41" s="690"/>
    </row>
    <row r="42" spans="1:31" ht="15.75" thickBot="1">
      <c r="A42" s="437" t="s">
        <v>1793</v>
      </c>
      <c r="B42" s="631"/>
      <c r="C42" s="440">
        <f>R43</f>
        <v>478</v>
      </c>
      <c r="D42" s="2316" t="s">
        <v>2137</v>
      </c>
      <c r="E42" s="440">
        <f>R42</f>
        <v>481</v>
      </c>
      <c r="F42" s="2317"/>
      <c r="G42" s="439">
        <f>T42</f>
        <v>473</v>
      </c>
      <c r="H42" s="2317"/>
      <c r="I42" s="440">
        <f>V42</f>
        <v>481</v>
      </c>
      <c r="J42" s="2317"/>
      <c r="K42" s="2319">
        <f>F42+H42+J42</f>
        <v>0</v>
      </c>
      <c r="L42" s="2723"/>
      <c r="M42" s="2715"/>
      <c r="N42" s="2715"/>
      <c r="O42" s="2724"/>
      <c r="P42" s="3724" t="str">
        <f>A42</f>
        <v>比较价值（元/平方米）</v>
      </c>
      <c r="Q42" s="3724"/>
      <c r="R42" s="3752">
        <f>ROUND(PRODUCT(R41,AA7:AA40),0)</f>
        <v>481</v>
      </c>
      <c r="S42" s="3752"/>
      <c r="T42" s="3752">
        <f>ROUND(PRODUCT(T41,AB7:AB40),0)</f>
        <v>473</v>
      </c>
      <c r="U42" s="3752"/>
      <c r="V42" s="3752">
        <f>ROUND(PRODUCT(V41,AC7:AC40),0)</f>
        <v>481</v>
      </c>
      <c r="W42" s="3752"/>
      <c r="X42" s="690"/>
      <c r="Y42" s="690"/>
      <c r="Z42" s="690"/>
      <c r="AA42" s="690"/>
      <c r="AB42" s="690"/>
      <c r="AC42" s="690"/>
    </row>
    <row r="43" spans="1:31" ht="15.75" thickBot="1">
      <c r="A43" s="441" t="s">
        <v>1794</v>
      </c>
      <c r="B43" s="442"/>
      <c r="C43" s="443">
        <f>R43</f>
        <v>478</v>
      </c>
      <c r="D43" s="443"/>
      <c r="E43" s="443"/>
      <c r="F43" s="443"/>
      <c r="G43" s="443"/>
      <c r="H43" s="443"/>
      <c r="I43" s="443"/>
      <c r="J43" s="443"/>
      <c r="K43" s="715"/>
      <c r="L43" s="2723"/>
      <c r="M43" s="2715"/>
      <c r="N43" s="2715"/>
      <c r="O43" s="2724"/>
      <c r="P43" s="3721" t="str">
        <f>A43</f>
        <v>估价对象XX用房的比较价值（楼面单价，元/平方米）</v>
      </c>
      <c r="Q43" s="3722"/>
      <c r="R43" s="3753">
        <f>ROUND(IF(D42="简单平均",AVERAGE(R42:W42),R42*F42+T42*H42+V42*J42),0)</f>
        <v>478</v>
      </c>
      <c r="S43" s="3753"/>
      <c r="T43" s="3753"/>
      <c r="U43" s="3753"/>
      <c r="V43" s="3753"/>
      <c r="W43" s="375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7.9002079002078895E-2</v>
      </c>
      <c r="F46" s="449" t="str">
        <f>IF(OR(E46&gt;=0.3,E46&lt;=-0.3),"超过30%","")</f>
        <v/>
      </c>
      <c r="G46" s="448">
        <f>IF(G41&lt;G42,G42/G41-1,G41/G42-1)</f>
        <v>9.3023255813953432E-2</v>
      </c>
      <c r="H46" s="449" t="str">
        <f>IF(OR(G46&gt;=0.3,G46&lt;=-0.3),"超过30%","")</f>
        <v/>
      </c>
      <c r="I46" s="448">
        <f>IF(I41&lt;I42,I42/I41-1,I41/I42-1)</f>
        <v>7.2765072765072825E-2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1.6913319238900604E-2</v>
      </c>
      <c r="F47" s="449" t="str">
        <f>IF(OR(E47&gt;=0.2,E47&lt;=-0.2),"超过20%","")</f>
        <v/>
      </c>
      <c r="G47" s="448">
        <f>IF(G42&lt;I42,I42/G42-1,G42/I42-1)</f>
        <v>1.6913319238900604E-2</v>
      </c>
      <c r="H47" s="449" t="str">
        <f>IF(OR(G47&gt;=0.2,G47&lt;=-0.2),"超过20%","")</f>
        <v/>
      </c>
      <c r="I47" s="448">
        <f>IF(I42&lt;E42,E42/I42-1,I42/E42-1)</f>
        <v>0</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3.8684719535784229E-3</v>
      </c>
      <c r="F48" s="449" t="str">
        <f>IF(OR(E48&gt;=0.3,E48&lt;=-0.3),"超过30%","")</f>
        <v/>
      </c>
      <c r="G48" s="448">
        <f>IF(G41&lt;I41,I41/G41-1,G41/I41-1)</f>
        <v>1.9379844961240345E-3</v>
      </c>
      <c r="H48" s="449" t="str">
        <f>IF(OR(G48&gt;=0.3,G48&lt;=-0.3),"超过30%","")</f>
        <v/>
      </c>
      <c r="I48" s="448">
        <f>IF(I41&lt;E41,E41/I41-1,I41/E41-1)</f>
        <v>5.8139534883721034E-3</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7" t="s">
        <v>1887</v>
      </c>
      <c r="H50" s="3754"/>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478</v>
      </c>
      <c r="C51" s="638">
        <v>1</v>
      </c>
      <c r="D51" s="944">
        <v>1</v>
      </c>
      <c r="E51" s="638">
        <f>'数据-汇总表'!E8+'数据-汇总表'!E9</f>
        <v>29587.64</v>
      </c>
      <c r="F51" s="639">
        <f t="shared" ref="F51:F60" si="15">ROUND(B51*E51/10000,0)</f>
        <v>1414</v>
      </c>
      <c r="G51" s="3706"/>
      <c r="H51" s="372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29587.64</v>
      </c>
      <c r="F61" s="645">
        <f>IF(B41="楼面地价",SUM(F51:F60),ROUND(C43*E61/10000,0))</f>
        <v>1414</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v>100</v>
      </c>
      <c r="E66" s="544">
        <f>D66-0.2</f>
        <v>99.8</v>
      </c>
      <c r="F66" s="544">
        <f t="shared" ref="F66:N66" si="20">E66-0.2</f>
        <v>99.6</v>
      </c>
      <c r="G66" s="544">
        <f t="shared" si="20"/>
        <v>99.399999999999991</v>
      </c>
      <c r="H66" s="544">
        <f t="shared" si="20"/>
        <v>99.199999999999989</v>
      </c>
      <c r="I66" s="544">
        <f t="shared" si="20"/>
        <v>98.999999999999986</v>
      </c>
      <c r="J66" s="544">
        <f t="shared" si="20"/>
        <v>98.799999999999983</v>
      </c>
      <c r="K66" s="544">
        <f t="shared" si="20"/>
        <v>98.59999999999998</v>
      </c>
      <c r="L66" s="544">
        <f t="shared" si="20"/>
        <v>98.399999999999977</v>
      </c>
      <c r="M66" s="544">
        <f t="shared" si="20"/>
        <v>98.199999999999974</v>
      </c>
      <c r="N66" s="544">
        <f t="shared" si="20"/>
        <v>97.999999999999972</v>
      </c>
      <c r="O66" s="544">
        <f t="shared" ref="F66:O66" si="21">N66+0.2</f>
        <v>98.199999999999974</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822" t="s">
        <v>3652</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2">D75&amp;"（含）"&amp;"-"&amp;E75</f>
        <v>1（含）-2</v>
      </c>
      <c r="E74" s="496" t="str">
        <f t="shared" si="22"/>
        <v>2（含）-3</v>
      </c>
      <c r="F74" s="496" t="str">
        <f t="shared" si="22"/>
        <v>3（含）-4</v>
      </c>
      <c r="G74" s="496" t="str">
        <f t="shared" si="22"/>
        <v>4（含）-5</v>
      </c>
      <c r="H74" s="496" t="str">
        <f t="shared" si="22"/>
        <v>5（含）-</v>
      </c>
      <c r="I74" s="496" t="str">
        <f t="shared" si="22"/>
        <v>（含）-</v>
      </c>
      <c r="J74" s="496" t="str">
        <f t="shared" si="22"/>
        <v>（含）-</v>
      </c>
      <c r="K74" s="496" t="str">
        <f t="shared" si="22"/>
        <v>（含）-</v>
      </c>
      <c r="L74" s="496" t="str">
        <f t="shared" si="22"/>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3">IF($B$41="单位面积地价",D76+$K11,D76-$K11)</f>
        <v>96</v>
      </c>
      <c r="F76" s="493">
        <f t="shared" si="23"/>
        <v>94</v>
      </c>
      <c r="G76" s="493">
        <f t="shared" si="23"/>
        <v>92</v>
      </c>
      <c r="H76" s="493">
        <f t="shared" si="23"/>
        <v>90</v>
      </c>
      <c r="I76" s="493">
        <f t="shared" si="23"/>
        <v>88</v>
      </c>
      <c r="J76" s="493">
        <f t="shared" si="23"/>
        <v>86</v>
      </c>
      <c r="K76" s="493">
        <f t="shared" si="23"/>
        <v>84</v>
      </c>
      <c r="L76" s="493">
        <f t="shared" si="23"/>
        <v>82</v>
      </c>
      <c r="M76" s="493">
        <f t="shared" si="23"/>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7">C108&amp;"(含)"&amp;"-"&amp;D108</f>
        <v>0(含)-30000</v>
      </c>
      <c r="D107" s="478" t="str">
        <f t="shared" si="27"/>
        <v>30000(含)-60000</v>
      </c>
      <c r="E107" s="478" t="str">
        <f t="shared" si="27"/>
        <v>60000(含)-90000</v>
      </c>
      <c r="F107" s="478" t="str">
        <f t="shared" si="27"/>
        <v>90000(含)-</v>
      </c>
      <c r="G107" s="478" t="str">
        <f t="shared" si="27"/>
        <v>(含)-</v>
      </c>
      <c r="H107" s="478" t="str">
        <f t="shared" si="27"/>
        <v>(含)-</v>
      </c>
      <c r="I107" s="478" t="str">
        <f t="shared" si="27"/>
        <v>(含)-</v>
      </c>
      <c r="J107" s="478" t="str">
        <f t="shared" si="27"/>
        <v>(含)-</v>
      </c>
      <c r="K107" s="1332" t="str">
        <f t="shared" si="27"/>
        <v>(含)-</v>
      </c>
      <c r="L107" s="1332" t="str">
        <f t="shared" si="27"/>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60000</v>
      </c>
      <c r="F108" s="544">
        <v>90000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8">D109-2</f>
        <v>96</v>
      </c>
      <c r="F109" s="540">
        <f t="shared" si="28"/>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9">C111-$K35</f>
        <v>100</v>
      </c>
      <c r="E111" s="493">
        <f t="shared" si="29"/>
        <v>100</v>
      </c>
      <c r="F111" s="493">
        <f t="shared" si="29"/>
        <v>100</v>
      </c>
      <c r="G111" s="493">
        <f t="shared" si="29"/>
        <v>100</v>
      </c>
      <c r="H111" s="493">
        <f t="shared" si="29"/>
        <v>100</v>
      </c>
      <c r="I111" s="493">
        <f t="shared" si="29"/>
        <v>100</v>
      </c>
      <c r="J111" s="493">
        <f t="shared" si="29"/>
        <v>100</v>
      </c>
      <c r="K111" s="493">
        <f t="shared" si="29"/>
        <v>100</v>
      </c>
      <c r="L111" s="493">
        <f t="shared" si="29"/>
        <v>100</v>
      </c>
      <c r="M111" s="494">
        <f t="shared" si="29"/>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30">C113-$K36</f>
        <v>100</v>
      </c>
      <c r="E113" s="493">
        <f t="shared" si="30"/>
        <v>100</v>
      </c>
      <c r="F113" s="493">
        <f t="shared" si="30"/>
        <v>100</v>
      </c>
      <c r="G113" s="493">
        <f t="shared" si="30"/>
        <v>100</v>
      </c>
      <c r="H113" s="493">
        <f t="shared" si="30"/>
        <v>100</v>
      </c>
      <c r="I113" s="493">
        <f t="shared" si="30"/>
        <v>100</v>
      </c>
      <c r="J113" s="493">
        <f t="shared" si="30"/>
        <v>100</v>
      </c>
      <c r="K113" s="493">
        <f t="shared" si="30"/>
        <v>100</v>
      </c>
      <c r="L113" s="493">
        <f t="shared" si="30"/>
        <v>100</v>
      </c>
      <c r="M113" s="494">
        <f t="shared" si="30"/>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1">C115-$K37</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2" t="s">
        <v>2083</v>
      </c>
      <c r="D1" s="3763"/>
      <c r="E1" s="3763"/>
      <c r="F1" s="3763"/>
      <c r="G1" s="3763"/>
      <c r="H1" s="3763"/>
      <c r="I1" s="3763"/>
      <c r="J1" s="3763"/>
      <c r="K1" s="3763"/>
      <c r="L1" s="3763"/>
      <c r="M1" s="3763"/>
      <c r="N1" s="3763"/>
      <c r="O1" s="3763"/>
      <c r="P1" s="3763"/>
      <c r="Q1" s="3763"/>
      <c r="R1" s="3763"/>
      <c r="S1" s="376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75">
      <c r="A3" s="2144" t="s">
        <v>2075</v>
      </c>
      <c r="B3" s="2601" t="e">
        <f ca="1">ROUND(B2*10000/E2,0)</f>
        <v>#DIV/0!</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9"/>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2"/>
      <c r="B4" s="3773"/>
      <c r="C4" s="3773"/>
      <c r="D4" s="3774"/>
      <c r="E4" s="3774"/>
      <c r="F4" s="3774"/>
      <c r="G4" s="3774"/>
      <c r="H4" s="3774"/>
      <c r="I4" s="3774"/>
      <c r="J4" s="3775"/>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t="e">
        <f>ROUND(IF(E2="商业",C6*C7*C17+C20,(IF(E2="住宅",C6*C13*C17+C20,IF(E2="办公",C6*C12*C17+C20,C6+C20)))),0)</f>
        <v>#DIV/0!</v>
      </c>
      <c r="D5" s="1338" t="e">
        <f>ROUND(C6*C17+C20,0)</f>
        <v>#DIV/0!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3236</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769" t="s">
        <v>1959</v>
      </c>
      <c r="X8" s="3770"/>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SUMIF(修正!C73:C140,C8,修正!E73:E140)</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771"/>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SUMIF(修正!C73:C140,C8,修正!F73:F140)</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77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3237</v>
      </c>
      <c r="B12" s="3304" t="s">
        <v>3238</v>
      </c>
      <c r="C12" s="3305"/>
      <c r="D12" s="3306" t="s">
        <v>3239</v>
      </c>
      <c r="E12" s="3307" t="s">
        <v>3240</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3241</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3242</v>
      </c>
      <c r="G14" s="3311" t="s">
        <v>3242</v>
      </c>
      <c r="H14" s="3311" t="s">
        <v>3242</v>
      </c>
      <c r="I14" s="3311" t="s">
        <v>3242</v>
      </c>
      <c r="J14" s="3311" t="s">
        <v>3242</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3243</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t="e">
        <f>ROUND(G18/I18,2)</f>
        <v>#DIV/0!</v>
      </c>
      <c r="F17" s="3321" t="s">
        <v>3249</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3247</v>
      </c>
      <c r="E18" s="3328"/>
      <c r="F18" s="3323" t="s">
        <v>3250</v>
      </c>
      <c r="G18" s="3327">
        <f>ROUND(1-(1/(POWER(1+G24,E18))),4)</f>
        <v>0</v>
      </c>
      <c r="H18" s="3323" t="s">
        <v>3252</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3248</v>
      </c>
      <c r="E19" s="3337"/>
      <c r="F19" s="3338" t="s">
        <v>3251</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6" t="s">
        <v>3253</v>
      </c>
      <c r="B20" s="167" t="s">
        <v>1993</v>
      </c>
      <c r="C20" s="3324" t="e">
        <f>ROUND(IF(F21="与级别开发程度一致",0,(G21-E21)/C21),0)</f>
        <v>#DIV/0!</v>
      </c>
      <c r="D20" s="3340" t="s">
        <v>1997</v>
      </c>
      <c r="E20" s="3341"/>
      <c r="F20" s="3782" t="s">
        <v>1994</v>
      </c>
      <c r="G20" s="378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7"/>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SUMIF(修正!C20:C53,E3,修正!E20:E53)</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15.75" thickBot="1">
      <c r="A23" s="2049" t="s">
        <v>364</v>
      </c>
      <c r="B23" s="2050" t="s">
        <v>2000</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2001</v>
      </c>
      <c r="E23" s="761">
        <v>44197</v>
      </c>
      <c r="F23" s="2053" t="s">
        <v>2002</v>
      </c>
      <c r="G23" s="762">
        <f>'数据-取费表'!B2</f>
        <v>45941</v>
      </c>
      <c r="H23" s="3342"/>
      <c r="I23" s="3343" t="str">
        <f>IF(H23="季度增幅（自定义）",SUMIF(N25:N28,E2,O25:O28),"")</f>
        <v/>
      </c>
      <c r="J23" s="3445"/>
      <c r="K23" s="1125"/>
      <c r="L23" s="2054" t="s">
        <v>2003</v>
      </c>
      <c r="M23" s="1327">
        <f>ROUND(SUMIF(地价!B2:G2,E2,地价!B16:G16),0)</f>
        <v>0</v>
      </c>
      <c r="N23" s="2055" t="s">
        <v>2004</v>
      </c>
      <c r="O23" s="763">
        <f>ROUNDDOWN(DATEDIF(E23,G23,"M")/3,0)</f>
        <v>19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t="e">
        <f>ROUND(POWER(1+G24,J24-I24)*(POWER(1+G24,I24)-1)/(POWER(1+G24,J24)-1),4)</f>
        <v>#DIV/0!</v>
      </c>
      <c r="D24" s="2059" t="s">
        <v>2006</v>
      </c>
      <c r="E24" s="1334">
        <f>存贷款利率!E28/100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3332</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3254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3255</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0</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9"/>
      <c r="L30" s="3350" t="s">
        <v>1935</v>
      </c>
      <c r="M30" s="3351" t="s">
        <v>1989</v>
      </c>
      <c r="N30" s="3351" t="s">
        <v>1990</v>
      </c>
      <c r="O30" s="3351" t="s">
        <v>1991</v>
      </c>
      <c r="P30" s="3351" t="s">
        <v>1992</v>
      </c>
      <c r="Q30" s="3354" t="s">
        <v>3259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t="e">
        <f>E34+SUM(I37:I42)</f>
        <v>#DIV/0!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t="e">
        <f>ROUND(C5*C22*C23*C24*C25*C28,0)</f>
        <v>#DIV/0!</v>
      </c>
      <c r="D33" s="2097"/>
      <c r="E33" s="773" t="e">
        <f>ROUND(C33*D33/10000,0)</f>
        <v>#DIV/0!</v>
      </c>
      <c r="F33" s="3345" t="s">
        <v>3257</v>
      </c>
      <c r="G33" s="2098"/>
      <c r="H33" s="2098"/>
      <c r="I33" s="2098"/>
      <c r="J33" s="2099"/>
      <c r="K33" s="1119"/>
      <c r="L33" s="3348" t="s">
        <v>3260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8" t="s">
        <v>3261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3258</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3262</v>
      </c>
      <c r="L36" s="3446">
        <f ca="1">'数据-取费表'!B40</f>
        <v>3.0599999999999999E-2</v>
      </c>
      <c r="M36" s="3357">
        <f ca="1">ROUND($L$36*(1+M31),3)</f>
        <v>3.7999999999999999E-2</v>
      </c>
      <c r="N36" s="3357">
        <f ca="1">ROUND($L$36*(1+N31),3)</f>
        <v>3.6999999999999998E-2</v>
      </c>
      <c r="O36" s="3357">
        <f ca="1">ROUND($L$36*(1+O31),3)</f>
        <v>3.5000000000000003E-2</v>
      </c>
      <c r="P36" s="3357">
        <f ca="1">ROUND($L$36*(1+P31),3)</f>
        <v>3.4000000000000002E-2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0"/>
      <c r="B37" s="2112" t="s">
        <v>2035</v>
      </c>
      <c r="C37" s="175" t="e">
        <f>ROUND(D5*C22*C23*C24*C28*F37,0)</f>
        <v>#DIV/0!</v>
      </c>
      <c r="D37" s="2097"/>
      <c r="E37" s="171" t="e">
        <f>ROUND(C37*D37/10000,0)</f>
        <v>#DIV/0!</v>
      </c>
      <c r="F37" s="171">
        <f>SUMIF(修正!A59:A70,G2,修正!B59:B70)</f>
        <v>0</v>
      </c>
      <c r="G37" s="171" t="e">
        <f>ROUND(IF(E2="工业",C37*$M$42,C37*$M$41),0)</f>
        <v>#DIV/0!</v>
      </c>
      <c r="H37" s="171">
        <f>D37</f>
        <v>0</v>
      </c>
      <c r="I37" s="171" t="e">
        <f>ROUND(G37*H37/10000,0)</f>
        <v>#DIV/0!</v>
      </c>
      <c r="J37" s="3011"/>
      <c r="K37" s="3358" t="s">
        <v>3263</v>
      </c>
      <c r="L37" s="3356">
        <f ca="1">L36+K38</f>
        <v>3.56E-2</v>
      </c>
      <c r="M37" s="3357">
        <f ca="1">ROUND($L$37*(1+M31),3)</f>
        <v>4.4999999999999998E-2</v>
      </c>
      <c r="N37" s="3357">
        <f t="shared" ref="N37:Q37" ca="1" si="3">ROUND($L$37*(1+N31),3)</f>
        <v>4.2999999999999997E-2</v>
      </c>
      <c r="O37" s="3357">
        <f t="shared" ca="1" si="3"/>
        <v>4.1000000000000002E-2</v>
      </c>
      <c r="P37" s="3357">
        <f t="shared" ca="1" si="3"/>
        <v>3.9E-2</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1"/>
      <c r="B38" s="2040" t="s">
        <v>2036</v>
      </c>
      <c r="C38" s="175" t="e">
        <f>ROUND(D5*C22*C23*C24*C28*F38,0)</f>
        <v>#DIV/0!</v>
      </c>
      <c r="D38" s="2097"/>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1"/>
      <c r="B39" s="2040" t="s">
        <v>3256</v>
      </c>
      <c r="C39" s="175" t="e">
        <f>ROUND(D5*C22*C23*C24*C28*F39,0)</f>
        <v>#DIV/0!</v>
      </c>
      <c r="D39" s="2097"/>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SUMIF(修正!A59:A70,G2,修正!E59:E70)</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SUMIF(修正!A59:A70,G2,修正!F59:F70)</f>
        <v>0</v>
      </c>
      <c r="G41" s="171" t="e">
        <f>ROUND(IF(E2="工业",C41*$M$42,C41*$M$41),0)</f>
        <v>#DIV/0!</v>
      </c>
      <c r="H41" s="171">
        <f t="shared" si="5"/>
        <v>0</v>
      </c>
      <c r="I41" s="171" t="e">
        <f t="shared" si="6"/>
        <v>#DIV/0!</v>
      </c>
      <c r="J41" s="2113"/>
      <c r="L41" s="3359" t="s">
        <v>3264</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t="e">
        <f>ROUND(D5*C22*C23*C44*C28*F42,0)</f>
        <v>#DIV/0!</v>
      </c>
      <c r="D42" s="2102"/>
      <c r="E42" s="187" t="e">
        <f t="shared" si="4"/>
        <v>#DIV/0!</v>
      </c>
      <c r="F42" s="767">
        <f>SUMIF(修正!A59:A70,G2,修正!G59:G70)</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3266</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3266</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3266</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3267</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2059</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2611</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3270</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3266</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3271</v>
      </c>
      <c r="B96" s="3384" t="s">
        <v>3282</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3272</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3273</v>
      </c>
      <c r="B98" s="3385" t="s">
        <v>3283</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3274</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3275</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3276</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8" t="s">
        <v>3291</v>
      </c>
      <c r="B103" s="3778"/>
      <c r="C103" s="3778"/>
      <c r="D103" s="3778"/>
      <c r="E103" s="3778"/>
      <c r="F103" s="3778"/>
      <c r="G103" s="3778"/>
      <c r="H103" s="3778"/>
      <c r="I103" s="3778"/>
      <c r="J103" s="3778"/>
      <c r="K103" s="3389"/>
      <c r="L103" s="3389"/>
      <c r="M103" s="3389"/>
      <c r="N103" s="3389"/>
    </row>
    <row r="104" spans="1:14">
      <c r="A104" s="3779" t="s">
        <v>3292</v>
      </c>
      <c r="B104" s="3779" t="s">
        <v>3293</v>
      </c>
      <c r="C104" s="3390" t="s">
        <v>3294</v>
      </c>
      <c r="D104" s="3391"/>
      <c r="E104" s="3391"/>
      <c r="F104" s="3391"/>
      <c r="G104" s="3391"/>
      <c r="H104" s="3391"/>
      <c r="I104" s="3391"/>
      <c r="J104" s="3392"/>
      <c r="K104" s="3393"/>
      <c r="L104" s="3393"/>
      <c r="M104" s="3393"/>
      <c r="N104" s="3393"/>
    </row>
    <row r="105" spans="1:14">
      <c r="A105" s="3779"/>
      <c r="B105" s="3779"/>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765"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6"/>
      <c r="B111" s="3394" t="s">
        <v>3265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8" t="s">
        <v>3308</v>
      </c>
      <c r="B113" s="3768"/>
      <c r="C113" s="3768"/>
      <c r="D113" s="3768"/>
      <c r="E113" s="3768"/>
      <c r="F113" s="3768"/>
      <c r="G113" s="3768"/>
      <c r="H113" s="3768"/>
      <c r="I113" s="3768"/>
      <c r="J113" s="376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0</v>
      </c>
      <c r="C116" s="3399" t="s">
        <v>3310</v>
      </c>
      <c r="D116" s="3400">
        <f>SUMPRODUCT((A118:A122=F116)*(B117:M117=H116)*B118:M122)</f>
        <v>0</v>
      </c>
      <c r="E116" s="1999" t="s">
        <v>3311</v>
      </c>
      <c r="F116" s="3401">
        <f>E2</f>
        <v>0</v>
      </c>
      <c r="G116" s="1999" t="s">
        <v>3312</v>
      </c>
      <c r="H116" s="3401">
        <f>G2</f>
        <v>0</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3326</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3327</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2611</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794" t="s">
        <v>2606</v>
      </c>
      <c r="B20" s="3784" t="s">
        <v>2627</v>
      </c>
      <c r="C20" s="3476" t="s">
        <v>2438</v>
      </c>
      <c r="D20" s="3476"/>
      <c r="E20" s="3104">
        <v>1</v>
      </c>
      <c r="F20" s="3105" t="s">
        <v>2439</v>
      </c>
      <c r="G20" s="3105"/>
    </row>
    <row r="21" spans="1:13" ht="19.5" customHeight="1">
      <c r="A21" s="3795"/>
      <c r="B21" s="3785"/>
      <c r="C21" s="3466" t="s">
        <v>2440</v>
      </c>
      <c r="D21" s="3466"/>
      <c r="E21" s="3108">
        <v>1</v>
      </c>
      <c r="F21" s="3105" t="s">
        <v>2441</v>
      </c>
      <c r="G21" s="3105"/>
    </row>
    <row r="22" spans="1:13" ht="19.5" customHeight="1">
      <c r="A22" s="3795"/>
      <c r="B22" s="3785"/>
      <c r="C22" s="3466" t="s">
        <v>2442</v>
      </c>
      <c r="D22" s="3466"/>
      <c r="E22" s="3108">
        <v>0.9</v>
      </c>
      <c r="F22" s="3105" t="s">
        <v>2443</v>
      </c>
      <c r="G22" s="3105"/>
    </row>
    <row r="23" spans="1:13" ht="19.5" customHeight="1">
      <c r="A23" s="3795"/>
      <c r="B23" s="3785"/>
      <c r="C23" s="3466" t="s">
        <v>2444</v>
      </c>
      <c r="D23" s="3466"/>
      <c r="E23" s="3108">
        <v>0.9</v>
      </c>
      <c r="F23" s="3105" t="s">
        <v>2445</v>
      </c>
      <c r="G23" s="3105"/>
    </row>
    <row r="24" spans="1:13" ht="19.5" customHeight="1">
      <c r="A24" s="3795"/>
      <c r="B24" s="3785"/>
      <c r="C24" s="3466" t="s">
        <v>2446</v>
      </c>
      <c r="D24" s="3466"/>
      <c r="E24" s="3108">
        <v>0.8</v>
      </c>
      <c r="F24" s="3105" t="s">
        <v>2447</v>
      </c>
      <c r="G24" s="3105"/>
    </row>
    <row r="25" spans="1:13" ht="19.5" customHeight="1">
      <c r="A25" s="3795"/>
      <c r="B25" s="3785"/>
      <c r="C25" s="3466" t="s">
        <v>2448</v>
      </c>
      <c r="D25" s="3466"/>
      <c r="E25" s="3108">
        <v>0.8</v>
      </c>
      <c r="F25" s="3105"/>
      <c r="G25" s="3105"/>
    </row>
    <row r="26" spans="1:13" ht="19.5" customHeight="1">
      <c r="A26" s="3795"/>
      <c r="B26" s="3785"/>
      <c r="C26" s="3469" t="s">
        <v>3409</v>
      </c>
      <c r="D26" s="3469"/>
      <c r="E26" s="3470">
        <v>0.43</v>
      </c>
      <c r="F26" s="3105"/>
      <c r="G26" s="3105"/>
    </row>
    <row r="27" spans="1:13" ht="19.5" customHeight="1" thickBot="1">
      <c r="A27" s="3796"/>
      <c r="B27" s="3786"/>
      <c r="C27" s="3471" t="s">
        <v>3410</v>
      </c>
      <c r="D27" s="3471"/>
      <c r="E27" s="3472">
        <f>E26*0.9</f>
        <v>0.38700000000000001</v>
      </c>
      <c r="F27" s="3105" t="s">
        <v>2449</v>
      </c>
      <c r="G27" s="3105"/>
    </row>
    <row r="28" spans="1:13" ht="19.5" customHeight="1" thickBot="1">
      <c r="A28" s="3468" t="s">
        <v>2628</v>
      </c>
      <c r="B28" s="3467" t="s">
        <v>2627</v>
      </c>
      <c r="C28" s="3473" t="s">
        <v>2629</v>
      </c>
      <c r="D28" s="3474"/>
      <c r="E28" s="3475">
        <v>1</v>
      </c>
      <c r="F28" s="3105" t="s">
        <v>2450</v>
      </c>
      <c r="G28" s="3105"/>
    </row>
    <row r="29" spans="1:13" ht="19.5" customHeight="1">
      <c r="A29" s="3787" t="s">
        <v>2630</v>
      </c>
      <c r="B29" s="3790" t="s">
        <v>2611</v>
      </c>
      <c r="C29" s="3102" t="s">
        <v>2451</v>
      </c>
      <c r="D29" s="3103"/>
      <c r="E29" s="3104">
        <v>1</v>
      </c>
      <c r="F29" s="3105" t="s">
        <v>2452</v>
      </c>
      <c r="G29" s="3105"/>
    </row>
    <row r="30" spans="1:13" ht="19.5" customHeight="1">
      <c r="A30" s="3788"/>
      <c r="B30" s="3791"/>
      <c r="C30" s="3106" t="s">
        <v>2453</v>
      </c>
      <c r="D30" s="3107"/>
      <c r="E30" s="3108">
        <v>1</v>
      </c>
      <c r="F30" s="3105" t="s">
        <v>2454</v>
      </c>
      <c r="G30" s="3105"/>
    </row>
    <row r="31" spans="1:13" ht="19.5" customHeight="1">
      <c r="A31" s="3788"/>
      <c r="B31" s="3791"/>
      <c r="C31" s="3106" t="s">
        <v>2455</v>
      </c>
      <c r="D31" s="3107"/>
      <c r="E31" s="3108">
        <v>0.8</v>
      </c>
      <c r="F31" s="3105" t="s">
        <v>2456</v>
      </c>
      <c r="G31" s="3105"/>
    </row>
    <row r="32" spans="1:13" ht="19.5" customHeight="1">
      <c r="A32" s="3788"/>
      <c r="B32" s="3791"/>
      <c r="C32" s="3106" t="s">
        <v>2457</v>
      </c>
      <c r="D32" s="3107"/>
      <c r="E32" s="3108">
        <v>0.8</v>
      </c>
      <c r="F32" s="3105" t="s">
        <v>2458</v>
      </c>
      <c r="G32" s="3105"/>
    </row>
    <row r="33" spans="1:7" ht="19.5" customHeight="1">
      <c r="A33" s="3788"/>
      <c r="B33" s="3791"/>
      <c r="C33" s="3106" t="s">
        <v>2459</v>
      </c>
      <c r="D33" s="3107"/>
      <c r="E33" s="3108">
        <v>0.8</v>
      </c>
      <c r="F33" s="3105" t="s">
        <v>2460</v>
      </c>
      <c r="G33" s="3105"/>
    </row>
    <row r="34" spans="1:7" ht="19.5" customHeight="1">
      <c r="A34" s="3788"/>
      <c r="B34" s="3791"/>
      <c r="C34" s="3106" t="s">
        <v>2461</v>
      </c>
      <c r="D34" s="3107"/>
      <c r="E34" s="3108">
        <v>0.7</v>
      </c>
      <c r="F34" s="3105" t="s">
        <v>2462</v>
      </c>
      <c r="G34" s="3105"/>
    </row>
    <row r="35" spans="1:7" ht="19.5" customHeight="1">
      <c r="A35" s="3788"/>
      <c r="B35" s="3791"/>
      <c r="C35" s="3106" t="s">
        <v>2463</v>
      </c>
      <c r="D35" s="3107"/>
      <c r="E35" s="3108">
        <v>0.8</v>
      </c>
      <c r="F35" s="3105" t="s">
        <v>2464</v>
      </c>
      <c r="G35" s="3105"/>
    </row>
    <row r="36" spans="1:7" ht="19.5" customHeight="1">
      <c r="A36" s="3788"/>
      <c r="B36" s="3791"/>
      <c r="C36" s="3106" t="s">
        <v>2465</v>
      </c>
      <c r="D36" s="3107"/>
      <c r="E36" s="3108">
        <v>0.6</v>
      </c>
      <c r="F36" s="3105" t="s">
        <v>2466</v>
      </c>
      <c r="G36" s="3105"/>
    </row>
    <row r="37" spans="1:7" ht="19.5" customHeight="1">
      <c r="A37" s="3788"/>
      <c r="B37" s="3791"/>
      <c r="C37" s="3106" t="s">
        <v>2467</v>
      </c>
      <c r="D37" s="3107"/>
      <c r="E37" s="3108">
        <v>0.2</v>
      </c>
      <c r="F37" s="3105" t="s">
        <v>2468</v>
      </c>
      <c r="G37" s="3105"/>
    </row>
    <row r="38" spans="1:7" ht="19.5" customHeight="1">
      <c r="A38" s="3788"/>
      <c r="B38" s="3791"/>
      <c r="C38" s="3106" t="s">
        <v>2469</v>
      </c>
      <c r="D38" s="3107"/>
      <c r="E38" s="3108">
        <v>0.2</v>
      </c>
      <c r="F38" s="3105" t="s">
        <v>2470</v>
      </c>
      <c r="G38" s="3105"/>
    </row>
    <row r="39" spans="1:7" ht="19.5" customHeight="1">
      <c r="A39" s="3788"/>
      <c r="B39" s="3792" t="s">
        <v>2631</v>
      </c>
      <c r="C39" s="3106" t="s">
        <v>2471</v>
      </c>
      <c r="D39" s="3107"/>
      <c r="E39" s="3108">
        <v>0.6</v>
      </c>
      <c r="F39" s="3105" t="s">
        <v>2472</v>
      </c>
      <c r="G39" s="3105"/>
    </row>
    <row r="40" spans="1:7" ht="19.5" customHeight="1">
      <c r="A40" s="3788"/>
      <c r="B40" s="3791"/>
      <c r="C40" s="3106" t="s">
        <v>2473</v>
      </c>
      <c r="D40" s="3107"/>
      <c r="E40" s="3108">
        <v>0.6</v>
      </c>
      <c r="F40" s="3105" t="s">
        <v>2474</v>
      </c>
      <c r="G40" s="3105"/>
    </row>
    <row r="41" spans="1:7" ht="19.5" customHeight="1" thickBot="1">
      <c r="A41" s="3789"/>
      <c r="B41" s="3793"/>
      <c r="C41" s="3109" t="s">
        <v>2475</v>
      </c>
      <c r="D41" s="3110"/>
      <c r="E41" s="3111">
        <v>0.6</v>
      </c>
      <c r="F41" s="3105" t="s">
        <v>2476</v>
      </c>
      <c r="G41" s="3105"/>
    </row>
    <row r="42" spans="1:7" ht="19.5" customHeight="1" thickBot="1">
      <c r="A42" s="3112" t="s">
        <v>2608</v>
      </c>
      <c r="B42" s="3113" t="s">
        <v>2608</v>
      </c>
      <c r="C42" s="3114" t="s">
        <v>2632</v>
      </c>
      <c r="D42" s="3115"/>
      <c r="E42" s="3116">
        <v>1</v>
      </c>
      <c r="F42" s="3105" t="s">
        <v>2477</v>
      </c>
      <c r="G42" s="3105"/>
    </row>
    <row r="43" spans="1:7" ht="19.5" customHeight="1">
      <c r="A43" s="3794" t="s">
        <v>2609</v>
      </c>
      <c r="B43" s="3790" t="s">
        <v>2633</v>
      </c>
      <c r="C43" s="3102" t="s">
        <v>2478</v>
      </c>
      <c r="D43" s="3103"/>
      <c r="E43" s="3104">
        <v>1</v>
      </c>
      <c r="F43" s="3105" t="s">
        <v>2479</v>
      </c>
      <c r="G43" s="3105"/>
    </row>
    <row r="44" spans="1:7" ht="19.5" customHeight="1">
      <c r="A44" s="3795"/>
      <c r="B44" s="3791"/>
      <c r="C44" s="3106" t="s">
        <v>2480</v>
      </c>
      <c r="D44" s="3107"/>
      <c r="E44" s="3108">
        <v>1</v>
      </c>
      <c r="F44" s="3105" t="s">
        <v>2481</v>
      </c>
      <c r="G44" s="3105"/>
    </row>
    <row r="45" spans="1:7" ht="19.5" customHeight="1">
      <c r="A45" s="3795"/>
      <c r="B45" s="3797"/>
      <c r="C45" s="3106" t="s">
        <v>2482</v>
      </c>
      <c r="D45" s="3107"/>
      <c r="E45" s="3108">
        <v>1.5</v>
      </c>
      <c r="F45" s="3105" t="s">
        <v>2483</v>
      </c>
      <c r="G45" s="3105"/>
    </row>
    <row r="46" spans="1:7" ht="19.5" customHeight="1">
      <c r="A46" s="3795"/>
      <c r="B46" s="3117" t="s">
        <v>2634</v>
      </c>
      <c r="C46" s="3106" t="s">
        <v>2635</v>
      </c>
      <c r="D46" s="3107"/>
      <c r="E46" s="3108">
        <v>2</v>
      </c>
      <c r="F46" s="3105" t="s">
        <v>2484</v>
      </c>
      <c r="G46" s="3105"/>
    </row>
    <row r="47" spans="1:7" ht="19.5" customHeight="1">
      <c r="A47" s="3795"/>
      <c r="B47" s="3792" t="s">
        <v>2636</v>
      </c>
      <c r="C47" s="3106" t="s">
        <v>2485</v>
      </c>
      <c r="D47" s="3107"/>
      <c r="E47" s="3108">
        <v>1</v>
      </c>
      <c r="F47" s="3105" t="s">
        <v>2486</v>
      </c>
      <c r="G47" s="3105"/>
    </row>
    <row r="48" spans="1:7" ht="19.5" customHeight="1">
      <c r="A48" s="3795"/>
      <c r="B48" s="3791"/>
      <c r="C48" s="3106" t="s">
        <v>2487</v>
      </c>
      <c r="D48" s="3107"/>
      <c r="E48" s="3108">
        <v>1</v>
      </c>
      <c r="F48" s="3105" t="s">
        <v>2488</v>
      </c>
      <c r="G48" s="3105"/>
    </row>
    <row r="49" spans="1:7" ht="19.5" customHeight="1">
      <c r="A49" s="3795"/>
      <c r="B49" s="3791"/>
      <c r="C49" s="3106" t="s">
        <v>2489</v>
      </c>
      <c r="D49" s="3107"/>
      <c r="E49" s="3108">
        <v>1</v>
      </c>
      <c r="F49" s="3105" t="s">
        <v>2490</v>
      </c>
      <c r="G49" s="3105"/>
    </row>
    <row r="50" spans="1:7" ht="19.5" customHeight="1">
      <c r="A50" s="3795"/>
      <c r="B50" s="3791"/>
      <c r="C50" s="3106" t="s">
        <v>2491</v>
      </c>
      <c r="D50" s="3107"/>
      <c r="E50" s="3108">
        <v>1</v>
      </c>
      <c r="F50" s="3105" t="s">
        <v>2492</v>
      </c>
      <c r="G50" s="3105"/>
    </row>
    <row r="51" spans="1:7" ht="19.5" customHeight="1">
      <c r="A51" s="3795"/>
      <c r="B51" s="3791"/>
      <c r="C51" s="3106" t="s">
        <v>2493</v>
      </c>
      <c r="D51" s="3107"/>
      <c r="E51" s="3108">
        <v>1</v>
      </c>
      <c r="F51" s="3105" t="s">
        <v>2494</v>
      </c>
      <c r="G51" s="3105"/>
    </row>
    <row r="52" spans="1:7" ht="19.5" customHeight="1">
      <c r="A52" s="3795"/>
      <c r="B52" s="3791"/>
      <c r="C52" s="3106" t="s">
        <v>2495</v>
      </c>
      <c r="D52" s="3107"/>
      <c r="E52" s="3108">
        <v>1</v>
      </c>
      <c r="F52" s="3105" t="s">
        <v>2496</v>
      </c>
      <c r="G52" s="3105"/>
    </row>
    <row r="53" spans="1:7" ht="19.5" customHeight="1" thickBot="1">
      <c r="A53" s="3796"/>
      <c r="B53" s="3793"/>
      <c r="C53" s="3109" t="s">
        <v>2497</v>
      </c>
      <c r="D53" s="3110"/>
      <c r="E53" s="3111">
        <v>1</v>
      </c>
      <c r="F53" s="3105" t="s">
        <v>2498</v>
      </c>
      <c r="G53" s="3105"/>
    </row>
    <row r="54" spans="1:7" ht="19.5" customHeight="1">
      <c r="A54" s="3118"/>
      <c r="B54" s="3118"/>
      <c r="C54" s="3118"/>
      <c r="D54" s="3118"/>
      <c r="E54" s="3118"/>
      <c r="F54" s="3118"/>
      <c r="G54" s="3118"/>
    </row>
    <row r="56" spans="1:7" ht="19.5" customHeight="1">
      <c r="A56" s="3119"/>
      <c r="B56" s="3091" t="s">
        <v>2637</v>
      </c>
      <c r="C56" s="3091" t="s">
        <v>2637</v>
      </c>
      <c r="D56" s="3091" t="s">
        <v>2637</v>
      </c>
      <c r="E56" s="3094" t="s">
        <v>2637</v>
      </c>
      <c r="F56" s="3094" t="s">
        <v>2638</v>
      </c>
      <c r="G56" s="3094" t="s">
        <v>2639</v>
      </c>
    </row>
    <row r="57" spans="1:7" ht="19.5" customHeight="1">
      <c r="A57" s="3120"/>
      <c r="B57" s="3094" t="s">
        <v>2606</v>
      </c>
      <c r="C57" s="3094" t="s">
        <v>2606</v>
      </c>
      <c r="D57" s="3094" t="s">
        <v>2606</v>
      </c>
      <c r="E57" s="3091" t="s">
        <v>2607</v>
      </c>
      <c r="F57" s="3091" t="s">
        <v>2609</v>
      </c>
      <c r="G57" s="3091" t="s">
        <v>2640</v>
      </c>
    </row>
    <row r="58" spans="1:7" ht="19.5" customHeight="1">
      <c r="A58" s="3121"/>
      <c r="B58" s="3091">
        <v>1</v>
      </c>
      <c r="C58" s="3091">
        <v>2</v>
      </c>
      <c r="D58" s="3091">
        <v>3</v>
      </c>
      <c r="E58" s="3122" t="s">
        <v>2641</v>
      </c>
      <c r="F58" s="3122" t="s">
        <v>2641</v>
      </c>
      <c r="G58" s="3122" t="s">
        <v>2641</v>
      </c>
    </row>
    <row r="59" spans="1:7" ht="19.5" customHeight="1">
      <c r="A59" s="3123" t="s">
        <v>2594</v>
      </c>
      <c r="B59" s="3091">
        <v>0.7</v>
      </c>
      <c r="C59" s="3091">
        <v>0.4</v>
      </c>
      <c r="D59" s="3091">
        <v>0.3</v>
      </c>
      <c r="E59" s="3122">
        <v>0.3</v>
      </c>
      <c r="F59" s="3091">
        <v>0.3</v>
      </c>
      <c r="G59" s="3091">
        <v>0.2</v>
      </c>
    </row>
    <row r="60" spans="1:7" ht="19.5" customHeight="1">
      <c r="A60" s="3123" t="s">
        <v>2595</v>
      </c>
      <c r="B60" s="3091">
        <v>0.7</v>
      </c>
      <c r="C60" s="3091">
        <v>0.4</v>
      </c>
      <c r="D60" s="3091">
        <v>0.3</v>
      </c>
      <c r="E60" s="3091">
        <v>0.3</v>
      </c>
      <c r="F60" s="3091">
        <v>0.3</v>
      </c>
      <c r="G60" s="3091">
        <v>0.2</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0.6</v>
      </c>
      <c r="C64" s="3091">
        <v>0.3</v>
      </c>
      <c r="D64" s="3091">
        <v>0.25</v>
      </c>
      <c r="E64" s="3091">
        <v>0.25</v>
      </c>
      <c r="F64" s="3091">
        <v>0.25</v>
      </c>
      <c r="G64" s="3091">
        <v>0.15</v>
      </c>
    </row>
    <row r="65" spans="1:7" ht="19.5" customHeight="1">
      <c r="A65" s="3123" t="s">
        <v>2600</v>
      </c>
      <c r="B65" s="3091">
        <v>0.6</v>
      </c>
      <c r="C65" s="3091">
        <v>0.3</v>
      </c>
      <c r="D65" s="3091">
        <v>0.25</v>
      </c>
      <c r="E65" s="3091">
        <v>0.25</v>
      </c>
      <c r="F65" s="3091">
        <v>0.25</v>
      </c>
      <c r="G65" s="3091">
        <v>0.15</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69" spans="1:7" ht="19.5" customHeight="1">
      <c r="A69" s="3123" t="s">
        <v>2604</v>
      </c>
      <c r="B69" s="3091">
        <v>0.5</v>
      </c>
      <c r="C69" s="3091">
        <v>0.2</v>
      </c>
      <c r="D69" s="3091">
        <v>0.2</v>
      </c>
      <c r="E69" s="3091">
        <v>0.2</v>
      </c>
      <c r="F69" s="3091">
        <v>0.2</v>
      </c>
      <c r="G69" s="3091">
        <v>0.1</v>
      </c>
    </row>
    <row r="70" spans="1:7" ht="19.5" customHeight="1">
      <c r="A70" s="3123" t="s">
        <v>2605</v>
      </c>
      <c r="B70" s="3091">
        <v>0.5</v>
      </c>
      <c r="C70" s="3091">
        <v>0.2</v>
      </c>
      <c r="D70" s="3091">
        <v>0.2</v>
      </c>
      <c r="E70" s="3091">
        <v>0.2</v>
      </c>
      <c r="F70" s="3091">
        <v>0.2</v>
      </c>
      <c r="G70" s="3091">
        <v>0.1</v>
      </c>
    </row>
    <row r="72" spans="1:7" ht="19.5" customHeight="1">
      <c r="A72" s="3124"/>
      <c r="B72" s="3125"/>
      <c r="C72" s="3125"/>
      <c r="D72" s="3125" t="s">
        <v>2642</v>
      </c>
      <c r="E72" s="3125"/>
      <c r="F72" s="3125"/>
    </row>
    <row r="73" spans="1:7" ht="19.5" customHeight="1">
      <c r="A73" s="3117" t="s">
        <v>2643</v>
      </c>
      <c r="B73" s="3117" t="s">
        <v>2644</v>
      </c>
      <c r="C73" s="3117" t="s">
        <v>2645</v>
      </c>
      <c r="D73" s="3117" t="s">
        <v>2646</v>
      </c>
      <c r="E73" s="3117" t="s">
        <v>2647</v>
      </c>
      <c r="F73" s="3117" t="s">
        <v>2648</v>
      </c>
    </row>
    <row r="74" spans="1:7" ht="13.5">
      <c r="A74" s="3117"/>
      <c r="B74" s="3117"/>
      <c r="C74" s="3117" t="s">
        <v>2649</v>
      </c>
      <c r="D74" s="3117"/>
      <c r="E74" s="3117" t="s">
        <v>2620</v>
      </c>
      <c r="F74" s="3117" t="s">
        <v>2620</v>
      </c>
    </row>
    <row r="75" spans="1:7" ht="13.5">
      <c r="A75" s="3117">
        <v>1</v>
      </c>
      <c r="B75" s="3792" t="s">
        <v>2650</v>
      </c>
      <c r="C75" s="3091" t="s">
        <v>2651</v>
      </c>
      <c r="D75" s="3091" t="s">
        <v>2652</v>
      </c>
      <c r="E75" s="3117">
        <v>0.2</v>
      </c>
      <c r="F75" s="3117">
        <v>25</v>
      </c>
    </row>
    <row r="76" spans="1:7" ht="24">
      <c r="A76" s="3117">
        <v>2</v>
      </c>
      <c r="B76" s="3791"/>
      <c r="C76" s="3091" t="s">
        <v>2653</v>
      </c>
      <c r="D76" s="3091" t="s">
        <v>2654</v>
      </c>
      <c r="E76" s="3117">
        <v>0.2</v>
      </c>
      <c r="F76" s="3117">
        <v>25</v>
      </c>
    </row>
    <row r="77" spans="1:7" ht="24">
      <c r="A77" s="3117">
        <v>3</v>
      </c>
      <c r="B77" s="3791"/>
      <c r="C77" s="3091" t="s">
        <v>2655</v>
      </c>
      <c r="D77" s="3091" t="s">
        <v>2656</v>
      </c>
      <c r="E77" s="3117">
        <v>0.2</v>
      </c>
      <c r="F77" s="3117">
        <v>25</v>
      </c>
    </row>
    <row r="78" spans="1:7" ht="13.5">
      <c r="A78" s="3117">
        <v>4</v>
      </c>
      <c r="B78" s="3791"/>
      <c r="C78" s="3091" t="s">
        <v>2657</v>
      </c>
      <c r="D78" s="3091" t="s">
        <v>2658</v>
      </c>
      <c r="E78" s="3117">
        <v>0.15</v>
      </c>
      <c r="F78" s="3117">
        <v>20</v>
      </c>
    </row>
    <row r="79" spans="1:7" ht="24">
      <c r="A79" s="3117">
        <v>5</v>
      </c>
      <c r="B79" s="3791"/>
      <c r="C79" s="3091" t="s">
        <v>2659</v>
      </c>
      <c r="D79" s="3091" t="s">
        <v>2660</v>
      </c>
      <c r="E79" s="3117">
        <v>0.15</v>
      </c>
      <c r="F79" s="3117">
        <v>20</v>
      </c>
    </row>
    <row r="80" spans="1:7" ht="24">
      <c r="A80" s="3117">
        <v>6</v>
      </c>
      <c r="B80" s="3791"/>
      <c r="C80" s="3091" t="s">
        <v>2661</v>
      </c>
      <c r="D80" s="3091" t="s">
        <v>2662</v>
      </c>
      <c r="E80" s="3117">
        <v>0.15</v>
      </c>
      <c r="F80" s="3117">
        <v>20</v>
      </c>
    </row>
    <row r="81" spans="1:6" ht="24">
      <c r="A81" s="3117">
        <v>7</v>
      </c>
      <c r="B81" s="3791"/>
      <c r="C81" s="3091" t="s">
        <v>2663</v>
      </c>
      <c r="D81" s="3091" t="s">
        <v>2664</v>
      </c>
      <c r="E81" s="3117">
        <v>0.15</v>
      </c>
      <c r="F81" s="3117">
        <v>20</v>
      </c>
    </row>
    <row r="82" spans="1:6" ht="24">
      <c r="A82" s="3117">
        <v>8</v>
      </c>
      <c r="B82" s="3791"/>
      <c r="C82" s="3091" t="s">
        <v>2665</v>
      </c>
      <c r="D82" s="3091" t="s">
        <v>2666</v>
      </c>
      <c r="E82" s="3117">
        <v>0.1</v>
      </c>
      <c r="F82" s="3117">
        <v>15</v>
      </c>
    </row>
    <row r="83" spans="1:6" ht="24">
      <c r="A83" s="3117">
        <v>9</v>
      </c>
      <c r="B83" s="3791"/>
      <c r="C83" s="3091" t="s">
        <v>2667</v>
      </c>
      <c r="D83" s="3091" t="s">
        <v>2668</v>
      </c>
      <c r="E83" s="3117">
        <v>0.1</v>
      </c>
      <c r="F83" s="3117">
        <v>15</v>
      </c>
    </row>
    <row r="84" spans="1:6" ht="24">
      <c r="A84" s="3117">
        <v>10</v>
      </c>
      <c r="B84" s="3791"/>
      <c r="C84" s="3091" t="s">
        <v>2669</v>
      </c>
      <c r="D84" s="3091" t="s">
        <v>2670</v>
      </c>
      <c r="E84" s="3117">
        <v>0.1</v>
      </c>
      <c r="F84" s="3117">
        <v>15</v>
      </c>
    </row>
    <row r="85" spans="1:6" ht="24">
      <c r="A85" s="3117">
        <v>11</v>
      </c>
      <c r="B85" s="3791"/>
      <c r="C85" s="3091" t="s">
        <v>2671</v>
      </c>
      <c r="D85" s="3091" t="s">
        <v>2672</v>
      </c>
      <c r="E85" s="3117">
        <v>0.1</v>
      </c>
      <c r="F85" s="3117">
        <v>15</v>
      </c>
    </row>
    <row r="86" spans="1:6" ht="24">
      <c r="A86" s="3117">
        <v>12</v>
      </c>
      <c r="B86" s="3791"/>
      <c r="C86" s="3091" t="s">
        <v>2673</v>
      </c>
      <c r="D86" s="3091" t="s">
        <v>2674</v>
      </c>
      <c r="E86" s="3117">
        <v>0.1</v>
      </c>
      <c r="F86" s="3117">
        <v>15</v>
      </c>
    </row>
    <row r="87" spans="1:6" ht="13.5">
      <c r="A87" s="3117">
        <v>13</v>
      </c>
      <c r="B87" s="3791"/>
      <c r="C87" s="3091" t="s">
        <v>2675</v>
      </c>
      <c r="D87" s="3091" t="s">
        <v>2676</v>
      </c>
      <c r="E87" s="3117">
        <v>0.1</v>
      </c>
      <c r="F87" s="3117">
        <v>15</v>
      </c>
    </row>
    <row r="88" spans="1:6" ht="13.5">
      <c r="A88" s="3117">
        <v>14</v>
      </c>
      <c r="B88" s="3791"/>
      <c r="C88" s="3091" t="s">
        <v>2677</v>
      </c>
      <c r="D88" s="3091" t="s">
        <v>2678</v>
      </c>
      <c r="E88" s="3117">
        <v>0.1</v>
      </c>
      <c r="F88" s="3117">
        <v>15</v>
      </c>
    </row>
    <row r="89" spans="1:6" ht="13.5">
      <c r="A89" s="3117">
        <v>15</v>
      </c>
      <c r="B89" s="3791"/>
      <c r="C89" s="3091" t="s">
        <v>2679</v>
      </c>
      <c r="D89" s="3091" t="s">
        <v>2680</v>
      </c>
      <c r="E89" s="3117">
        <v>0.1</v>
      </c>
      <c r="F89" s="3117">
        <v>15</v>
      </c>
    </row>
    <row r="90" spans="1:6" ht="24">
      <c r="A90" s="3117">
        <v>16</v>
      </c>
      <c r="B90" s="3791"/>
      <c r="C90" s="3091" t="s">
        <v>2681</v>
      </c>
      <c r="D90" s="3091" t="s">
        <v>2682</v>
      </c>
      <c r="E90" s="3117">
        <v>0.1</v>
      </c>
      <c r="F90" s="3117">
        <v>15</v>
      </c>
    </row>
    <row r="91" spans="1:6" ht="24">
      <c r="A91" s="3117">
        <v>17</v>
      </c>
      <c r="B91" s="3797"/>
      <c r="C91" s="3091" t="s">
        <v>2683</v>
      </c>
      <c r="D91" s="3091" t="s">
        <v>2684</v>
      </c>
      <c r="E91" s="3117">
        <v>0.1</v>
      </c>
      <c r="F91" s="3117">
        <v>15</v>
      </c>
    </row>
    <row r="92" spans="1:6" ht="13.5">
      <c r="A92" s="3117">
        <v>18</v>
      </c>
      <c r="B92" s="3792" t="s">
        <v>2685</v>
      </c>
      <c r="C92" s="3091" t="s">
        <v>2686</v>
      </c>
      <c r="D92" s="3091" t="s">
        <v>2687</v>
      </c>
      <c r="E92" s="3117">
        <v>0.2</v>
      </c>
      <c r="F92" s="3117">
        <v>25</v>
      </c>
    </row>
    <row r="93" spans="1:6" ht="24">
      <c r="A93" s="3117">
        <v>19</v>
      </c>
      <c r="B93" s="3791"/>
      <c r="C93" s="3091" t="s">
        <v>2688</v>
      </c>
      <c r="D93" s="3091" t="s">
        <v>2689</v>
      </c>
      <c r="E93" s="3117">
        <v>0.2</v>
      </c>
      <c r="F93" s="3117">
        <v>25</v>
      </c>
    </row>
    <row r="94" spans="1:6" ht="13.5">
      <c r="A94" s="3117">
        <v>20</v>
      </c>
      <c r="B94" s="3791"/>
      <c r="C94" s="3091" t="s">
        <v>2690</v>
      </c>
      <c r="D94" s="3091" t="s">
        <v>2691</v>
      </c>
      <c r="E94" s="3117">
        <v>0.15</v>
      </c>
      <c r="F94" s="3117">
        <v>20</v>
      </c>
    </row>
    <row r="95" spans="1:6" ht="13.5">
      <c r="A95" s="3117">
        <v>21</v>
      </c>
      <c r="B95" s="3791"/>
      <c r="C95" s="3091" t="s">
        <v>2692</v>
      </c>
      <c r="D95" s="3091" t="s">
        <v>2693</v>
      </c>
      <c r="E95" s="3117">
        <v>0.15</v>
      </c>
      <c r="F95" s="3117">
        <v>20</v>
      </c>
    </row>
    <row r="96" spans="1:6" ht="13.5">
      <c r="A96" s="3117">
        <v>22</v>
      </c>
      <c r="B96" s="3791"/>
      <c r="C96" s="3091" t="s">
        <v>2694</v>
      </c>
      <c r="D96" s="3091" t="s">
        <v>2695</v>
      </c>
      <c r="E96" s="3117">
        <v>0.15</v>
      </c>
      <c r="F96" s="3117">
        <v>20</v>
      </c>
    </row>
    <row r="97" spans="1:6" ht="36">
      <c r="A97" s="3117">
        <v>23</v>
      </c>
      <c r="B97" s="3791"/>
      <c r="C97" s="3091" t="s">
        <v>2696</v>
      </c>
      <c r="D97" s="3091" t="s">
        <v>2697</v>
      </c>
      <c r="E97" s="3117">
        <v>0.15</v>
      </c>
      <c r="F97" s="3117">
        <v>20</v>
      </c>
    </row>
    <row r="98" spans="1:6" ht="13.5">
      <c r="A98" s="3117">
        <v>24</v>
      </c>
      <c r="B98" s="3791"/>
      <c r="C98" s="3091" t="s">
        <v>2698</v>
      </c>
      <c r="D98" s="3091" t="s">
        <v>2699</v>
      </c>
      <c r="E98" s="3117">
        <v>0.1</v>
      </c>
      <c r="F98" s="3117">
        <v>15</v>
      </c>
    </row>
    <row r="99" spans="1:6" ht="13.5">
      <c r="A99" s="3117">
        <v>25</v>
      </c>
      <c r="B99" s="3791"/>
      <c r="C99" s="3091" t="s">
        <v>2700</v>
      </c>
      <c r="D99" s="3091" t="s">
        <v>2701</v>
      </c>
      <c r="E99" s="3117">
        <v>0.1</v>
      </c>
      <c r="F99" s="3117">
        <v>15</v>
      </c>
    </row>
    <row r="100" spans="1:6" ht="24">
      <c r="A100" s="3117">
        <v>26</v>
      </c>
      <c r="B100" s="3791"/>
      <c r="C100" s="3091" t="s">
        <v>2702</v>
      </c>
      <c r="D100" s="3091" t="s">
        <v>2703</v>
      </c>
      <c r="E100" s="3117">
        <v>0.1</v>
      </c>
      <c r="F100" s="3117">
        <v>15</v>
      </c>
    </row>
    <row r="101" spans="1:6" ht="24">
      <c r="A101" s="3117">
        <v>27</v>
      </c>
      <c r="B101" s="3791"/>
      <c r="C101" s="3091" t="s">
        <v>2704</v>
      </c>
      <c r="D101" s="3091" t="s">
        <v>2705</v>
      </c>
      <c r="E101" s="3117">
        <v>0.1</v>
      </c>
      <c r="F101" s="3117">
        <v>15</v>
      </c>
    </row>
    <row r="102" spans="1:6" ht="13.5">
      <c r="A102" s="3117">
        <v>28</v>
      </c>
      <c r="B102" s="3791"/>
      <c r="C102" s="3091" t="s">
        <v>2706</v>
      </c>
      <c r="D102" s="3091" t="s">
        <v>2707</v>
      </c>
      <c r="E102" s="3117">
        <v>0.1</v>
      </c>
      <c r="F102" s="3117">
        <v>15</v>
      </c>
    </row>
    <row r="103" spans="1:6" ht="13.5">
      <c r="A103" s="3117">
        <v>29</v>
      </c>
      <c r="B103" s="3791"/>
      <c r="C103" s="3091" t="s">
        <v>2708</v>
      </c>
      <c r="D103" s="3091" t="s">
        <v>2709</v>
      </c>
      <c r="E103" s="3117">
        <v>0.1</v>
      </c>
      <c r="F103" s="3117">
        <v>15</v>
      </c>
    </row>
    <row r="104" spans="1:6" ht="13.5">
      <c r="A104" s="3117">
        <v>30</v>
      </c>
      <c r="B104" s="3791"/>
      <c r="C104" s="3091" t="s">
        <v>2710</v>
      </c>
      <c r="D104" s="3091" t="s">
        <v>2711</v>
      </c>
      <c r="E104" s="3117">
        <v>0.1</v>
      </c>
      <c r="F104" s="3117">
        <v>15</v>
      </c>
    </row>
    <row r="105" spans="1:6" ht="24">
      <c r="A105" s="3117">
        <v>31</v>
      </c>
      <c r="B105" s="3791"/>
      <c r="C105" s="3091" t="s">
        <v>2712</v>
      </c>
      <c r="D105" s="3091" t="s">
        <v>2713</v>
      </c>
      <c r="E105" s="3117">
        <v>0.1</v>
      </c>
      <c r="F105" s="3117">
        <v>15</v>
      </c>
    </row>
    <row r="106" spans="1:6" ht="24">
      <c r="A106" s="3117">
        <v>32</v>
      </c>
      <c r="B106" s="3791"/>
      <c r="C106" s="3091" t="s">
        <v>2714</v>
      </c>
      <c r="D106" s="3091" t="s">
        <v>2715</v>
      </c>
      <c r="E106" s="3117">
        <v>0.1</v>
      </c>
      <c r="F106" s="3117">
        <v>15</v>
      </c>
    </row>
    <row r="107" spans="1:6" ht="24">
      <c r="A107" s="3117">
        <v>33</v>
      </c>
      <c r="B107" s="3791"/>
      <c r="C107" s="3091" t="s">
        <v>2716</v>
      </c>
      <c r="D107" s="3091" t="s">
        <v>2717</v>
      </c>
      <c r="E107" s="3117">
        <v>0.1</v>
      </c>
      <c r="F107" s="3117">
        <v>15</v>
      </c>
    </row>
    <row r="108" spans="1:6" ht="24">
      <c r="A108" s="3117">
        <v>34</v>
      </c>
      <c r="B108" s="3797"/>
      <c r="C108" s="3091" t="s">
        <v>2718</v>
      </c>
      <c r="D108" s="3091" t="s">
        <v>2719</v>
      </c>
      <c r="E108" s="3117">
        <v>0.1</v>
      </c>
      <c r="F108" s="3117">
        <v>15</v>
      </c>
    </row>
    <row r="109" spans="1:6" ht="24">
      <c r="A109" s="3117">
        <v>35</v>
      </c>
      <c r="B109" s="3792" t="s">
        <v>2720</v>
      </c>
      <c r="C109" s="3117" t="s">
        <v>2721</v>
      </c>
      <c r="D109" s="3091" t="s">
        <v>2722</v>
      </c>
      <c r="E109" s="3117">
        <v>0.15</v>
      </c>
      <c r="F109" s="3117">
        <v>20</v>
      </c>
    </row>
    <row r="110" spans="1:6" ht="13.5">
      <c r="A110" s="3117">
        <v>36</v>
      </c>
      <c r="B110" s="3791"/>
      <c r="C110" s="3117" t="s">
        <v>2723</v>
      </c>
      <c r="D110" s="3091" t="s">
        <v>2724</v>
      </c>
      <c r="E110" s="3117">
        <v>0.15</v>
      </c>
      <c r="F110" s="3117">
        <v>20</v>
      </c>
    </row>
    <row r="111" spans="1:6" ht="13.5">
      <c r="A111" s="3117">
        <v>37</v>
      </c>
      <c r="B111" s="3791"/>
      <c r="C111" s="3117" t="s">
        <v>2725</v>
      </c>
      <c r="D111" s="3091" t="s">
        <v>2726</v>
      </c>
      <c r="E111" s="3117">
        <v>0.15</v>
      </c>
      <c r="F111" s="3117">
        <v>20</v>
      </c>
    </row>
    <row r="112" spans="1:6" ht="13.5">
      <c r="A112" s="3117">
        <v>38</v>
      </c>
      <c r="B112" s="3791"/>
      <c r="C112" s="3117" t="s">
        <v>2727</v>
      </c>
      <c r="D112" s="3091" t="s">
        <v>2728</v>
      </c>
      <c r="E112" s="3117">
        <v>0.1</v>
      </c>
      <c r="F112" s="3117">
        <v>15</v>
      </c>
    </row>
    <row r="113" spans="1:6" ht="24">
      <c r="A113" s="3117">
        <v>39</v>
      </c>
      <c r="B113" s="3791"/>
      <c r="C113" s="3117" t="s">
        <v>2729</v>
      </c>
      <c r="D113" s="3091" t="s">
        <v>2730</v>
      </c>
      <c r="E113" s="3117">
        <v>0.1</v>
      </c>
      <c r="F113" s="3117">
        <v>15</v>
      </c>
    </row>
    <row r="114" spans="1:6" ht="24">
      <c r="A114" s="3117">
        <v>40</v>
      </c>
      <c r="B114" s="3797"/>
      <c r="C114" s="3117" t="s">
        <v>2731</v>
      </c>
      <c r="D114" s="3091" t="s">
        <v>2732</v>
      </c>
      <c r="E114" s="3117">
        <v>0.1</v>
      </c>
      <c r="F114" s="3117">
        <v>15</v>
      </c>
    </row>
    <row r="115" spans="1:6" ht="13.5">
      <c r="A115" s="3117">
        <v>41</v>
      </c>
      <c r="B115" s="3785" t="s">
        <v>2733</v>
      </c>
      <c r="C115" s="3117" t="s">
        <v>2734</v>
      </c>
      <c r="D115" s="3091" t="s">
        <v>2735</v>
      </c>
      <c r="E115" s="3117">
        <v>0.1</v>
      </c>
      <c r="F115" s="3117">
        <v>15</v>
      </c>
    </row>
    <row r="116" spans="1:6" ht="13.5">
      <c r="A116" s="3117">
        <v>42</v>
      </c>
      <c r="B116" s="3785"/>
      <c r="C116" s="3117" t="s">
        <v>2736</v>
      </c>
      <c r="D116" s="3091" t="s">
        <v>2737</v>
      </c>
      <c r="E116" s="3117">
        <v>0.1</v>
      </c>
      <c r="F116" s="3117">
        <v>15</v>
      </c>
    </row>
    <row r="117" spans="1:6" ht="24">
      <c r="A117" s="3117">
        <v>43</v>
      </c>
      <c r="B117" s="3785"/>
      <c r="C117" s="3117" t="s">
        <v>2738</v>
      </c>
      <c r="D117" s="3091" t="s">
        <v>2739</v>
      </c>
      <c r="E117" s="3117">
        <v>0.1</v>
      </c>
      <c r="F117" s="3117">
        <v>15</v>
      </c>
    </row>
    <row r="118" spans="1:6" ht="13.5">
      <c r="A118" s="3117">
        <v>44</v>
      </c>
      <c r="B118" s="3792" t="s">
        <v>2740</v>
      </c>
      <c r="C118" s="3117" t="s">
        <v>2741</v>
      </c>
      <c r="D118" s="3091" t="s">
        <v>2742</v>
      </c>
      <c r="E118" s="3117">
        <v>0.1</v>
      </c>
      <c r="F118" s="3117">
        <v>15</v>
      </c>
    </row>
    <row r="119" spans="1:6" ht="24">
      <c r="A119" s="3117">
        <v>45</v>
      </c>
      <c r="B119" s="3797"/>
      <c r="C119" s="3091" t="s">
        <v>2743</v>
      </c>
      <c r="D119" s="3091" t="s">
        <v>2744</v>
      </c>
      <c r="E119" s="3117">
        <v>0.1</v>
      </c>
      <c r="F119" s="3117">
        <v>15</v>
      </c>
    </row>
    <row r="120" spans="1:6" ht="24">
      <c r="A120" s="3117">
        <v>46</v>
      </c>
      <c r="B120" s="3792" t="s">
        <v>2745</v>
      </c>
      <c r="C120" s="3117" t="s">
        <v>2746</v>
      </c>
      <c r="D120" s="3091" t="s">
        <v>2747</v>
      </c>
      <c r="E120" s="3117">
        <v>0.1</v>
      </c>
      <c r="F120" s="3117">
        <v>15</v>
      </c>
    </row>
    <row r="121" spans="1:6" ht="24">
      <c r="A121" s="3117">
        <v>47</v>
      </c>
      <c r="B121" s="3797"/>
      <c r="C121" s="3117" t="s">
        <v>2748</v>
      </c>
      <c r="D121" s="3091" t="s">
        <v>2749</v>
      </c>
      <c r="E121" s="3117">
        <v>0.1</v>
      </c>
      <c r="F121" s="3117">
        <v>15</v>
      </c>
    </row>
    <row r="122" spans="1:6" ht="13.5">
      <c r="A122" s="3117">
        <v>48</v>
      </c>
      <c r="B122" s="3792" t="s">
        <v>2750</v>
      </c>
      <c r="C122" s="3117" t="s">
        <v>2751</v>
      </c>
      <c r="D122" s="3091" t="s">
        <v>2752</v>
      </c>
      <c r="E122" s="3117">
        <v>0.1</v>
      </c>
      <c r="F122" s="3117">
        <v>15</v>
      </c>
    </row>
    <row r="123" spans="1:6" ht="13.5">
      <c r="A123" s="3117">
        <v>49</v>
      </c>
      <c r="B123" s="3797"/>
      <c r="C123" s="3117" t="s">
        <v>2753</v>
      </c>
      <c r="D123" s="3091" t="s">
        <v>2754</v>
      </c>
      <c r="E123" s="3117">
        <v>0.1</v>
      </c>
      <c r="F123" s="3117">
        <v>15</v>
      </c>
    </row>
    <row r="124" spans="1:6" ht="24">
      <c r="A124" s="3117">
        <v>50</v>
      </c>
      <c r="B124" s="3785" t="s">
        <v>2755</v>
      </c>
      <c r="C124" s="3117" t="s">
        <v>2756</v>
      </c>
      <c r="D124" s="3091" t="s">
        <v>2757</v>
      </c>
      <c r="E124" s="3117">
        <v>0.1</v>
      </c>
      <c r="F124" s="3117">
        <v>15</v>
      </c>
    </row>
    <row r="125" spans="1:6" ht="24">
      <c r="A125" s="3117">
        <v>51</v>
      </c>
      <c r="B125" s="3785"/>
      <c r="C125" s="3117" t="s">
        <v>2758</v>
      </c>
      <c r="D125" s="3091" t="s">
        <v>2759</v>
      </c>
      <c r="E125" s="3117">
        <v>0.1</v>
      </c>
      <c r="F125" s="3117">
        <v>15</v>
      </c>
    </row>
    <row r="126" spans="1:6" ht="24">
      <c r="A126" s="3117">
        <v>52</v>
      </c>
      <c r="B126" s="3785" t="s">
        <v>2760</v>
      </c>
      <c r="C126" s="3117" t="s">
        <v>2761</v>
      </c>
      <c r="D126" s="3091" t="s">
        <v>2762</v>
      </c>
      <c r="E126" s="3117">
        <v>0.1</v>
      </c>
      <c r="F126" s="3117">
        <v>15</v>
      </c>
    </row>
    <row r="127" spans="1:6" ht="24">
      <c r="A127" s="3117">
        <v>53</v>
      </c>
      <c r="B127" s="3785"/>
      <c r="C127" s="3117" t="s">
        <v>2763</v>
      </c>
      <c r="D127" s="3091" t="s">
        <v>2764</v>
      </c>
      <c r="E127" s="3117">
        <v>0.1</v>
      </c>
      <c r="F127" s="3117">
        <v>15</v>
      </c>
    </row>
    <row r="128" spans="1:6" ht="13.5">
      <c r="A128" s="3117">
        <v>54</v>
      </c>
      <c r="B128" s="3117" t="s">
        <v>2765</v>
      </c>
      <c r="C128" s="3117" t="s">
        <v>2766</v>
      </c>
      <c r="D128" s="3091" t="s">
        <v>2767</v>
      </c>
      <c r="E128" s="3117">
        <v>0.1</v>
      </c>
      <c r="F128" s="3117">
        <v>15</v>
      </c>
    </row>
    <row r="129" spans="1:6" ht="13.5">
      <c r="A129" s="3117">
        <v>55</v>
      </c>
      <c r="B129" s="3785" t="s">
        <v>2768</v>
      </c>
      <c r="C129" s="3117" t="s">
        <v>2769</v>
      </c>
      <c r="D129" s="3091" t="s">
        <v>2770</v>
      </c>
      <c r="E129" s="3117">
        <v>0.1</v>
      </c>
      <c r="F129" s="3117">
        <v>15</v>
      </c>
    </row>
    <row r="130" spans="1:6" ht="13.5">
      <c r="A130" s="3117">
        <v>56</v>
      </c>
      <c r="B130" s="3785"/>
      <c r="C130" s="3117" t="s">
        <v>2771</v>
      </c>
      <c r="D130" s="3091" t="s">
        <v>2772</v>
      </c>
      <c r="E130" s="3117">
        <v>0.1</v>
      </c>
      <c r="F130" s="3117">
        <v>15</v>
      </c>
    </row>
    <row r="131" spans="1:6" ht="24">
      <c r="A131" s="3117">
        <v>57</v>
      </c>
      <c r="B131" s="3785"/>
      <c r="C131" s="3117" t="s">
        <v>2773</v>
      </c>
      <c r="D131" s="3091" t="s">
        <v>2774</v>
      </c>
      <c r="E131" s="3117">
        <v>0.1</v>
      </c>
      <c r="F131" s="3117">
        <v>15</v>
      </c>
    </row>
    <row r="132" spans="1:6" ht="24">
      <c r="A132" s="3117">
        <v>58</v>
      </c>
      <c r="B132" s="3785" t="s">
        <v>2775</v>
      </c>
      <c r="C132" s="3117" t="s">
        <v>2776</v>
      </c>
      <c r="D132" s="3091" t="s">
        <v>2777</v>
      </c>
      <c r="E132" s="3117">
        <v>0.1</v>
      </c>
      <c r="F132" s="3117">
        <v>15</v>
      </c>
    </row>
    <row r="133" spans="1:6" ht="13.5">
      <c r="A133" s="3117">
        <v>59</v>
      </c>
      <c r="B133" s="3785"/>
      <c r="C133" s="3117" t="s">
        <v>2778</v>
      </c>
      <c r="D133" s="3091" t="s">
        <v>2779</v>
      </c>
      <c r="E133" s="3117">
        <v>0.1</v>
      </c>
      <c r="F133" s="3117">
        <v>15</v>
      </c>
    </row>
    <row r="134" spans="1:6" ht="13.5">
      <c r="A134" s="3117">
        <v>60</v>
      </c>
      <c r="B134" s="3792" t="s">
        <v>2780</v>
      </c>
      <c r="C134" s="3117" t="s">
        <v>2781</v>
      </c>
      <c r="D134" s="3091" t="s">
        <v>2782</v>
      </c>
      <c r="E134" s="3117">
        <v>0.1</v>
      </c>
      <c r="F134" s="3117">
        <v>15</v>
      </c>
    </row>
    <row r="135" spans="1:6" ht="13.5">
      <c r="A135" s="3117">
        <v>61</v>
      </c>
      <c r="B135" s="3797"/>
      <c r="C135" s="3117" t="s">
        <v>2783</v>
      </c>
      <c r="D135" s="3091" t="s">
        <v>2784</v>
      </c>
      <c r="E135" s="3117">
        <v>0.1</v>
      </c>
      <c r="F135" s="3117">
        <v>15</v>
      </c>
    </row>
    <row r="136" spans="1:6" ht="24">
      <c r="A136" s="3117">
        <v>62</v>
      </c>
      <c r="B136" s="3117" t="s">
        <v>2785</v>
      </c>
      <c r="C136" s="3117" t="s">
        <v>2786</v>
      </c>
      <c r="D136" s="3091" t="s">
        <v>2787</v>
      </c>
      <c r="E136" s="3117">
        <v>0.1</v>
      </c>
      <c r="F136" s="3117">
        <v>15</v>
      </c>
    </row>
    <row r="137" spans="1:6" ht="13.5">
      <c r="A137" s="3117">
        <v>63</v>
      </c>
      <c r="B137" s="3785" t="s">
        <v>2788</v>
      </c>
      <c r="C137" s="3117" t="s">
        <v>2789</v>
      </c>
      <c r="D137" s="3091" t="s">
        <v>2790</v>
      </c>
      <c r="E137" s="3117">
        <v>0.1</v>
      </c>
      <c r="F137" s="3117">
        <v>15</v>
      </c>
    </row>
    <row r="138" spans="1:6" ht="13.5">
      <c r="A138" s="3117">
        <v>64</v>
      </c>
      <c r="B138" s="3785"/>
      <c r="C138" s="3117" t="s">
        <v>2791</v>
      </c>
      <c r="D138" s="3091" t="s">
        <v>2792</v>
      </c>
      <c r="E138" s="3117">
        <v>0.1</v>
      </c>
      <c r="F138" s="3117">
        <v>15</v>
      </c>
    </row>
    <row r="139" spans="1:6" ht="13.5">
      <c r="A139" s="3117">
        <v>65</v>
      </c>
      <c r="B139" s="3117" t="s">
        <v>2793</v>
      </c>
      <c r="C139" s="3117" t="s">
        <v>2794</v>
      </c>
      <c r="D139" s="3091" t="s">
        <v>2795</v>
      </c>
      <c r="E139" s="3117">
        <v>0.1</v>
      </c>
      <c r="F139" s="3117">
        <v>15</v>
      </c>
    </row>
    <row r="140" spans="1:6" ht="13.5">
      <c r="A140" s="3117"/>
      <c r="B140" s="3117"/>
      <c r="C140" s="3117"/>
      <c r="D140" s="3117"/>
      <c r="E140" s="3117" t="s">
        <v>2796</v>
      </c>
      <c r="F140" s="3117"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2797</v>
      </c>
      <c r="B1" s="3126"/>
      <c r="C1" s="3126"/>
      <c r="D1" s="3126"/>
      <c r="E1" s="3126"/>
      <c r="F1" s="3126"/>
      <c r="G1" s="3126"/>
      <c r="H1" s="3126"/>
      <c r="I1" s="3126"/>
      <c r="J1" s="3126"/>
      <c r="K1" s="3126"/>
      <c r="L1" s="3126"/>
      <c r="M1" s="3126"/>
      <c r="N1" s="749"/>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50">
        <f>SUMPRODUCT((A95:A184=ROUNDDOWN(基准地价修正!G3,1))*(B94:M94=基准地价修正!G2)*(B95:M184))</f>
        <v>0</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50">
        <f>SUMPRODUCT((A371:A460=ROUNDDOWN(基准地价修正!G3,1))*(B370:M370=基准地价修正!G2)*(B371:M460))</f>
        <v>0</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33044</v>
      </c>
      <c r="C2" s="2" t="s">
        <v>106</v>
      </c>
      <c r="D2" s="199"/>
      <c r="E2" s="199"/>
      <c r="F2" s="199"/>
      <c r="G2" s="199"/>
    </row>
    <row r="3" spans="1:7" s="200" customFormat="1" ht="18" customHeight="1" thickBot="1">
      <c r="A3" s="203" t="s">
        <v>58</v>
      </c>
      <c r="B3" s="204">
        <f ca="1">ROUND(B2*10000/'数据-汇总表'!E3,0)</f>
        <v>11168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810</v>
      </c>
      <c r="D7" s="220"/>
      <c r="E7" s="218"/>
      <c r="F7" s="221">
        <f>'数据-取费表'!B48+'数据-取费表'!B49</f>
        <v>4.0500000000000001E-2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325</v>
      </c>
      <c r="D10" s="845">
        <f>'数据-汇总表'!E6</f>
        <v>29587.64</v>
      </c>
      <c r="E10" s="225">
        <f>'数据-取费表'!B28</f>
        <v>110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592</v>
      </c>
      <c r="D19" s="849">
        <f>'数据-汇总表'!E3</f>
        <v>29587.64</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999</v>
      </c>
      <c r="D22" s="235">
        <f ca="1">C26</f>
        <v>5.0000000000000001E-4</v>
      </c>
      <c r="E22" s="236" t="s">
        <v>99</v>
      </c>
      <c r="F22" s="237">
        <f ca="1">'数据-取费表'!B40</f>
        <v>3.0599999999999999E-2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27</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1092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1092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25856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7791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6728</v>
      </c>
      <c r="D34" s="217"/>
      <c r="E34" s="220"/>
      <c r="F34" s="257">
        <f>IF('数据-取费表'!B24=0,1,'数据-取费表'!N16)</f>
        <v>1</v>
      </c>
      <c r="G34" s="219" t="s">
        <v>89</v>
      </c>
    </row>
    <row r="35" spans="1:7" ht="13.5" customHeight="1">
      <c r="A35" s="780" t="s">
        <v>351</v>
      </c>
      <c r="B35" s="215" t="s">
        <v>33</v>
      </c>
      <c r="C35" s="220">
        <f>ROUND(C34*F35,0)</f>
        <v>336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592</v>
      </c>
      <c r="D37" s="217">
        <f>'数据-汇总表'!E3</f>
        <v>29587.64</v>
      </c>
      <c r="E37" s="249">
        <f>'数据-取费表'!B35</f>
        <v>200</v>
      </c>
      <c r="F37" s="259"/>
      <c r="G37" s="261" t="s">
        <v>92</v>
      </c>
    </row>
    <row r="38" spans="1:7" ht="13.5" customHeight="1">
      <c r="A38" s="780" t="s">
        <v>354</v>
      </c>
      <c r="B38" s="215" t="s">
        <v>36</v>
      </c>
      <c r="C38" s="220">
        <f>ROUND(C34*F38,0)</f>
        <v>135</v>
      </c>
      <c r="D38" s="220"/>
      <c r="E38" s="220"/>
      <c r="F38" s="259">
        <f>'数据-取费表'!B36</f>
        <v>0.02</v>
      </c>
      <c r="G38" s="219" t="s">
        <v>90</v>
      </c>
    </row>
    <row r="39" spans="1:7" s="214" customFormat="1" ht="13.5" customHeight="1">
      <c r="A39" s="777" t="s">
        <v>338</v>
      </c>
      <c r="B39" s="210" t="s">
        <v>77</v>
      </c>
      <c r="C39" s="232">
        <f>ROUND(C33*F20,0)</f>
        <v>156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178</v>
      </c>
      <c r="D42" s="238"/>
      <c r="E42" s="238"/>
      <c r="F42" s="239"/>
      <c r="G42" s="3660" t="s">
        <v>94</v>
      </c>
    </row>
    <row r="43" spans="1:7" ht="13.5" customHeight="1">
      <c r="A43" s="780" t="s">
        <v>347</v>
      </c>
      <c r="B43" s="215" t="s">
        <v>426</v>
      </c>
      <c r="C43" s="238">
        <f ca="1">ROUND(IF('数据-取费表'!B22&lt;=1,C39*F22*'数据-取费表'!B21/2,C39*(POWER((1+F22),'数据-取费表'!B21/2)-1)),0)</f>
        <v>4</v>
      </c>
      <c r="D43" s="238"/>
      <c r="E43" s="238"/>
      <c r="F43" s="239"/>
      <c r="G43" s="3661"/>
    </row>
    <row r="44" spans="1:7" ht="13.5" customHeight="1">
      <c r="A44" s="780" t="s">
        <v>348</v>
      </c>
      <c r="B44" s="215" t="s">
        <v>428</v>
      </c>
      <c r="C44" s="238">
        <f ca="1">ROUND(IF('数据-取费表'!B22&lt;=1,C40*F22*'数据-取费表'!B21/2,C40*(POWER((1+F22),'数据-取费表'!B21/2)-1)),4)</f>
        <v>5.0000000000000001E-4</v>
      </c>
      <c r="D44" s="238"/>
      <c r="E44" s="238"/>
      <c r="F44" s="239"/>
      <c r="G44" s="3662"/>
    </row>
    <row r="45" spans="1:7" s="214" customFormat="1" ht="13.5" customHeight="1">
      <c r="A45" s="777" t="s">
        <v>341</v>
      </c>
      <c r="B45" s="244" t="s">
        <v>85</v>
      </c>
      <c r="C45" s="245">
        <f>C46</f>
        <v>397</v>
      </c>
      <c r="D45" s="235">
        <f>C47</f>
        <v>1E-3</v>
      </c>
      <c r="E45" s="236" t="s">
        <v>102</v>
      </c>
      <c r="F45" s="246"/>
      <c r="G45" s="247" t="s">
        <v>434</v>
      </c>
    </row>
    <row r="46" spans="1:7" s="214" customFormat="1" ht="13.5" customHeight="1">
      <c r="A46" s="780" t="s">
        <v>349</v>
      </c>
      <c r="B46" s="248" t="s">
        <v>427</v>
      </c>
      <c r="C46" s="249">
        <f>ROUND((C33+C39)*F27,0)</f>
        <v>397</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9216</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7188</v>
      </c>
      <c r="D51" s="232"/>
      <c r="E51" s="232"/>
      <c r="F51" s="264"/>
      <c r="G51" s="234" t="s">
        <v>37</v>
      </c>
    </row>
    <row r="52" spans="1:7" s="208" customFormat="1" ht="16.5" thickBot="1">
      <c r="A52" s="265" t="s">
        <v>38</v>
      </c>
      <c r="B52" s="266"/>
      <c r="C52" s="267">
        <f ca="1">C31+C51</f>
        <v>33044</v>
      </c>
      <c r="D52" s="266"/>
      <c r="E52" s="266"/>
      <c r="F52" s="266"/>
      <c r="G52" s="268"/>
    </row>
    <row r="55" spans="1:7" ht="15">
      <c r="B55" s="270" t="s">
        <v>39</v>
      </c>
      <c r="C55" s="271"/>
    </row>
    <row r="56" spans="1:7">
      <c r="B56" s="273" t="s">
        <v>40</v>
      </c>
      <c r="C56" s="274">
        <f ca="1">ROUND(C51/C52,3)</f>
        <v>0.218</v>
      </c>
    </row>
    <row r="57" spans="1:7">
      <c r="B57" s="273" t="s">
        <v>41</v>
      </c>
      <c r="C57" s="275">
        <f ca="1">1-C56</f>
        <v>0.78200000000000003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2"/>
      <c r="B4" s="3481" t="s">
        <v>917</v>
      </c>
      <c r="C4" s="3481"/>
      <c r="D4" s="3481"/>
      <c r="E4" s="1492"/>
    </row>
    <row r="5" spans="1:5" ht="16.5" thickTop="1">
      <c r="A5" s="1490"/>
      <c r="B5" s="3479" t="s">
        <v>909</v>
      </c>
      <c r="C5" s="1493" t="s">
        <v>910</v>
      </c>
      <c r="D5" s="850">
        <f ca="1">结果表!H101</f>
        <v>10368</v>
      </c>
      <c r="E5" s="1490"/>
    </row>
    <row r="6" spans="1:5" ht="15.75">
      <c r="A6" s="1490"/>
      <c r="B6" s="3479"/>
      <c r="C6" s="1493" t="s">
        <v>911</v>
      </c>
      <c r="D6" s="850" t="str">
        <f ca="1">NUMBERSTRING(INT(D5*10000),2)&amp;"元整"</f>
        <v>壹亿零叁佰陆拾捌万元整</v>
      </c>
      <c r="E6" s="1490"/>
    </row>
    <row r="7" spans="1:5" ht="15.75">
      <c r="A7" s="1490"/>
      <c r="B7" s="3484"/>
      <c r="C7" s="1494" t="s">
        <v>912</v>
      </c>
      <c r="D7" s="851">
        <f ca="1">结果表!H102</f>
        <v>3504</v>
      </c>
      <c r="E7" s="1490"/>
    </row>
    <row r="8" spans="1:5" ht="15.75">
      <c r="A8" s="1490"/>
      <c r="B8" s="3485" t="str">
        <f>结果表!E103</f>
        <v>2.估价师知悉的法定优先受偿款</v>
      </c>
      <c r="C8" s="1495" t="s">
        <v>913</v>
      </c>
      <c r="D8" s="851">
        <f>结果表!H103</f>
        <v>0</v>
      </c>
      <c r="E8" s="1490"/>
    </row>
    <row r="9" spans="1:5" ht="15.75">
      <c r="A9" s="1490"/>
      <c r="B9" s="348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8" t="str">
        <f>结果表!E107</f>
        <v>3.房地产抵押价值</v>
      </c>
      <c r="C13" s="1498" t="s">
        <v>910</v>
      </c>
      <c r="D13" s="853">
        <f ca="1">结果表!H107</f>
        <v>10368</v>
      </c>
      <c r="E13" s="1490"/>
    </row>
    <row r="14" spans="1:5" ht="15.75">
      <c r="A14" s="1490"/>
      <c r="B14" s="3479"/>
      <c r="C14" s="1493" t="s">
        <v>911</v>
      </c>
      <c r="D14" s="850" t="str">
        <f ca="1">NUMBERSTRING(INT(D13*10000),2)&amp;"元整"</f>
        <v>壹亿零叁佰陆拾捌万元整</v>
      </c>
      <c r="E14" s="1490"/>
    </row>
    <row r="15" spans="1:5" ht="15">
      <c r="A15" s="1490"/>
      <c r="B15" s="3484"/>
      <c r="C15" s="1494" t="s">
        <v>921</v>
      </c>
      <c r="D15" s="859">
        <f ca="1">结果表!H108</f>
        <v>3504</v>
      </c>
      <c r="E15" s="1490"/>
    </row>
    <row r="16" spans="1:5" ht="15">
      <c r="A16" s="1490"/>
      <c r="B16" s="3485" t="str">
        <f>结果表!E109</f>
        <v>——</v>
      </c>
      <c r="C16" s="1498" t="s">
        <v>922</v>
      </c>
      <c r="D16" s="1499" t="str">
        <f>结果表!H109</f>
        <v>——</v>
      </c>
      <c r="E16" s="1490"/>
    </row>
    <row r="17" spans="1:5" ht="15.75">
      <c r="A17" s="1490"/>
      <c r="B17" s="3486"/>
      <c r="C17" s="1493" t="s">
        <v>923</v>
      </c>
      <c r="D17" s="850" t="e">
        <f>NUMBERSTRING(INT(D16*10000),2)&amp;"元整"</f>
        <v>#VALUE!</v>
      </c>
      <c r="E17" s="1490"/>
    </row>
    <row r="18" spans="1:5" ht="15">
      <c r="A18" s="1490"/>
      <c r="B18" s="3487"/>
      <c r="C18" s="1494" t="s">
        <v>912</v>
      </c>
      <c r="D18" s="859" t="str">
        <f>结果表!H110</f>
        <v>——</v>
      </c>
      <c r="E18" s="1490"/>
    </row>
    <row r="19" spans="1:5" ht="15.75">
      <c r="A19" s="1490"/>
      <c r="B19" s="3478" t="str">
        <f>结果表!E111</f>
        <v>——</v>
      </c>
      <c r="C19" s="1498" t="s">
        <v>910</v>
      </c>
      <c r="D19" s="851" t="str">
        <f>结果表!H111</f>
        <v>——</v>
      </c>
      <c r="E19" s="1490"/>
    </row>
    <row r="20" spans="1:5" ht="15.75">
      <c r="A20" s="1490"/>
      <c r="B20" s="3479"/>
      <c r="C20" s="1493" t="s">
        <v>923</v>
      </c>
      <c r="D20" s="850" t="e">
        <f>NUMBERSTRING(INT(D19*10000),2)&amp;"元整"</f>
        <v>#VALUE!</v>
      </c>
      <c r="E20" s="1490"/>
    </row>
    <row r="21" spans="1:5" ht="15.75" thickBot="1">
      <c r="A21" s="1490"/>
      <c r="B21" s="3480"/>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3180</v>
      </c>
      <c r="B1" s="3798"/>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3231</v>
      </c>
      <c r="B1" s="3799"/>
      <c r="C1" s="3799"/>
      <c r="D1" s="3799"/>
      <c r="E1" s="3799"/>
      <c r="F1" s="3800"/>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45941</v>
      </c>
      <c r="B1" s="3209" t="s">
        <v>3375</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3402</v>
      </c>
      <c r="AG2" t="s">
        <v>673</v>
      </c>
      <c r="AH2" t="s">
        <v>21</v>
      </c>
      <c r="AI2" t="s">
        <v>3403</v>
      </c>
      <c r="AJ2" t="s">
        <v>3</v>
      </c>
      <c r="AK2" t="s">
        <v>3404</v>
      </c>
      <c r="AM2" t="s">
        <v>3402</v>
      </c>
      <c r="AN2" t="s">
        <v>673</v>
      </c>
      <c r="AO2" t="s">
        <v>21</v>
      </c>
      <c r="AP2" t="s">
        <v>3403</v>
      </c>
      <c r="AQ2" t="s">
        <v>3</v>
      </c>
      <c r="AR2" t="s">
        <v>3404</v>
      </c>
    </row>
    <row r="3" spans="1:44" s="3160" customFormat="1" ht="12.75">
      <c r="A3" s="3148" t="s">
        <v>2818</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3401</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4" t="s">
        <v>3400</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3399</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3407</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4" t="s">
        <v>3406</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4" t="s">
        <v>3379</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3373</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3372</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3368</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3367</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3365</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3364</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3363</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3361</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3352</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3378</v>
      </c>
    </row>
    <row r="27" spans="1:44" s="3008" customFormat="1">
      <c r="I27" s="3207" t="s">
        <v>2824</v>
      </c>
    </row>
    <row r="28" spans="1:44" s="3008" customFormat="1"/>
    <row r="29" spans="1:44" s="3208" customFormat="1" ht="12.75">
      <c r="B29" s="3209" t="s">
        <v>3376</v>
      </c>
      <c r="C29" s="3210"/>
      <c r="D29" s="3210"/>
      <c r="E29" s="3210"/>
      <c r="F29" s="3210"/>
      <c r="G29" s="3210"/>
      <c r="H29" s="3210"/>
      <c r="I29" s="3210"/>
      <c r="J29" s="3164"/>
      <c r="K29" s="3210" t="s">
        <v>2825</v>
      </c>
      <c r="L29" s="3210"/>
      <c r="M29" s="3210"/>
      <c r="N29" s="3210"/>
      <c r="O29" s="3210"/>
      <c r="P29" s="3210"/>
      <c r="Q29" s="3164"/>
      <c r="R29" s="3801" t="s">
        <v>2826</v>
      </c>
      <c r="S29" s="3802"/>
      <c r="T29" s="3802"/>
      <c r="U29" s="3802"/>
      <c r="V29" s="3802"/>
      <c r="W29" s="3802"/>
      <c r="X29" s="3164"/>
      <c r="Y29" s="3801" t="s">
        <v>2827</v>
      </c>
      <c r="Z29" s="3802"/>
      <c r="AA29" s="3802"/>
      <c r="AB29" s="3802"/>
      <c r="AC29" s="3802"/>
      <c r="AD29" s="3802"/>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3403</v>
      </c>
      <c r="AJ30"/>
      <c r="AK30" t="s">
        <v>3404</v>
      </c>
      <c r="AN30" t="s">
        <v>673</v>
      </c>
      <c r="AO30" t="s">
        <v>21</v>
      </c>
      <c r="AP30" t="s">
        <v>3403</v>
      </c>
      <c r="AQ30"/>
      <c r="AR30" t="s">
        <v>3404</v>
      </c>
    </row>
    <row r="31" spans="1:44" s="3160" customFormat="1" ht="12.75">
      <c r="A31" s="3148" t="s">
        <v>2833</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3401</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4" t="s">
        <v>3400</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3408</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3405</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4" t="s">
        <v>3406</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4" t="s">
        <v>3370</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3374</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3371</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3369</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3367</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3366</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3364</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3363</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3362</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3352</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6" t="s">
        <v>2838</v>
      </c>
      <c r="B1" s="3816"/>
      <c r="C1" s="3816"/>
      <c r="D1" s="3816"/>
      <c r="E1" s="3816"/>
      <c r="F1" s="3816"/>
      <c r="G1" s="3817"/>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814"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815"/>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45941</v>
      </c>
      <c r="D1" s="1301" t="s">
        <v>603</v>
      </c>
      <c r="E1" s="1296">
        <f>'数据-取费表'!B22</f>
        <v>1.5</v>
      </c>
      <c r="F1" s="1301" t="s">
        <v>604</v>
      </c>
      <c r="G1" s="1297">
        <f ca="1">IF(OR(C1&lt;C27,E1&lt;=1),INDIRECT("d"&amp;$K$1)/100,ROUND((D5+(E1-C5)*(D7-D5)/(C7-C5))/100,4))</f>
        <v>3.0599999999999999E-2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2308</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topLeftCell="F1" workbookViewId="0">
      <selection activeCell="N1" sqref="A1:XFD1"/>
    </sheetView>
  </sheetViews>
  <sheetFormatPr defaultColWidth="21.875" defaultRowHeight="13.5"/>
  <cols>
    <col min="1" max="1" width="34.125" customWidth="1"/>
    <col min="2" max="2" width="9.875" customWidth="1"/>
    <col min="3" max="3" width="14.25" customWidth="1"/>
    <col min="4" max="4" width="16" customWidth="1"/>
    <col min="5" max="5" width="17.625" customWidth="1"/>
    <col min="6" max="8" width="9.875" customWidth="1"/>
    <col min="9" max="9" width="28.75" customWidth="1"/>
    <col min="10" max="10" width="9.125" customWidth="1"/>
    <col min="12" max="12" width="10.375" customWidth="1"/>
    <col min="16" max="16" width="13.625" customWidth="1"/>
    <col min="17" max="17" width="17.5" customWidth="1"/>
    <col min="18" max="18" width="17.375" customWidth="1"/>
    <col min="19" max="19" width="17.625" customWidth="1"/>
  </cols>
  <sheetData>
    <row r="1" spans="1:20">
      <c r="A1" t="s">
        <v>3439</v>
      </c>
      <c r="B1" t="s">
        <v>3440</v>
      </c>
      <c r="C1" t="s">
        <v>3441</v>
      </c>
      <c r="D1" t="s">
        <v>3442</v>
      </c>
      <c r="E1" t="s">
        <v>3443</v>
      </c>
      <c r="F1" t="s">
        <v>3444</v>
      </c>
      <c r="G1" t="s">
        <v>3445</v>
      </c>
      <c r="H1" t="s">
        <v>3446</v>
      </c>
      <c r="I1" t="s">
        <v>3447</v>
      </c>
      <c r="J1" t="s">
        <v>3448</v>
      </c>
      <c r="K1" t="s">
        <v>3449</v>
      </c>
      <c r="L1" t="s">
        <v>3450</v>
      </c>
      <c r="M1" t="s">
        <v>3451</v>
      </c>
      <c r="N1" t="s">
        <v>3452</v>
      </c>
      <c r="O1" t="s">
        <v>3453</v>
      </c>
      <c r="P1" t="s">
        <v>3454</v>
      </c>
      <c r="Q1" t="s">
        <v>3455</v>
      </c>
      <c r="R1" t="s">
        <v>3456</v>
      </c>
      <c r="S1" t="s">
        <v>3457</v>
      </c>
      <c r="T1" t="s">
        <v>3458</v>
      </c>
    </row>
    <row r="2" spans="1:20">
      <c r="A2" t="s">
        <v>3475</v>
      </c>
      <c r="B2" t="s">
        <v>3460</v>
      </c>
      <c r="C2" t="s">
        <v>3476</v>
      </c>
      <c r="D2">
        <v>30089</v>
      </c>
      <c r="E2">
        <v>60178</v>
      </c>
      <c r="F2" t="s">
        <v>2478</v>
      </c>
      <c r="G2" t="s">
        <v>2478</v>
      </c>
      <c r="H2" t="s">
        <v>3462</v>
      </c>
      <c r="I2" t="s">
        <v>3463</v>
      </c>
      <c r="J2" t="s">
        <v>3464</v>
      </c>
      <c r="K2" t="s">
        <v>3472</v>
      </c>
      <c r="L2" t="s">
        <v>3467</v>
      </c>
      <c r="M2" t="s">
        <v>3473</v>
      </c>
      <c r="N2">
        <v>3100</v>
      </c>
      <c r="O2" t="s">
        <v>3474</v>
      </c>
      <c r="P2">
        <v>3125</v>
      </c>
      <c r="Q2">
        <v>1038.58</v>
      </c>
      <c r="R2">
        <v>69.239999999999995</v>
      </c>
      <c r="S2">
        <v>519</v>
      </c>
      <c r="T2">
        <v>0.81</v>
      </c>
    </row>
    <row r="3" spans="1:20">
      <c r="A3" t="s">
        <v>3499</v>
      </c>
      <c r="B3" t="s">
        <v>3460</v>
      </c>
      <c r="C3" t="s">
        <v>3500</v>
      </c>
      <c r="D3">
        <v>15655</v>
      </c>
      <c r="E3">
        <v>31310</v>
      </c>
      <c r="F3" t="s">
        <v>2478</v>
      </c>
      <c r="G3" t="s">
        <v>2478</v>
      </c>
      <c r="H3" t="s">
        <v>3462</v>
      </c>
      <c r="I3" t="s">
        <v>3496</v>
      </c>
      <c r="J3" t="s">
        <v>3464</v>
      </c>
      <c r="K3" t="s">
        <v>3501</v>
      </c>
      <c r="L3" t="s">
        <v>3467</v>
      </c>
      <c r="M3" t="s">
        <v>3502</v>
      </c>
      <c r="N3">
        <v>1610</v>
      </c>
      <c r="O3" t="s">
        <v>3503</v>
      </c>
      <c r="P3">
        <v>1620</v>
      </c>
      <c r="Q3">
        <v>1034.81</v>
      </c>
      <c r="R3">
        <v>68.989999999999995</v>
      </c>
      <c r="S3">
        <v>517</v>
      </c>
      <c r="T3">
        <v>0.62</v>
      </c>
    </row>
    <row r="4" spans="1:20">
      <c r="A4" t="s">
        <v>3499</v>
      </c>
      <c r="B4" t="s">
        <v>3460</v>
      </c>
      <c r="C4" t="s">
        <v>3504</v>
      </c>
      <c r="D4">
        <v>34739</v>
      </c>
      <c r="E4">
        <v>69478</v>
      </c>
      <c r="F4" t="s">
        <v>2478</v>
      </c>
      <c r="G4" t="s">
        <v>2478</v>
      </c>
      <c r="H4" t="s">
        <v>3462</v>
      </c>
      <c r="I4" t="s">
        <v>3505</v>
      </c>
      <c r="J4" t="s">
        <v>3464</v>
      </c>
      <c r="K4" t="s">
        <v>3506</v>
      </c>
      <c r="L4" t="s">
        <v>3467</v>
      </c>
      <c r="M4" t="s">
        <v>3507</v>
      </c>
      <c r="N4">
        <v>3560</v>
      </c>
      <c r="O4" t="s">
        <v>3508</v>
      </c>
      <c r="P4">
        <v>3585</v>
      </c>
      <c r="Q4">
        <v>1031.98</v>
      </c>
      <c r="R4">
        <v>68.8</v>
      </c>
      <c r="S4">
        <v>516</v>
      </c>
      <c r="T4">
        <v>0.7</v>
      </c>
    </row>
    <row r="5" spans="1:20">
      <c r="A5" t="s">
        <v>3439</v>
      </c>
      <c r="B5" t="s">
        <v>3440</v>
      </c>
      <c r="C5" t="s">
        <v>3441</v>
      </c>
      <c r="D5" t="s">
        <v>3442</v>
      </c>
      <c r="E5" t="s">
        <v>3443</v>
      </c>
      <c r="F5" t="s">
        <v>3444</v>
      </c>
      <c r="G5" t="s">
        <v>3445</v>
      </c>
      <c r="H5" t="s">
        <v>3446</v>
      </c>
      <c r="I5" t="s">
        <v>3447</v>
      </c>
      <c r="J5" t="s">
        <v>3448</v>
      </c>
      <c r="K5" t="s">
        <v>3449</v>
      </c>
      <c r="L5" t="s">
        <v>3450</v>
      </c>
      <c r="M5" t="s">
        <v>3451</v>
      </c>
      <c r="N5" t="s">
        <v>3452</v>
      </c>
      <c r="O5" t="s">
        <v>3453</v>
      </c>
      <c r="P5" t="s">
        <v>3454</v>
      </c>
      <c r="Q5" t="s">
        <v>3455</v>
      </c>
      <c r="R5" t="s">
        <v>3456</v>
      </c>
      <c r="S5" t="s">
        <v>3457</v>
      </c>
      <c r="T5" t="s">
        <v>3458</v>
      </c>
    </row>
    <row r="6" spans="1:20">
      <c r="A6" t="s">
        <v>3459</v>
      </c>
      <c r="B6" t="s">
        <v>3460</v>
      </c>
      <c r="C6" t="s">
        <v>3461</v>
      </c>
      <c r="D6">
        <v>38632</v>
      </c>
      <c r="E6">
        <v>77264</v>
      </c>
      <c r="F6" t="s">
        <v>2478</v>
      </c>
      <c r="G6" t="s">
        <v>2478</v>
      </c>
      <c r="H6" t="s">
        <v>3462</v>
      </c>
      <c r="I6" t="s">
        <v>3463</v>
      </c>
      <c r="J6" t="s">
        <v>3464</v>
      </c>
      <c r="K6" t="s">
        <v>3466</v>
      </c>
      <c r="L6" t="s">
        <v>3467</v>
      </c>
      <c r="M6" t="s">
        <v>3468</v>
      </c>
      <c r="N6">
        <v>3600</v>
      </c>
      <c r="O6" t="s">
        <v>3469</v>
      </c>
      <c r="P6">
        <v>3630</v>
      </c>
      <c r="Q6">
        <v>939.63</v>
      </c>
      <c r="R6">
        <v>62.64</v>
      </c>
      <c r="S6">
        <v>470</v>
      </c>
      <c r="T6">
        <v>0.83</v>
      </c>
    </row>
    <row r="7" spans="1:20">
      <c r="A7" t="s">
        <v>3470</v>
      </c>
      <c r="B7" t="s">
        <v>3460</v>
      </c>
      <c r="C7" t="s">
        <v>3471</v>
      </c>
      <c r="D7">
        <v>21000</v>
      </c>
      <c r="E7">
        <v>42000</v>
      </c>
      <c r="F7" t="s">
        <v>2478</v>
      </c>
      <c r="G7" t="s">
        <v>2478</v>
      </c>
      <c r="H7" t="s">
        <v>3462</v>
      </c>
      <c r="I7" t="s">
        <v>3463</v>
      </c>
      <c r="J7" t="s">
        <v>3464</v>
      </c>
      <c r="K7" t="s">
        <v>3472</v>
      </c>
      <c r="L7" t="s">
        <v>3467</v>
      </c>
      <c r="M7" t="s">
        <v>3473</v>
      </c>
      <c r="N7">
        <v>2160</v>
      </c>
      <c r="O7" t="s">
        <v>3474</v>
      </c>
      <c r="P7">
        <v>2175</v>
      </c>
      <c r="Q7">
        <v>1035.71</v>
      </c>
      <c r="R7">
        <v>69.05</v>
      </c>
      <c r="S7">
        <v>518</v>
      </c>
      <c r="T7">
        <v>0.69</v>
      </c>
    </row>
    <row r="8" spans="1:20">
      <c r="A8" t="s">
        <v>3475</v>
      </c>
      <c r="B8" t="s">
        <v>3460</v>
      </c>
      <c r="C8" t="s">
        <v>3476</v>
      </c>
      <c r="D8">
        <v>30089</v>
      </c>
      <c r="E8">
        <v>60178</v>
      </c>
      <c r="F8" t="s">
        <v>2478</v>
      </c>
      <c r="G8" t="s">
        <v>2478</v>
      </c>
      <c r="H8" t="s">
        <v>3462</v>
      </c>
      <c r="I8" t="s">
        <v>3463</v>
      </c>
      <c r="J8" t="s">
        <v>3464</v>
      </c>
      <c r="K8" t="s">
        <v>3472</v>
      </c>
      <c r="L8" t="s">
        <v>3467</v>
      </c>
      <c r="M8" t="s">
        <v>3473</v>
      </c>
      <c r="N8">
        <v>3100</v>
      </c>
      <c r="O8" t="s">
        <v>3474</v>
      </c>
      <c r="P8">
        <v>3125</v>
      </c>
      <c r="Q8">
        <v>1038.58</v>
      </c>
      <c r="R8">
        <v>69.239999999999995</v>
      </c>
      <c r="S8">
        <v>519</v>
      </c>
      <c r="T8">
        <v>0.81</v>
      </c>
    </row>
    <row r="9" spans="1:20">
      <c r="A9" t="s">
        <v>3477</v>
      </c>
      <c r="B9" t="s">
        <v>3460</v>
      </c>
      <c r="C9" t="s">
        <v>3478</v>
      </c>
      <c r="D9">
        <v>11643</v>
      </c>
      <c r="E9">
        <v>23286</v>
      </c>
      <c r="F9" t="s">
        <v>2478</v>
      </c>
      <c r="G9" t="s">
        <v>2478</v>
      </c>
      <c r="H9" t="s">
        <v>3462</v>
      </c>
      <c r="I9" t="s">
        <v>3479</v>
      </c>
      <c r="J9" t="s">
        <v>3464</v>
      </c>
      <c r="K9" t="s">
        <v>3480</v>
      </c>
      <c r="L9" t="s">
        <v>3467</v>
      </c>
      <c r="M9" t="s">
        <v>3481</v>
      </c>
      <c r="N9">
        <v>1090</v>
      </c>
      <c r="O9" t="s">
        <v>3482</v>
      </c>
      <c r="P9">
        <v>1100</v>
      </c>
      <c r="Q9">
        <v>944.77</v>
      </c>
      <c r="R9">
        <v>62.98</v>
      </c>
      <c r="S9">
        <v>472</v>
      </c>
      <c r="T9">
        <v>0.92</v>
      </c>
    </row>
    <row r="10" spans="1:20">
      <c r="A10" t="s">
        <v>3483</v>
      </c>
      <c r="B10" t="s">
        <v>3460</v>
      </c>
      <c r="C10" t="s">
        <v>3484</v>
      </c>
      <c r="D10">
        <v>11293</v>
      </c>
      <c r="E10">
        <v>22586</v>
      </c>
      <c r="F10" t="s">
        <v>2478</v>
      </c>
      <c r="G10" t="s">
        <v>2478</v>
      </c>
      <c r="H10" t="s">
        <v>3462</v>
      </c>
      <c r="I10" t="s">
        <v>3479</v>
      </c>
      <c r="J10" t="s">
        <v>3464</v>
      </c>
      <c r="K10" t="s">
        <v>3480</v>
      </c>
      <c r="L10" t="s">
        <v>3467</v>
      </c>
      <c r="M10" t="s">
        <v>3485</v>
      </c>
      <c r="N10">
        <v>1055</v>
      </c>
      <c r="O10" t="s">
        <v>3482</v>
      </c>
      <c r="P10">
        <v>1065</v>
      </c>
      <c r="Q10">
        <v>943.06</v>
      </c>
      <c r="R10">
        <v>62.87</v>
      </c>
      <c r="S10">
        <v>472</v>
      </c>
      <c r="T10">
        <v>0.95</v>
      </c>
    </row>
    <row r="11" spans="1:20">
      <c r="A11" t="s">
        <v>3486</v>
      </c>
      <c r="B11" t="s">
        <v>3460</v>
      </c>
      <c r="C11" t="s">
        <v>3487</v>
      </c>
      <c r="D11">
        <v>7388</v>
      </c>
      <c r="E11">
        <v>14776</v>
      </c>
      <c r="F11" t="s">
        <v>2478</v>
      </c>
      <c r="G11" t="s">
        <v>2478</v>
      </c>
      <c r="H11" t="s">
        <v>3462</v>
      </c>
      <c r="I11" t="s">
        <v>3479</v>
      </c>
      <c r="J11" t="s">
        <v>3464</v>
      </c>
      <c r="K11" t="s">
        <v>3488</v>
      </c>
      <c r="L11" t="s">
        <v>3467</v>
      </c>
      <c r="M11" t="s">
        <v>3489</v>
      </c>
      <c r="N11">
        <v>690</v>
      </c>
      <c r="O11" t="s">
        <v>3490</v>
      </c>
      <c r="P11">
        <v>695</v>
      </c>
      <c r="Q11">
        <v>940.71</v>
      </c>
      <c r="R11">
        <v>62.71</v>
      </c>
      <c r="S11">
        <v>470</v>
      </c>
      <c r="T11">
        <v>0.72</v>
      </c>
    </row>
    <row r="12" spans="1:20">
      <c r="A12" t="s">
        <v>3491</v>
      </c>
      <c r="B12" t="s">
        <v>3460</v>
      </c>
      <c r="C12" t="s">
        <v>3492</v>
      </c>
      <c r="D12">
        <v>33105</v>
      </c>
      <c r="E12">
        <v>66210</v>
      </c>
      <c r="F12" t="s">
        <v>2478</v>
      </c>
      <c r="G12" t="s">
        <v>2478</v>
      </c>
      <c r="H12" t="s">
        <v>3462</v>
      </c>
      <c r="I12" t="s">
        <v>3479</v>
      </c>
      <c r="J12" t="s">
        <v>3464</v>
      </c>
      <c r="K12" t="s">
        <v>3493</v>
      </c>
      <c r="L12" t="s">
        <v>3467</v>
      </c>
      <c r="M12" t="s">
        <v>3481</v>
      </c>
      <c r="N12">
        <v>3100</v>
      </c>
      <c r="O12" t="s">
        <v>3494</v>
      </c>
      <c r="P12">
        <v>3125</v>
      </c>
      <c r="Q12">
        <v>943.96</v>
      </c>
      <c r="R12">
        <v>62.93</v>
      </c>
      <c r="S12">
        <v>472</v>
      </c>
      <c r="T12">
        <v>0.81</v>
      </c>
    </row>
    <row r="13" spans="1:20" ht="15" customHeight="1">
      <c r="A13" t="s">
        <v>3459</v>
      </c>
      <c r="B13" t="s">
        <v>3460</v>
      </c>
      <c r="C13" t="s">
        <v>3495</v>
      </c>
      <c r="D13">
        <v>76977</v>
      </c>
      <c r="E13">
        <v>153954</v>
      </c>
      <c r="F13" t="s">
        <v>2478</v>
      </c>
      <c r="G13" t="s">
        <v>2478</v>
      </c>
      <c r="H13" t="s">
        <v>3462</v>
      </c>
      <c r="I13" t="s">
        <v>3496</v>
      </c>
      <c r="J13" t="s">
        <v>3464</v>
      </c>
      <c r="K13" t="s">
        <v>3497</v>
      </c>
      <c r="L13" t="s">
        <v>3467</v>
      </c>
      <c r="M13" t="s">
        <v>3468</v>
      </c>
      <c r="N13">
        <v>7200</v>
      </c>
      <c r="O13" t="s">
        <v>3498</v>
      </c>
      <c r="P13">
        <v>7260</v>
      </c>
      <c r="Q13">
        <v>943.13</v>
      </c>
      <c r="R13">
        <v>62.88</v>
      </c>
      <c r="S13">
        <v>472</v>
      </c>
      <c r="T13">
        <v>0.83</v>
      </c>
    </row>
    <row r="14" spans="1:20">
      <c r="A14" t="s">
        <v>3499</v>
      </c>
      <c r="B14" t="s">
        <v>3460</v>
      </c>
      <c r="C14" t="s">
        <v>3500</v>
      </c>
      <c r="D14">
        <v>15655</v>
      </c>
      <c r="E14">
        <v>31310</v>
      </c>
      <c r="F14" t="s">
        <v>2478</v>
      </c>
      <c r="G14" t="s">
        <v>2478</v>
      </c>
      <c r="H14" t="s">
        <v>3462</v>
      </c>
      <c r="I14" t="s">
        <v>3496</v>
      </c>
      <c r="J14" t="s">
        <v>3464</v>
      </c>
      <c r="K14" t="s">
        <v>3501</v>
      </c>
      <c r="L14" t="s">
        <v>3467</v>
      </c>
      <c r="M14" t="s">
        <v>3502</v>
      </c>
      <c r="N14">
        <v>1610</v>
      </c>
      <c r="O14" t="s">
        <v>3503</v>
      </c>
      <c r="P14">
        <v>1620</v>
      </c>
      <c r="Q14">
        <v>1034.81</v>
      </c>
      <c r="R14">
        <v>68.989999999999995</v>
      </c>
      <c r="S14">
        <v>517</v>
      </c>
      <c r="T14">
        <v>0.62</v>
      </c>
    </row>
    <row r="15" spans="1:20">
      <c r="A15" t="s">
        <v>3499</v>
      </c>
      <c r="B15" t="s">
        <v>3460</v>
      </c>
      <c r="C15" t="s">
        <v>3504</v>
      </c>
      <c r="D15">
        <v>34739</v>
      </c>
      <c r="E15">
        <v>69478</v>
      </c>
      <c r="F15" t="s">
        <v>2478</v>
      </c>
      <c r="G15" t="s">
        <v>2478</v>
      </c>
      <c r="H15" t="s">
        <v>3462</v>
      </c>
      <c r="I15" t="s">
        <v>3505</v>
      </c>
      <c r="J15" t="s">
        <v>3464</v>
      </c>
      <c r="K15" t="s">
        <v>3506</v>
      </c>
      <c r="L15" t="s">
        <v>3467</v>
      </c>
      <c r="M15" t="s">
        <v>3507</v>
      </c>
      <c r="N15">
        <v>3560</v>
      </c>
      <c r="O15" t="s">
        <v>3508</v>
      </c>
      <c r="P15">
        <v>3585</v>
      </c>
      <c r="Q15">
        <v>1031.98</v>
      </c>
      <c r="R15">
        <v>68.8</v>
      </c>
      <c r="S15">
        <v>516</v>
      </c>
      <c r="T15">
        <v>0.7</v>
      </c>
    </row>
    <row r="16" spans="1:20">
      <c r="A16" t="s">
        <v>3509</v>
      </c>
      <c r="B16" t="s">
        <v>3460</v>
      </c>
      <c r="C16" t="s">
        <v>3510</v>
      </c>
      <c r="D16">
        <v>10943</v>
      </c>
      <c r="E16">
        <v>21886</v>
      </c>
      <c r="F16" t="s">
        <v>2478</v>
      </c>
      <c r="G16" t="s">
        <v>2478</v>
      </c>
      <c r="H16" t="s">
        <v>3462</v>
      </c>
      <c r="I16" t="s">
        <v>3505</v>
      </c>
      <c r="J16" t="s">
        <v>3464</v>
      </c>
      <c r="K16" t="s">
        <v>3506</v>
      </c>
      <c r="L16" t="s">
        <v>3467</v>
      </c>
      <c r="M16" t="s">
        <v>3511</v>
      </c>
      <c r="N16">
        <v>1020</v>
      </c>
      <c r="O16" t="s">
        <v>3508</v>
      </c>
      <c r="P16">
        <v>1030</v>
      </c>
      <c r="Q16">
        <v>941.24</v>
      </c>
      <c r="R16">
        <v>62.75</v>
      </c>
      <c r="S16">
        <v>471</v>
      </c>
      <c r="T16">
        <v>0.98</v>
      </c>
    </row>
    <row r="17" spans="1:20">
      <c r="A17" t="s">
        <v>3512</v>
      </c>
      <c r="B17" t="s">
        <v>3460</v>
      </c>
      <c r="C17" t="s">
        <v>3513</v>
      </c>
      <c r="D17">
        <v>46040</v>
      </c>
      <c r="E17">
        <v>92080</v>
      </c>
      <c r="F17" t="s">
        <v>2478</v>
      </c>
      <c r="G17" t="s">
        <v>2478</v>
      </c>
      <c r="H17" t="s">
        <v>3462</v>
      </c>
      <c r="I17" t="s">
        <v>3505</v>
      </c>
      <c r="J17" t="s">
        <v>3464</v>
      </c>
      <c r="K17" t="s">
        <v>3514</v>
      </c>
      <c r="L17" t="s">
        <v>3467</v>
      </c>
      <c r="M17" t="s">
        <v>3485</v>
      </c>
      <c r="N17">
        <v>4300</v>
      </c>
      <c r="O17" t="s">
        <v>3515</v>
      </c>
      <c r="P17">
        <v>4335</v>
      </c>
      <c r="Q17">
        <v>941.57</v>
      </c>
      <c r="R17">
        <v>62.77</v>
      </c>
      <c r="S17">
        <v>471</v>
      </c>
      <c r="T17">
        <v>0.81</v>
      </c>
    </row>
    <row r="18" spans="1:20">
      <c r="A18" t="s">
        <v>3516</v>
      </c>
      <c r="B18" t="s">
        <v>3460</v>
      </c>
      <c r="C18" t="s">
        <v>3517</v>
      </c>
      <c r="D18">
        <v>29882</v>
      </c>
      <c r="E18">
        <v>59764</v>
      </c>
      <c r="F18" t="s">
        <v>2478</v>
      </c>
      <c r="G18" t="s">
        <v>2478</v>
      </c>
      <c r="H18" t="s">
        <v>3462</v>
      </c>
      <c r="I18" t="s">
        <v>3496</v>
      </c>
      <c r="J18" t="s">
        <v>3464</v>
      </c>
      <c r="K18" t="s">
        <v>3518</v>
      </c>
      <c r="L18" t="s">
        <v>3467</v>
      </c>
      <c r="M18" t="s">
        <v>3519</v>
      </c>
      <c r="N18">
        <v>2750</v>
      </c>
      <c r="O18" t="s">
        <v>3520</v>
      </c>
      <c r="P18">
        <v>2770</v>
      </c>
      <c r="Q18">
        <v>926.97</v>
      </c>
      <c r="R18">
        <v>61.8</v>
      </c>
      <c r="S18">
        <v>463</v>
      </c>
      <c r="T18">
        <v>0.73</v>
      </c>
    </row>
    <row r="19" spans="1:20">
      <c r="A19" t="s">
        <v>3521</v>
      </c>
      <c r="B19" t="s">
        <v>3460</v>
      </c>
      <c r="C19" t="s">
        <v>3522</v>
      </c>
      <c r="D19">
        <v>19203</v>
      </c>
      <c r="E19">
        <v>23043.599999999999</v>
      </c>
      <c r="F19" t="s">
        <v>2478</v>
      </c>
      <c r="G19" t="s">
        <v>2478</v>
      </c>
      <c r="H19" t="s">
        <v>3462</v>
      </c>
      <c r="I19" t="s">
        <v>3523</v>
      </c>
      <c r="J19" t="s">
        <v>3464</v>
      </c>
      <c r="K19" t="s">
        <v>3524</v>
      </c>
      <c r="L19" t="s">
        <v>3467</v>
      </c>
      <c r="M19" t="s">
        <v>3525</v>
      </c>
      <c r="N19">
        <v>1670</v>
      </c>
      <c r="O19" t="s">
        <v>3526</v>
      </c>
      <c r="P19">
        <v>1685</v>
      </c>
      <c r="Q19">
        <v>877.46</v>
      </c>
      <c r="R19">
        <v>58.5</v>
      </c>
      <c r="S19">
        <v>731</v>
      </c>
      <c r="T19">
        <v>0.9</v>
      </c>
    </row>
    <row r="20" spans="1:20">
      <c r="A20" t="s">
        <v>3527</v>
      </c>
      <c r="B20" t="s">
        <v>3460</v>
      </c>
      <c r="C20" t="s">
        <v>3528</v>
      </c>
      <c r="D20">
        <v>53884</v>
      </c>
      <c r="E20">
        <v>107768</v>
      </c>
      <c r="F20" t="s">
        <v>2478</v>
      </c>
      <c r="G20" t="s">
        <v>2478</v>
      </c>
      <c r="H20" t="s">
        <v>3462</v>
      </c>
      <c r="I20" t="s">
        <v>3496</v>
      </c>
      <c r="J20" t="s">
        <v>3464</v>
      </c>
      <c r="K20" t="s">
        <v>3529</v>
      </c>
      <c r="L20" t="s">
        <v>3467</v>
      </c>
      <c r="M20" t="s">
        <v>3530</v>
      </c>
      <c r="N20">
        <v>4880</v>
      </c>
      <c r="O20" t="s">
        <v>3531</v>
      </c>
      <c r="P20">
        <v>4920</v>
      </c>
      <c r="Q20">
        <v>913.07</v>
      </c>
      <c r="R20">
        <v>60.87</v>
      </c>
      <c r="S20">
        <v>457</v>
      </c>
      <c r="T20">
        <v>0.82</v>
      </c>
    </row>
    <row r="21" spans="1:20">
      <c r="A21" t="s">
        <v>3532</v>
      </c>
      <c r="B21" t="s">
        <v>3460</v>
      </c>
      <c r="C21" t="s">
        <v>3533</v>
      </c>
      <c r="D21">
        <v>11599</v>
      </c>
      <c r="E21">
        <v>23198</v>
      </c>
      <c r="F21" t="s">
        <v>2478</v>
      </c>
      <c r="G21" t="s">
        <v>2478</v>
      </c>
      <c r="H21" t="s">
        <v>3462</v>
      </c>
      <c r="I21" t="s">
        <v>3496</v>
      </c>
      <c r="J21" t="s">
        <v>3464</v>
      </c>
      <c r="K21" t="s">
        <v>3529</v>
      </c>
      <c r="L21" t="s">
        <v>3467</v>
      </c>
      <c r="M21" t="s">
        <v>3534</v>
      </c>
      <c r="N21">
        <v>1050</v>
      </c>
      <c r="O21" t="s">
        <v>3531</v>
      </c>
      <c r="P21">
        <v>1060</v>
      </c>
      <c r="Q21">
        <v>913.87</v>
      </c>
      <c r="R21">
        <v>60.92</v>
      </c>
      <c r="S21">
        <v>457</v>
      </c>
      <c r="T21">
        <v>0.95</v>
      </c>
    </row>
    <row r="22" spans="1:20">
      <c r="A22" t="s">
        <v>3535</v>
      </c>
      <c r="B22" t="s">
        <v>3460</v>
      </c>
      <c r="C22" t="s">
        <v>3536</v>
      </c>
      <c r="D22">
        <v>145168</v>
      </c>
      <c r="E22">
        <v>145168</v>
      </c>
      <c r="F22" t="s">
        <v>2478</v>
      </c>
      <c r="G22" t="s">
        <v>2482</v>
      </c>
      <c r="H22" t="s">
        <v>3462</v>
      </c>
      <c r="I22" t="s">
        <v>3537</v>
      </c>
      <c r="J22" t="s">
        <v>3464</v>
      </c>
      <c r="K22" t="s">
        <v>3538</v>
      </c>
      <c r="L22" t="s">
        <v>3467</v>
      </c>
      <c r="M22" t="s">
        <v>3539</v>
      </c>
      <c r="N22">
        <v>12630</v>
      </c>
      <c r="O22" t="s">
        <v>3540</v>
      </c>
      <c r="P22">
        <v>12730</v>
      </c>
      <c r="Q22">
        <v>876.91</v>
      </c>
      <c r="R22">
        <v>58.46</v>
      </c>
      <c r="S22">
        <v>877</v>
      </c>
      <c r="T22">
        <v>0.79</v>
      </c>
    </row>
    <row r="23" spans="1:20">
      <c r="A23" t="s">
        <v>3541</v>
      </c>
      <c r="B23" t="s">
        <v>3460</v>
      </c>
      <c r="C23" t="s">
        <v>3542</v>
      </c>
      <c r="D23">
        <v>102273</v>
      </c>
      <c r="E23">
        <v>102273</v>
      </c>
      <c r="F23" t="s">
        <v>2478</v>
      </c>
      <c r="G23" t="s">
        <v>2478</v>
      </c>
      <c r="H23" t="s">
        <v>3462</v>
      </c>
      <c r="I23" t="s">
        <v>3537</v>
      </c>
      <c r="J23" t="s">
        <v>3464</v>
      </c>
      <c r="K23" t="s">
        <v>3538</v>
      </c>
      <c r="L23" t="s">
        <v>3467</v>
      </c>
      <c r="M23" t="s">
        <v>3543</v>
      </c>
      <c r="N23">
        <v>8900</v>
      </c>
      <c r="O23" t="s">
        <v>3540</v>
      </c>
      <c r="P23">
        <v>8980</v>
      </c>
      <c r="Q23">
        <v>878.04</v>
      </c>
      <c r="R23">
        <v>58.54</v>
      </c>
      <c r="S23">
        <v>878</v>
      </c>
      <c r="T23">
        <v>0.9</v>
      </c>
    </row>
    <row r="24" spans="1:20">
      <c r="A24" t="s">
        <v>3544</v>
      </c>
      <c r="B24" t="s">
        <v>3460</v>
      </c>
      <c r="C24" t="s">
        <v>3545</v>
      </c>
      <c r="D24">
        <v>9854.6</v>
      </c>
      <c r="E24">
        <v>19709.2</v>
      </c>
      <c r="F24" t="s">
        <v>2478</v>
      </c>
      <c r="G24" t="s">
        <v>2478</v>
      </c>
      <c r="H24" t="s">
        <v>3462</v>
      </c>
      <c r="I24" t="s">
        <v>3546</v>
      </c>
      <c r="J24" t="s">
        <v>3464</v>
      </c>
      <c r="K24" t="s">
        <v>3547</v>
      </c>
      <c r="L24" t="s">
        <v>3467</v>
      </c>
      <c r="M24" t="s">
        <v>3548</v>
      </c>
      <c r="N24">
        <v>900</v>
      </c>
      <c r="O24" t="s">
        <v>3549</v>
      </c>
      <c r="P24">
        <v>910</v>
      </c>
      <c r="Q24">
        <v>923.42</v>
      </c>
      <c r="R24">
        <v>61.56</v>
      </c>
      <c r="S24">
        <v>462</v>
      </c>
      <c r="T24">
        <v>1.1100000000000001</v>
      </c>
    </row>
    <row r="25" spans="1:20">
      <c r="A25" t="s">
        <v>3550</v>
      </c>
      <c r="B25" t="s">
        <v>3460</v>
      </c>
      <c r="C25" t="s">
        <v>3551</v>
      </c>
      <c r="D25">
        <v>30120.9</v>
      </c>
      <c r="E25">
        <v>60241.8</v>
      </c>
      <c r="F25" t="s">
        <v>2478</v>
      </c>
      <c r="G25" t="s">
        <v>2478</v>
      </c>
      <c r="H25" t="s">
        <v>3462</v>
      </c>
      <c r="I25" t="s">
        <v>3546</v>
      </c>
      <c r="J25" t="s">
        <v>3464</v>
      </c>
      <c r="K25" t="s">
        <v>3552</v>
      </c>
      <c r="L25" t="s">
        <v>3467</v>
      </c>
      <c r="M25" t="s">
        <v>3553</v>
      </c>
      <c r="N25">
        <v>2540</v>
      </c>
      <c r="O25" t="s">
        <v>3554</v>
      </c>
      <c r="P25">
        <v>2590</v>
      </c>
      <c r="Q25">
        <v>859.86</v>
      </c>
      <c r="R25">
        <v>57.32</v>
      </c>
      <c r="S25">
        <v>430</v>
      </c>
      <c r="T25">
        <v>1.97</v>
      </c>
    </row>
    <row r="26" spans="1:20">
      <c r="A26" t="s">
        <v>3555</v>
      </c>
      <c r="B26" t="s">
        <v>3460</v>
      </c>
      <c r="C26" t="s">
        <v>3556</v>
      </c>
      <c r="D26">
        <v>64123.13</v>
      </c>
      <c r="E26">
        <v>128246.26</v>
      </c>
      <c r="F26" t="s">
        <v>2478</v>
      </c>
      <c r="G26" t="s">
        <v>2478</v>
      </c>
      <c r="H26" t="s">
        <v>3462</v>
      </c>
      <c r="I26" t="s">
        <v>3546</v>
      </c>
      <c r="J26" t="s">
        <v>3464</v>
      </c>
      <c r="K26" t="s">
        <v>3557</v>
      </c>
      <c r="L26" t="s">
        <v>3467</v>
      </c>
      <c r="M26" t="s">
        <v>3558</v>
      </c>
      <c r="N26">
        <v>5860</v>
      </c>
      <c r="O26" t="s">
        <v>3559</v>
      </c>
      <c r="P26">
        <v>5910</v>
      </c>
      <c r="Q26">
        <v>921.66</v>
      </c>
      <c r="R26">
        <v>61.44</v>
      </c>
      <c r="S26">
        <v>461</v>
      </c>
      <c r="T26">
        <v>0.85</v>
      </c>
    </row>
    <row r="27" spans="1:20">
      <c r="A27" t="s">
        <v>3560</v>
      </c>
      <c r="B27" t="s">
        <v>3460</v>
      </c>
      <c r="C27" t="s">
        <v>3561</v>
      </c>
      <c r="D27">
        <v>69468</v>
      </c>
      <c r="E27">
        <v>138936</v>
      </c>
      <c r="F27" t="s">
        <v>2478</v>
      </c>
      <c r="G27" t="s">
        <v>2478</v>
      </c>
      <c r="H27" t="s">
        <v>3462</v>
      </c>
      <c r="I27" t="s">
        <v>3546</v>
      </c>
      <c r="J27" t="s">
        <v>3464</v>
      </c>
      <c r="K27" t="s">
        <v>3562</v>
      </c>
      <c r="L27" t="s">
        <v>3467</v>
      </c>
      <c r="M27" t="s">
        <v>3534</v>
      </c>
      <c r="N27">
        <v>5626.91</v>
      </c>
      <c r="O27" t="s">
        <v>3563</v>
      </c>
      <c r="P27">
        <v>5676.91</v>
      </c>
      <c r="Q27">
        <v>817.19</v>
      </c>
      <c r="R27">
        <v>54.48</v>
      </c>
      <c r="S27">
        <v>409</v>
      </c>
      <c r="T27">
        <v>0.89</v>
      </c>
    </row>
    <row r="28" spans="1:20">
      <c r="A28" t="s">
        <v>3564</v>
      </c>
      <c r="B28" t="s">
        <v>3460</v>
      </c>
      <c r="C28" t="s">
        <v>3565</v>
      </c>
      <c r="D28">
        <v>37816</v>
      </c>
      <c r="E28">
        <v>75632</v>
      </c>
      <c r="F28" t="s">
        <v>2478</v>
      </c>
      <c r="G28" t="s">
        <v>2478</v>
      </c>
      <c r="H28" t="s">
        <v>3462</v>
      </c>
      <c r="I28" t="s">
        <v>3546</v>
      </c>
      <c r="J28" t="s">
        <v>3464</v>
      </c>
      <c r="K28" t="s">
        <v>3566</v>
      </c>
      <c r="L28" t="s">
        <v>3467</v>
      </c>
      <c r="M28" t="s">
        <v>3567</v>
      </c>
      <c r="N28">
        <v>3100</v>
      </c>
      <c r="O28" t="s">
        <v>3568</v>
      </c>
      <c r="P28">
        <v>3130</v>
      </c>
      <c r="Q28">
        <v>827.69</v>
      </c>
      <c r="R28">
        <v>55.18</v>
      </c>
      <c r="S28">
        <v>414</v>
      </c>
      <c r="T28">
        <v>0.97</v>
      </c>
    </row>
    <row r="29" spans="1:20">
      <c r="A29" t="s">
        <v>3569</v>
      </c>
      <c r="B29" t="s">
        <v>3460</v>
      </c>
      <c r="C29" t="s">
        <v>3570</v>
      </c>
      <c r="D29">
        <v>55701</v>
      </c>
      <c r="E29">
        <v>111402</v>
      </c>
      <c r="F29" t="s">
        <v>2478</v>
      </c>
      <c r="G29" t="s">
        <v>2478</v>
      </c>
      <c r="H29" t="s">
        <v>3462</v>
      </c>
      <c r="I29" t="s">
        <v>3546</v>
      </c>
      <c r="J29" t="s">
        <v>3464</v>
      </c>
      <c r="K29" t="s">
        <v>3566</v>
      </c>
      <c r="L29" t="s">
        <v>3467</v>
      </c>
      <c r="M29" t="s">
        <v>3571</v>
      </c>
      <c r="N29">
        <v>5010</v>
      </c>
      <c r="O29" t="s">
        <v>3568</v>
      </c>
      <c r="P29">
        <v>5055</v>
      </c>
      <c r="Q29">
        <v>907.52</v>
      </c>
      <c r="R29">
        <v>60.5</v>
      </c>
      <c r="S29">
        <v>454</v>
      </c>
      <c r="T29">
        <v>0.9</v>
      </c>
    </row>
    <row r="30" spans="1:20">
      <c r="A30" t="s">
        <v>3572</v>
      </c>
      <c r="B30" t="s">
        <v>3460</v>
      </c>
      <c r="C30" t="s">
        <v>3573</v>
      </c>
      <c r="D30">
        <v>47742</v>
      </c>
      <c r="E30">
        <v>95484</v>
      </c>
      <c r="F30" t="s">
        <v>2478</v>
      </c>
      <c r="G30" t="s">
        <v>2478</v>
      </c>
      <c r="H30" t="s">
        <v>3462</v>
      </c>
      <c r="I30" t="s">
        <v>3546</v>
      </c>
      <c r="J30" t="s">
        <v>3464</v>
      </c>
      <c r="K30" t="s">
        <v>3574</v>
      </c>
      <c r="L30" t="s">
        <v>3467</v>
      </c>
      <c r="M30" t="s">
        <v>3548</v>
      </c>
      <c r="N30">
        <v>4270</v>
      </c>
      <c r="O30" t="s">
        <v>3465</v>
      </c>
      <c r="P30">
        <v>4270</v>
      </c>
      <c r="Q30">
        <v>894.39</v>
      </c>
      <c r="R30">
        <v>59.63</v>
      </c>
      <c r="S30">
        <v>447</v>
      </c>
      <c r="T30">
        <v>0</v>
      </c>
    </row>
    <row r="31" spans="1:20">
      <c r="A31" t="s">
        <v>3575</v>
      </c>
      <c r="B31" t="s">
        <v>3460</v>
      </c>
      <c r="C31" t="s">
        <v>3576</v>
      </c>
      <c r="D31">
        <v>14116</v>
      </c>
      <c r="E31">
        <v>28232</v>
      </c>
      <c r="F31" t="s">
        <v>2478</v>
      </c>
      <c r="G31" t="s">
        <v>2478</v>
      </c>
      <c r="H31" t="s">
        <v>3462</v>
      </c>
      <c r="I31" t="s">
        <v>3546</v>
      </c>
      <c r="J31" t="s">
        <v>3464</v>
      </c>
      <c r="K31" t="s">
        <v>3577</v>
      </c>
      <c r="L31" t="s">
        <v>3467</v>
      </c>
      <c r="M31" t="s">
        <v>3578</v>
      </c>
      <c r="N31">
        <v>1206.92</v>
      </c>
      <c r="O31" t="s">
        <v>3465</v>
      </c>
      <c r="P31">
        <v>1216.92</v>
      </c>
      <c r="Q31">
        <v>862.08</v>
      </c>
      <c r="R31">
        <v>57.47</v>
      </c>
      <c r="S31">
        <v>431</v>
      </c>
      <c r="T31">
        <v>0.83</v>
      </c>
    </row>
    <row r="32" spans="1:20">
      <c r="A32" t="s">
        <v>3579</v>
      </c>
      <c r="B32" t="s">
        <v>3460</v>
      </c>
      <c r="C32" t="s">
        <v>3580</v>
      </c>
      <c r="D32">
        <v>56234</v>
      </c>
      <c r="E32">
        <v>112468</v>
      </c>
      <c r="F32" t="s">
        <v>2478</v>
      </c>
      <c r="G32" t="s">
        <v>2478</v>
      </c>
      <c r="H32" t="s">
        <v>3462</v>
      </c>
      <c r="I32" t="s">
        <v>3546</v>
      </c>
      <c r="J32" t="s">
        <v>3464</v>
      </c>
      <c r="K32" t="s">
        <v>3577</v>
      </c>
      <c r="L32" t="s">
        <v>3467</v>
      </c>
      <c r="M32" t="s">
        <v>3581</v>
      </c>
      <c r="N32">
        <v>4386.25</v>
      </c>
      <c r="O32" t="s">
        <v>3465</v>
      </c>
      <c r="P32">
        <v>4426.25</v>
      </c>
      <c r="Q32">
        <v>787.11</v>
      </c>
      <c r="R32">
        <v>52.47</v>
      </c>
      <c r="S32">
        <v>394</v>
      </c>
      <c r="T32">
        <v>0.91</v>
      </c>
    </row>
    <row r="33" spans="1:20">
      <c r="A33" t="s">
        <v>3582</v>
      </c>
      <c r="B33" t="s">
        <v>3460</v>
      </c>
      <c r="C33" t="s">
        <v>3583</v>
      </c>
      <c r="D33">
        <v>10160</v>
      </c>
      <c r="E33">
        <v>20320</v>
      </c>
      <c r="F33" t="s">
        <v>2478</v>
      </c>
      <c r="G33" t="s">
        <v>2478</v>
      </c>
      <c r="H33" t="s">
        <v>3462</v>
      </c>
      <c r="I33" t="s">
        <v>3546</v>
      </c>
      <c r="J33" t="s">
        <v>3464</v>
      </c>
      <c r="K33" t="s">
        <v>3577</v>
      </c>
      <c r="L33" t="s">
        <v>3467</v>
      </c>
      <c r="M33" t="s">
        <v>3584</v>
      </c>
      <c r="N33">
        <v>807.72</v>
      </c>
      <c r="O33" t="s">
        <v>3465</v>
      </c>
      <c r="P33">
        <v>812.72</v>
      </c>
      <c r="Q33">
        <v>799.92</v>
      </c>
      <c r="R33">
        <v>53.33</v>
      </c>
      <c r="S33">
        <v>400</v>
      </c>
      <c r="T33">
        <v>0.62</v>
      </c>
    </row>
    <row r="34" spans="1:20">
      <c r="A34" t="s">
        <v>3585</v>
      </c>
      <c r="B34" t="s">
        <v>3460</v>
      </c>
      <c r="C34" t="s">
        <v>3586</v>
      </c>
      <c r="D34">
        <v>33451</v>
      </c>
      <c r="E34">
        <v>66902</v>
      </c>
      <c r="F34" t="s">
        <v>2478</v>
      </c>
      <c r="G34" t="s">
        <v>2478</v>
      </c>
      <c r="H34" t="s">
        <v>3462</v>
      </c>
      <c r="I34" t="s">
        <v>3546</v>
      </c>
      <c r="J34" t="s">
        <v>3464</v>
      </c>
      <c r="K34" t="s">
        <v>3577</v>
      </c>
      <c r="L34" t="s">
        <v>3467</v>
      </c>
      <c r="M34" t="s">
        <v>3587</v>
      </c>
      <c r="N34">
        <v>2659.35</v>
      </c>
      <c r="O34" t="s">
        <v>3465</v>
      </c>
      <c r="P34">
        <v>2679.35</v>
      </c>
      <c r="Q34">
        <v>800.97</v>
      </c>
      <c r="R34">
        <v>53.4</v>
      </c>
      <c r="S34">
        <v>400</v>
      </c>
      <c r="T34">
        <v>0.75</v>
      </c>
    </row>
    <row r="35" spans="1:20">
      <c r="A35" t="s">
        <v>3588</v>
      </c>
      <c r="B35" t="s">
        <v>3460</v>
      </c>
      <c r="C35" t="s">
        <v>3589</v>
      </c>
      <c r="D35">
        <v>29264</v>
      </c>
      <c r="E35">
        <v>58528</v>
      </c>
      <c r="F35" t="s">
        <v>2478</v>
      </c>
      <c r="G35" t="s">
        <v>2478</v>
      </c>
      <c r="H35" t="s">
        <v>3462</v>
      </c>
      <c r="I35" t="s">
        <v>3546</v>
      </c>
      <c r="J35" t="s">
        <v>3464</v>
      </c>
      <c r="K35" t="s">
        <v>3590</v>
      </c>
      <c r="L35" t="s">
        <v>3467</v>
      </c>
      <c r="M35" t="s">
        <v>3591</v>
      </c>
      <c r="N35">
        <v>943.76</v>
      </c>
      <c r="O35" t="s">
        <v>3465</v>
      </c>
      <c r="P35">
        <v>949.76</v>
      </c>
      <c r="Q35">
        <v>324.54000000000002</v>
      </c>
      <c r="R35">
        <v>21.64</v>
      </c>
      <c r="S35">
        <v>162</v>
      </c>
      <c r="T35">
        <v>0.64</v>
      </c>
    </row>
    <row r="36" spans="1:20">
      <c r="A36" t="s">
        <v>3592</v>
      </c>
      <c r="B36" t="s">
        <v>3460</v>
      </c>
      <c r="C36" t="s">
        <v>3593</v>
      </c>
      <c r="D36">
        <v>100232</v>
      </c>
      <c r="E36">
        <v>200464</v>
      </c>
      <c r="F36" t="s">
        <v>2478</v>
      </c>
      <c r="G36" t="s">
        <v>2478</v>
      </c>
      <c r="H36" t="s">
        <v>3462</v>
      </c>
      <c r="I36" t="s">
        <v>3546</v>
      </c>
      <c r="J36" t="s">
        <v>3464</v>
      </c>
      <c r="K36" t="s">
        <v>3594</v>
      </c>
      <c r="L36" t="s">
        <v>3467</v>
      </c>
      <c r="M36" t="s">
        <v>3595</v>
      </c>
      <c r="N36">
        <v>4735.96</v>
      </c>
      <c r="O36" t="s">
        <v>3465</v>
      </c>
      <c r="P36">
        <v>4755.96</v>
      </c>
      <c r="Q36">
        <v>474.49</v>
      </c>
      <c r="R36">
        <v>31.63</v>
      </c>
      <c r="S36">
        <v>237</v>
      </c>
      <c r="T36">
        <v>0.42</v>
      </c>
    </row>
    <row r="37" spans="1:20">
      <c r="A37" t="s">
        <v>3596</v>
      </c>
      <c r="B37" t="s">
        <v>3460</v>
      </c>
      <c r="C37" t="s">
        <v>3597</v>
      </c>
      <c r="D37">
        <v>24882</v>
      </c>
      <c r="E37">
        <v>49764</v>
      </c>
      <c r="F37" t="s">
        <v>2478</v>
      </c>
      <c r="G37" t="s">
        <v>2478</v>
      </c>
      <c r="H37" t="s">
        <v>3462</v>
      </c>
      <c r="I37" t="s">
        <v>3546</v>
      </c>
      <c r="J37" t="s">
        <v>3464</v>
      </c>
      <c r="K37" t="s">
        <v>3594</v>
      </c>
      <c r="L37" t="s">
        <v>3467</v>
      </c>
      <c r="M37" t="s">
        <v>3598</v>
      </c>
      <c r="N37">
        <v>690.48</v>
      </c>
      <c r="O37" t="s">
        <v>3465</v>
      </c>
      <c r="P37">
        <v>708.48</v>
      </c>
      <c r="Q37">
        <v>284.73</v>
      </c>
      <c r="R37">
        <v>18.98</v>
      </c>
      <c r="S37">
        <v>142</v>
      </c>
      <c r="T37">
        <v>2.61</v>
      </c>
    </row>
    <row r="38" spans="1:20">
      <c r="A38" t="s">
        <v>3599</v>
      </c>
      <c r="B38" t="s">
        <v>3460</v>
      </c>
      <c r="C38" t="s">
        <v>3600</v>
      </c>
      <c r="D38">
        <v>28253</v>
      </c>
      <c r="E38">
        <v>56506</v>
      </c>
      <c r="F38" t="s">
        <v>2478</v>
      </c>
      <c r="G38" t="s">
        <v>2478</v>
      </c>
      <c r="H38" t="s">
        <v>3462</v>
      </c>
      <c r="I38" t="s">
        <v>3546</v>
      </c>
      <c r="J38" t="s">
        <v>3464</v>
      </c>
      <c r="K38" t="s">
        <v>3601</v>
      </c>
      <c r="L38" t="s">
        <v>3467</v>
      </c>
      <c r="M38" t="s">
        <v>3602</v>
      </c>
      <c r="N38">
        <v>974.74</v>
      </c>
      <c r="O38" t="s">
        <v>3465</v>
      </c>
      <c r="P38">
        <v>980.74</v>
      </c>
      <c r="Q38">
        <v>347.12</v>
      </c>
      <c r="R38">
        <v>23.14</v>
      </c>
      <c r="S38">
        <v>174</v>
      </c>
      <c r="T38">
        <v>0.62</v>
      </c>
    </row>
    <row r="39" spans="1:20">
      <c r="A39" t="s">
        <v>3603</v>
      </c>
      <c r="B39" t="s">
        <v>3460</v>
      </c>
      <c r="C39" t="s">
        <v>3604</v>
      </c>
      <c r="D39">
        <v>70666.7</v>
      </c>
      <c r="E39">
        <v>141333.4</v>
      </c>
      <c r="F39" t="s">
        <v>2478</v>
      </c>
      <c r="G39" t="s">
        <v>2478</v>
      </c>
      <c r="H39" t="s">
        <v>3462</v>
      </c>
      <c r="I39" t="s">
        <v>3546</v>
      </c>
      <c r="J39" t="s">
        <v>3464</v>
      </c>
      <c r="K39" t="s">
        <v>3605</v>
      </c>
      <c r="L39" t="s">
        <v>3467</v>
      </c>
      <c r="M39" t="s">
        <v>3598</v>
      </c>
      <c r="N39">
        <v>1696</v>
      </c>
      <c r="O39" t="s">
        <v>3465</v>
      </c>
      <c r="P39">
        <v>1740</v>
      </c>
      <c r="Q39">
        <v>246.22</v>
      </c>
      <c r="R39">
        <v>16.420000000000002</v>
      </c>
      <c r="S39">
        <v>123</v>
      </c>
      <c r="T39">
        <v>2.59</v>
      </c>
    </row>
    <row r="40" spans="1:20">
      <c r="A40" t="s">
        <v>3606</v>
      </c>
      <c r="B40" t="s">
        <v>3460</v>
      </c>
      <c r="C40" t="s">
        <v>3607</v>
      </c>
      <c r="D40">
        <v>143789</v>
      </c>
      <c r="E40">
        <v>287578</v>
      </c>
      <c r="F40" t="s">
        <v>2478</v>
      </c>
      <c r="G40" t="s">
        <v>2482</v>
      </c>
      <c r="H40" t="s">
        <v>3462</v>
      </c>
      <c r="I40" t="s">
        <v>3608</v>
      </c>
      <c r="J40" t="s">
        <v>3464</v>
      </c>
      <c r="K40" t="s">
        <v>3609</v>
      </c>
      <c r="L40" t="s">
        <v>3467</v>
      </c>
      <c r="M40" t="s">
        <v>3610</v>
      </c>
      <c r="N40">
        <v>3450.94</v>
      </c>
      <c r="O40" t="s">
        <v>3465</v>
      </c>
      <c r="P40">
        <v>3576.94</v>
      </c>
      <c r="Q40">
        <v>248.76</v>
      </c>
      <c r="R40">
        <v>16.579999999999998</v>
      </c>
      <c r="S40">
        <v>124</v>
      </c>
      <c r="T40">
        <v>3.65</v>
      </c>
    </row>
    <row r="41" spans="1:20">
      <c r="A41" t="s">
        <v>3611</v>
      </c>
      <c r="B41" t="s">
        <v>3460</v>
      </c>
      <c r="C41" t="s">
        <v>3612</v>
      </c>
      <c r="D41">
        <v>88985</v>
      </c>
      <c r="E41">
        <v>177970</v>
      </c>
      <c r="F41" t="s">
        <v>2478</v>
      </c>
      <c r="G41" t="s">
        <v>2482</v>
      </c>
      <c r="H41" t="s">
        <v>3462</v>
      </c>
      <c r="I41" t="s">
        <v>3608</v>
      </c>
      <c r="J41" t="s">
        <v>3464</v>
      </c>
      <c r="K41" t="s">
        <v>3609</v>
      </c>
      <c r="L41" t="s">
        <v>3467</v>
      </c>
      <c r="M41" t="s">
        <v>3610</v>
      </c>
      <c r="N41">
        <v>2135.64</v>
      </c>
      <c r="O41" t="s">
        <v>3465</v>
      </c>
      <c r="P41">
        <v>2213.64</v>
      </c>
      <c r="Q41">
        <v>248.76</v>
      </c>
      <c r="R41">
        <v>16.579999999999998</v>
      </c>
      <c r="S41">
        <v>124</v>
      </c>
      <c r="T41">
        <v>3.65</v>
      </c>
    </row>
    <row r="42" spans="1:20">
      <c r="A42" t="s">
        <v>3613</v>
      </c>
      <c r="B42" t="s">
        <v>3460</v>
      </c>
      <c r="C42" t="s">
        <v>3614</v>
      </c>
      <c r="D42">
        <v>72055</v>
      </c>
      <c r="E42">
        <v>144110</v>
      </c>
      <c r="F42" t="s">
        <v>2478</v>
      </c>
      <c r="G42" t="s">
        <v>2478</v>
      </c>
      <c r="H42" t="s">
        <v>3462</v>
      </c>
      <c r="I42" t="s">
        <v>3546</v>
      </c>
      <c r="J42" t="s">
        <v>3464</v>
      </c>
      <c r="K42" t="s">
        <v>3615</v>
      </c>
      <c r="L42" t="s">
        <v>3467</v>
      </c>
      <c r="M42" t="s">
        <v>3616</v>
      </c>
      <c r="N42">
        <v>1729.32</v>
      </c>
      <c r="O42" t="s">
        <v>3465</v>
      </c>
      <c r="P42">
        <v>1784.32</v>
      </c>
      <c r="Q42">
        <v>247.63</v>
      </c>
      <c r="R42">
        <v>16.510000000000002</v>
      </c>
      <c r="S42">
        <v>124</v>
      </c>
      <c r="T42">
        <v>3.18</v>
      </c>
    </row>
    <row r="43" spans="1:20">
      <c r="A43" t="s">
        <v>3617</v>
      </c>
      <c r="B43" t="s">
        <v>3460</v>
      </c>
      <c r="C43" t="s">
        <v>3618</v>
      </c>
      <c r="D43">
        <v>95012</v>
      </c>
      <c r="E43">
        <v>190024</v>
      </c>
      <c r="F43" t="s">
        <v>2478</v>
      </c>
      <c r="G43" t="s">
        <v>2478</v>
      </c>
      <c r="H43" t="s">
        <v>3462</v>
      </c>
      <c r="I43" t="s">
        <v>3546</v>
      </c>
      <c r="J43" t="s">
        <v>3464</v>
      </c>
      <c r="K43" t="s">
        <v>3615</v>
      </c>
      <c r="L43" t="s">
        <v>3467</v>
      </c>
      <c r="M43" t="s">
        <v>3534</v>
      </c>
      <c r="N43">
        <v>2280.29</v>
      </c>
      <c r="O43" t="s">
        <v>3465</v>
      </c>
      <c r="P43">
        <v>2355.29</v>
      </c>
      <c r="Q43">
        <v>247.89</v>
      </c>
      <c r="R43">
        <v>16.53</v>
      </c>
      <c r="S43">
        <v>124</v>
      </c>
      <c r="T43">
        <v>3.29</v>
      </c>
    </row>
    <row r="44" spans="1:20">
      <c r="A44" t="s">
        <v>3619</v>
      </c>
      <c r="B44" t="s">
        <v>3460</v>
      </c>
      <c r="C44" t="s">
        <v>3620</v>
      </c>
      <c r="D44">
        <v>33333</v>
      </c>
      <c r="E44">
        <v>66666</v>
      </c>
      <c r="F44" t="s">
        <v>2478</v>
      </c>
      <c r="G44" t="s">
        <v>2478</v>
      </c>
      <c r="H44" t="s">
        <v>3462</v>
      </c>
      <c r="I44" t="s">
        <v>3546</v>
      </c>
      <c r="J44" t="s">
        <v>3464</v>
      </c>
      <c r="K44" t="s">
        <v>3615</v>
      </c>
      <c r="L44" t="s">
        <v>3467</v>
      </c>
      <c r="M44" t="s">
        <v>3621</v>
      </c>
      <c r="N44">
        <v>1000</v>
      </c>
      <c r="O44" t="s">
        <v>3465</v>
      </c>
      <c r="P44">
        <v>1028</v>
      </c>
      <c r="Q44">
        <v>308.39999999999998</v>
      </c>
      <c r="R44">
        <v>20.56</v>
      </c>
      <c r="S44">
        <v>154</v>
      </c>
      <c r="T44">
        <v>2.8</v>
      </c>
    </row>
    <row r="45" spans="1:20">
      <c r="A45" t="s">
        <v>3622</v>
      </c>
      <c r="B45" t="s">
        <v>3460</v>
      </c>
      <c r="C45" t="s">
        <v>3623</v>
      </c>
      <c r="D45">
        <v>72515</v>
      </c>
      <c r="E45">
        <v>145030</v>
      </c>
      <c r="F45" t="s">
        <v>2478</v>
      </c>
      <c r="G45" t="s">
        <v>2478</v>
      </c>
      <c r="H45" t="s">
        <v>3462</v>
      </c>
      <c r="I45" t="s">
        <v>3546</v>
      </c>
      <c r="J45" t="s">
        <v>3464</v>
      </c>
      <c r="K45" t="s">
        <v>3615</v>
      </c>
      <c r="L45" t="s">
        <v>3467</v>
      </c>
      <c r="M45" t="s">
        <v>3624</v>
      </c>
      <c r="N45">
        <v>1740.36</v>
      </c>
      <c r="O45" t="s">
        <v>3465</v>
      </c>
      <c r="P45">
        <v>1795.36</v>
      </c>
      <c r="Q45">
        <v>247.58</v>
      </c>
      <c r="R45">
        <v>16.510000000000002</v>
      </c>
      <c r="S45">
        <v>124</v>
      </c>
      <c r="T45">
        <v>3.16</v>
      </c>
    </row>
    <row r="46" spans="1:20">
      <c r="A46" t="s">
        <v>3625</v>
      </c>
      <c r="B46" t="s">
        <v>3460</v>
      </c>
      <c r="C46" t="s">
        <v>3626</v>
      </c>
      <c r="D46">
        <v>208423</v>
      </c>
      <c r="E46">
        <v>416846</v>
      </c>
      <c r="F46" t="s">
        <v>2478</v>
      </c>
      <c r="G46" t="s">
        <v>2478</v>
      </c>
      <c r="H46" t="s">
        <v>3462</v>
      </c>
      <c r="I46" t="s">
        <v>3546</v>
      </c>
      <c r="J46" t="s">
        <v>3464</v>
      </c>
      <c r="K46" t="s">
        <v>3615</v>
      </c>
      <c r="L46" t="s">
        <v>3467</v>
      </c>
      <c r="M46" t="s">
        <v>3616</v>
      </c>
      <c r="N46">
        <v>5002.1499999999996</v>
      </c>
      <c r="O46" t="s">
        <v>3465</v>
      </c>
      <c r="P46">
        <v>5188.1499999999996</v>
      </c>
      <c r="Q46">
        <v>248.92</v>
      </c>
      <c r="R46">
        <v>16.59</v>
      </c>
      <c r="S46">
        <v>124</v>
      </c>
      <c r="T46">
        <v>3.72</v>
      </c>
    </row>
    <row r="47" spans="1:20">
      <c r="A47" t="s">
        <v>3627</v>
      </c>
      <c r="B47" t="s">
        <v>3460</v>
      </c>
      <c r="C47" t="s">
        <v>3628</v>
      </c>
      <c r="D47">
        <v>36798</v>
      </c>
      <c r="E47">
        <v>73596</v>
      </c>
      <c r="F47" t="s">
        <v>2478</v>
      </c>
      <c r="G47" t="s">
        <v>2478</v>
      </c>
      <c r="H47" t="s">
        <v>3462</v>
      </c>
      <c r="I47" t="s">
        <v>3546</v>
      </c>
      <c r="J47" t="s">
        <v>3464</v>
      </c>
      <c r="K47" t="s">
        <v>3615</v>
      </c>
      <c r="L47" t="s">
        <v>3467</v>
      </c>
      <c r="M47" t="s">
        <v>3629</v>
      </c>
      <c r="N47">
        <v>883.15</v>
      </c>
      <c r="O47" t="s">
        <v>3465</v>
      </c>
      <c r="P47">
        <v>913.15</v>
      </c>
      <c r="Q47">
        <v>248.15</v>
      </c>
      <c r="R47">
        <v>16.54</v>
      </c>
      <c r="S47">
        <v>124</v>
      </c>
      <c r="T47">
        <v>3.4</v>
      </c>
    </row>
    <row r="48" spans="1:20">
      <c r="A48" t="s">
        <v>3630</v>
      </c>
      <c r="B48" t="s">
        <v>3460</v>
      </c>
      <c r="C48" t="s">
        <v>3631</v>
      </c>
      <c r="D48">
        <v>8063</v>
      </c>
      <c r="E48">
        <v>16126</v>
      </c>
      <c r="F48" t="s">
        <v>2478</v>
      </c>
      <c r="G48" t="s">
        <v>2478</v>
      </c>
      <c r="H48" t="s">
        <v>3462</v>
      </c>
      <c r="I48" t="s">
        <v>3546</v>
      </c>
      <c r="J48" t="s">
        <v>3464</v>
      </c>
      <c r="K48" t="s">
        <v>3632</v>
      </c>
      <c r="L48" t="s">
        <v>3467</v>
      </c>
      <c r="M48" t="s">
        <v>3633</v>
      </c>
      <c r="N48">
        <v>193.51</v>
      </c>
      <c r="O48" t="s">
        <v>3465</v>
      </c>
      <c r="P48">
        <v>199.51</v>
      </c>
      <c r="Q48">
        <v>247.43</v>
      </c>
      <c r="R48">
        <v>16.5</v>
      </c>
      <c r="S48">
        <v>124</v>
      </c>
      <c r="T48">
        <v>3.1</v>
      </c>
    </row>
    <row r="49" spans="1:20">
      <c r="A49" t="s">
        <v>3630</v>
      </c>
      <c r="B49" t="s">
        <v>3460</v>
      </c>
      <c r="C49" t="s">
        <v>3634</v>
      </c>
      <c r="D49">
        <v>12950</v>
      </c>
      <c r="E49">
        <v>25900</v>
      </c>
      <c r="F49" t="s">
        <v>2478</v>
      </c>
      <c r="G49" t="s">
        <v>2478</v>
      </c>
      <c r="H49" t="s">
        <v>3462</v>
      </c>
      <c r="I49" t="s">
        <v>3546</v>
      </c>
      <c r="J49" t="s">
        <v>3464</v>
      </c>
      <c r="K49" t="s">
        <v>3632</v>
      </c>
      <c r="L49" t="s">
        <v>3467</v>
      </c>
      <c r="M49" t="s">
        <v>3635</v>
      </c>
      <c r="N49">
        <v>310.8</v>
      </c>
      <c r="O49" t="s">
        <v>3465</v>
      </c>
      <c r="P49">
        <v>320.8</v>
      </c>
      <c r="Q49">
        <v>247.72</v>
      </c>
      <c r="R49">
        <v>16.510000000000002</v>
      </c>
      <c r="S49">
        <v>124</v>
      </c>
      <c r="T49">
        <v>3.22</v>
      </c>
    </row>
    <row r="50" spans="1:20">
      <c r="A50" t="s">
        <v>3636</v>
      </c>
      <c r="B50" t="s">
        <v>3460</v>
      </c>
      <c r="C50" t="s">
        <v>3637</v>
      </c>
      <c r="D50">
        <v>24381</v>
      </c>
      <c r="E50">
        <v>48762</v>
      </c>
      <c r="F50" t="s">
        <v>2478</v>
      </c>
      <c r="G50" t="s">
        <v>2478</v>
      </c>
      <c r="H50" t="s">
        <v>3462</v>
      </c>
      <c r="I50" t="s">
        <v>3546</v>
      </c>
      <c r="J50" t="s">
        <v>3464</v>
      </c>
      <c r="K50" t="s">
        <v>3638</v>
      </c>
      <c r="L50" t="s">
        <v>3467</v>
      </c>
      <c r="M50" t="s">
        <v>3639</v>
      </c>
      <c r="N50">
        <v>585.14</v>
      </c>
      <c r="O50" t="s">
        <v>3465</v>
      </c>
      <c r="P50">
        <v>605.14</v>
      </c>
      <c r="Q50">
        <v>248.2</v>
      </c>
      <c r="R50">
        <v>16.55</v>
      </c>
      <c r="S50">
        <v>124</v>
      </c>
      <c r="T50">
        <v>3.42</v>
      </c>
    </row>
    <row r="51" spans="1:20">
      <c r="A51" t="s">
        <v>3640</v>
      </c>
      <c r="B51" t="s">
        <v>3460</v>
      </c>
      <c r="C51" t="s">
        <v>3641</v>
      </c>
      <c r="D51">
        <v>36403.300000000003</v>
      </c>
      <c r="E51">
        <v>72806.600000000006</v>
      </c>
      <c r="F51" t="s">
        <v>2478</v>
      </c>
      <c r="G51" t="s">
        <v>2478</v>
      </c>
      <c r="H51" t="s">
        <v>3462</v>
      </c>
      <c r="I51" t="s">
        <v>3546</v>
      </c>
      <c r="J51" t="s">
        <v>3464</v>
      </c>
      <c r="K51" t="s">
        <v>3638</v>
      </c>
      <c r="L51" t="s">
        <v>3467</v>
      </c>
      <c r="M51" t="s">
        <v>3642</v>
      </c>
      <c r="N51">
        <v>873.68</v>
      </c>
      <c r="O51" t="s">
        <v>3465</v>
      </c>
      <c r="P51">
        <v>903.68</v>
      </c>
      <c r="Q51">
        <v>248.24</v>
      </c>
      <c r="R51">
        <v>16.55</v>
      </c>
      <c r="S51">
        <v>124</v>
      </c>
      <c r="T51">
        <v>3.43</v>
      </c>
    </row>
    <row r="52" spans="1:20">
      <c r="A52" t="s">
        <v>3643</v>
      </c>
      <c r="B52" t="s">
        <v>3460</v>
      </c>
      <c r="C52" t="s">
        <v>3644</v>
      </c>
      <c r="D52">
        <v>27656</v>
      </c>
      <c r="E52">
        <v>55312</v>
      </c>
      <c r="F52" t="s">
        <v>2478</v>
      </c>
      <c r="G52" t="s">
        <v>2478</v>
      </c>
      <c r="H52" t="s">
        <v>3462</v>
      </c>
      <c r="I52" t="s">
        <v>3546</v>
      </c>
      <c r="J52" t="s">
        <v>3464</v>
      </c>
      <c r="K52" t="s">
        <v>3638</v>
      </c>
      <c r="L52" t="s">
        <v>3467</v>
      </c>
      <c r="M52" t="s">
        <v>3645</v>
      </c>
      <c r="N52">
        <v>663.74</v>
      </c>
      <c r="O52" t="s">
        <v>3465</v>
      </c>
      <c r="P52">
        <v>683.74</v>
      </c>
      <c r="Q52">
        <v>247.23</v>
      </c>
      <c r="R52">
        <v>16.48</v>
      </c>
      <c r="S52">
        <v>124</v>
      </c>
      <c r="T52">
        <v>3.01</v>
      </c>
    </row>
    <row r="53" spans="1:20">
      <c r="A53" t="s">
        <v>3646</v>
      </c>
      <c r="B53" t="s">
        <v>3460</v>
      </c>
      <c r="C53" t="s">
        <v>3647</v>
      </c>
      <c r="D53">
        <v>97814</v>
      </c>
      <c r="E53">
        <v>195628</v>
      </c>
      <c r="F53" t="s">
        <v>2478</v>
      </c>
      <c r="G53" t="s">
        <v>2478</v>
      </c>
      <c r="H53" t="s">
        <v>3462</v>
      </c>
      <c r="I53" t="s">
        <v>3546</v>
      </c>
      <c r="J53" t="s">
        <v>3464</v>
      </c>
      <c r="K53" t="s">
        <v>3638</v>
      </c>
      <c r="L53" t="s">
        <v>3467</v>
      </c>
      <c r="M53" t="s">
        <v>3645</v>
      </c>
      <c r="N53">
        <v>2347.54</v>
      </c>
      <c r="O53" t="s">
        <v>3465</v>
      </c>
      <c r="P53">
        <v>2422.54</v>
      </c>
      <c r="Q53">
        <v>247.66</v>
      </c>
      <c r="R53">
        <v>16.510000000000002</v>
      </c>
      <c r="S53">
        <v>124</v>
      </c>
      <c r="T53">
        <v>3.19</v>
      </c>
    </row>
    <row r="54" spans="1:20">
      <c r="A54" t="s">
        <v>3648</v>
      </c>
      <c r="B54" t="s">
        <v>3460</v>
      </c>
      <c r="C54" t="s">
        <v>3649</v>
      </c>
      <c r="D54">
        <v>73521</v>
      </c>
      <c r="E54">
        <v>147042</v>
      </c>
      <c r="F54" t="s">
        <v>2478</v>
      </c>
      <c r="G54" t="s">
        <v>2478</v>
      </c>
      <c r="H54" t="s">
        <v>3462</v>
      </c>
      <c r="I54" t="s">
        <v>3546</v>
      </c>
      <c r="J54" t="s">
        <v>3464</v>
      </c>
      <c r="K54" t="s">
        <v>3638</v>
      </c>
      <c r="L54" t="s">
        <v>3467</v>
      </c>
      <c r="M54" t="s">
        <v>3587</v>
      </c>
      <c r="N54">
        <v>1764.5</v>
      </c>
      <c r="O54" t="s">
        <v>3465</v>
      </c>
      <c r="P54">
        <v>1819.5</v>
      </c>
      <c r="Q54">
        <v>247.48</v>
      </c>
      <c r="R54">
        <v>16.5</v>
      </c>
      <c r="S54">
        <v>124</v>
      </c>
      <c r="T54">
        <v>3.12</v>
      </c>
    </row>
    <row r="55" spans="1:20">
      <c r="A55" t="s">
        <v>3650</v>
      </c>
      <c r="B55" t="s">
        <v>3460</v>
      </c>
      <c r="C55" t="s">
        <v>3651</v>
      </c>
      <c r="D55">
        <v>34361.800000000003</v>
      </c>
      <c r="E55">
        <v>68723.600000000006</v>
      </c>
      <c r="F55" t="s">
        <v>2478</v>
      </c>
      <c r="G55" t="s">
        <v>2478</v>
      </c>
      <c r="H55" t="s">
        <v>3462</v>
      </c>
      <c r="I55" t="s">
        <v>3546</v>
      </c>
      <c r="J55" t="s">
        <v>3464</v>
      </c>
      <c r="K55" t="s">
        <v>3638</v>
      </c>
      <c r="L55" t="s">
        <v>3467</v>
      </c>
      <c r="M55" t="s">
        <v>3621</v>
      </c>
      <c r="N55">
        <v>824.68</v>
      </c>
      <c r="O55" t="s">
        <v>3465</v>
      </c>
      <c r="P55">
        <v>849.68</v>
      </c>
      <c r="Q55">
        <v>247.27</v>
      </c>
      <c r="R55">
        <v>16.48</v>
      </c>
      <c r="S55">
        <v>124</v>
      </c>
      <c r="T55">
        <v>3.03</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854" t="s">
        <v>925</v>
      </c>
      <c r="E3" s="854" t="s">
        <v>931</v>
      </c>
      <c r="F3" s="854" t="s">
        <v>925</v>
      </c>
      <c r="G3" s="854" t="s">
        <v>926</v>
      </c>
      <c r="H3" s="854" t="s">
        <v>925</v>
      </c>
      <c r="I3" s="854" t="s">
        <v>926</v>
      </c>
    </row>
    <row r="4" spans="1:9" ht="15">
      <c r="A4" s="1504" t="str">
        <f>项目基本情况!S2</f>
        <v>房地产</v>
      </c>
      <c r="B4" s="854">
        <f>项目基本情况!C17</f>
        <v>29587.64</v>
      </c>
      <c r="C4" s="854">
        <f>项目基本情况!C18</f>
        <v>24593</v>
      </c>
      <c r="D4" s="854">
        <f ca="1">结果表!D118</f>
        <v>2405</v>
      </c>
      <c r="E4" s="854">
        <f ca="1">结果表!E118</f>
        <v>813</v>
      </c>
      <c r="F4" s="854">
        <f ca="1">结果表!F118</f>
        <v>7963</v>
      </c>
      <c r="G4" s="854">
        <f ca="1">结果表!G118</f>
        <v>2691</v>
      </c>
      <c r="H4" s="854">
        <f ca="1">结果表!H118</f>
        <v>10368</v>
      </c>
      <c r="I4" s="854">
        <f ca="1">结果表!I118</f>
        <v>3504</v>
      </c>
    </row>
    <row r="5" spans="1:9" ht="30" customHeight="1">
      <c r="A5" s="3490" t="s">
        <v>927</v>
      </c>
      <c r="B5" s="3490"/>
      <c r="C5" s="3490"/>
      <c r="D5" s="3490" t="str">
        <f ca="1">结果表!D119</f>
        <v>贰仟肆佰零伍万元整</v>
      </c>
      <c r="E5" s="3490"/>
      <c r="F5" s="3490" t="str">
        <f ca="1">结果表!F119</f>
        <v>柒仟玖佰陆拾叁万元整</v>
      </c>
      <c r="G5" s="3490"/>
      <c r="H5" s="3490" t="str">
        <f ca="1">结果表!H119</f>
        <v>壹亿零叁佰陆拾捌万元整</v>
      </c>
      <c r="I5" s="3490"/>
    </row>
    <row r="6" spans="1:9" ht="15.75">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75">
      <c r="A8" s="3491" t="str">
        <f>结果表!A122</f>
        <v>房地产抵押价值</v>
      </c>
      <c r="B8" s="3491"/>
      <c r="C8" s="3491"/>
      <c r="D8" s="3491">
        <f ca="1">结果表!D122</f>
        <v>10368</v>
      </c>
      <c r="E8" s="3491"/>
      <c r="F8" s="3491"/>
      <c r="G8" s="3491"/>
      <c r="H8" s="3491"/>
      <c r="I8" s="3491"/>
    </row>
    <row r="9" spans="1:9" ht="15">
      <c r="A9" s="3490" t="s">
        <v>927</v>
      </c>
      <c r="B9" s="3490"/>
      <c r="C9" s="3490"/>
      <c r="D9" s="3490" t="str">
        <f ca="1">结果表!D123</f>
        <v>壹亿零叁佰陆拾捌万元整</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75">
      <c r="A12" s="3491" t="str">
        <f>结果表!A126</f>
        <v/>
      </c>
      <c r="B12" s="3491"/>
      <c r="C12" s="3491"/>
      <c r="D12" s="3491" t="str">
        <f>结果表!D126</f>
        <v>——</v>
      </c>
      <c r="E12" s="3491"/>
      <c r="F12" s="3491"/>
      <c r="G12" s="3491"/>
      <c r="H12" s="3491"/>
      <c r="I12" s="3491"/>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7" t="s">
        <v>949</v>
      </c>
      <c r="B1" s="3497"/>
      <c r="C1" s="3497"/>
      <c r="D1" s="3497"/>
    </row>
    <row r="2" spans="1:4" ht="18">
      <c r="A2" s="3498" t="s">
        <v>933</v>
      </c>
      <c r="B2" s="3498"/>
      <c r="C2" s="3498"/>
      <c r="D2" s="349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8" t="s">
        <v>939</v>
      </c>
      <c r="B6" s="3498"/>
      <c r="C6" s="3498"/>
      <c r="D6" s="349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9"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1" t="s">
        <v>956</v>
      </c>
      <c r="B15" s="3506" t="s">
        <v>109</v>
      </c>
      <c r="C15" s="3507"/>
    </row>
    <row r="16" spans="1:7" ht="13.5">
      <c r="A16" s="3512"/>
      <c r="B16" s="3506" t="s">
        <v>42</v>
      </c>
      <c r="C16" s="3507"/>
    </row>
    <row r="17" spans="1:3" ht="13.5">
      <c r="A17" s="3512"/>
      <c r="B17" s="3509" t="s">
        <v>957</v>
      </c>
      <c r="C17" s="1531" t="s">
        <v>956</v>
      </c>
    </row>
    <row r="18" spans="1:3" ht="13.5">
      <c r="A18" s="3512"/>
      <c r="B18" s="3509"/>
      <c r="C18" s="1531" t="s">
        <v>958</v>
      </c>
    </row>
    <row r="19" spans="1:3" ht="13.5">
      <c r="A19" s="3512"/>
      <c r="B19" s="3509"/>
      <c r="C19" s="1531" t="s">
        <v>959</v>
      </c>
    </row>
    <row r="20" spans="1:3" ht="13.5">
      <c r="A20" s="3513"/>
      <c r="B20" s="3508" t="s">
        <v>960</v>
      </c>
      <c r="C20" s="3507"/>
    </row>
    <row r="21" spans="1:3" ht="13.5">
      <c r="A21" s="1532" t="s">
        <v>961</v>
      </c>
      <c r="B21" s="1533"/>
      <c r="C21" s="1534"/>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1" t="s">
        <v>967</v>
      </c>
    </row>
    <row r="26" spans="1:3" ht="13.5">
      <c r="A26" s="3510"/>
      <c r="B26" s="3509"/>
      <c r="C26" s="1531" t="s">
        <v>968</v>
      </c>
    </row>
    <row r="27" spans="1:3" ht="13.5">
      <c r="A27" s="3510"/>
      <c r="B27" s="3509"/>
      <c r="C27" s="1531" t="s">
        <v>969</v>
      </c>
    </row>
    <row r="28" spans="1:3" ht="13.5">
      <c r="A28" s="3510"/>
      <c r="B28" s="3509"/>
      <c r="C28" s="1531" t="s">
        <v>970</v>
      </c>
    </row>
    <row r="29" spans="1:3" ht="13.5">
      <c r="A29" s="3510"/>
      <c r="B29" s="3509"/>
      <c r="C29" s="1531" t="s">
        <v>971</v>
      </c>
    </row>
    <row r="30" spans="1:3" ht="13.5">
      <c r="A30" s="3510"/>
      <c r="B30" s="3509"/>
      <c r="C30" s="1531" t="s">
        <v>972</v>
      </c>
    </row>
    <row r="31" spans="1:3" ht="13.5">
      <c r="A31" s="3510"/>
      <c r="B31" s="3509"/>
      <c r="C31" s="1531" t="s">
        <v>973</v>
      </c>
    </row>
    <row r="32" spans="1:3" ht="13.5">
      <c r="A32" s="3510"/>
      <c r="B32" s="3509"/>
      <c r="C32" s="1531" t="s">
        <v>974</v>
      </c>
    </row>
    <row r="33" spans="1:3" ht="13.5">
      <c r="A33" s="3510"/>
      <c r="B33" s="350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45941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4" t="s">
        <v>2159</v>
      </c>
      <c r="B17" s="3514"/>
      <c r="C17" s="3514"/>
      <c r="D17" s="3514"/>
      <c r="E17" s="3514"/>
      <c r="F17" s="3514"/>
      <c r="G17" s="3514"/>
      <c r="H17" s="3514"/>
    </row>
    <row r="18" spans="1:8" ht="24" customHeight="1">
      <c r="A18" s="3515" t="s">
        <v>2160</v>
      </c>
      <c r="B18" s="3515"/>
      <c r="C18" s="3515"/>
      <c r="D18" s="2342"/>
      <c r="E18" s="3516" t="s">
        <v>2161</v>
      </c>
      <c r="F18" s="3515"/>
      <c r="G18" s="351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2025-10-11T06:11:30Z</dcterms:modified>
</cp:coreProperties>
</file>