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016" yWindow="132" windowWidth="12312" windowHeight="1080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35" i="79" l="1"/>
  <c r="T35" i="79"/>
  <c r="S35" i="79"/>
  <c r="U34" i="79"/>
  <c r="T34" i="79"/>
  <c r="S34" i="79"/>
  <c r="U33" i="79"/>
  <c r="T33" i="79"/>
  <c r="S33" i="79"/>
  <c r="U32" i="79"/>
  <c r="T32" i="79"/>
  <c r="S32" i="79"/>
  <c r="U31" i="79"/>
  <c r="T31" i="79"/>
  <c r="S31" i="79"/>
  <c r="U30" i="79"/>
  <c r="T30" i="79"/>
  <c r="S30" i="79"/>
  <c r="U29" i="79"/>
  <c r="T29" i="79"/>
  <c r="S29" i="79"/>
  <c r="U28" i="79"/>
  <c r="T28" i="79"/>
  <c r="S28" i="79"/>
  <c r="U27" i="79"/>
  <c r="T27" i="79"/>
  <c r="S27" i="79"/>
  <c r="V15" i="79"/>
  <c r="U15" i="79"/>
  <c r="T15" i="79"/>
  <c r="S15" i="79"/>
  <c r="R15" i="79"/>
  <c r="V14" i="79"/>
  <c r="U14" i="79"/>
  <c r="T14" i="79"/>
  <c r="S14" i="79"/>
  <c r="R14" i="79"/>
  <c r="V13" i="79"/>
  <c r="U13" i="79"/>
  <c r="T13" i="79"/>
  <c r="S13" i="79"/>
  <c r="R13" i="79"/>
  <c r="V12" i="79"/>
  <c r="U12" i="79"/>
  <c r="T12" i="79"/>
  <c r="S12" i="79"/>
  <c r="R12" i="79"/>
  <c r="V11" i="79"/>
  <c r="U11" i="79"/>
  <c r="T11" i="79"/>
  <c r="S11" i="79"/>
  <c r="V10" i="79"/>
  <c r="U10" i="79"/>
  <c r="T10" i="79"/>
  <c r="S10" i="79"/>
  <c r="V9" i="79"/>
  <c r="U9" i="79"/>
  <c r="T9" i="79"/>
  <c r="S9" i="79"/>
  <c r="R9" i="79"/>
  <c r="R11" i="79"/>
  <c r="R10" i="79"/>
  <c r="N6" i="1" l="1"/>
  <c r="N23" i="1"/>
  <c r="K22" i="1"/>
  <c r="K21" i="1"/>
  <c r="N21" i="1"/>
  <c r="I16" i="3" l="1"/>
  <c r="H9" i="80" l="1"/>
  <c r="H8" i="80"/>
  <c r="H10" i="80"/>
  <c r="H7" i="80"/>
  <c r="H6" i="80"/>
  <c r="I18" i="3"/>
  <c r="J10" i="80" l="1"/>
  <c r="J9" i="80"/>
  <c r="J8" i="80"/>
  <c r="J7" i="80"/>
  <c r="J6" i="80"/>
  <c r="D33" i="43"/>
  <c r="H11" i="80" l="1"/>
  <c r="K11" i="80" s="1"/>
  <c r="N22" i="1"/>
  <c r="K24" i="1"/>
  <c r="K25" i="1" s="1"/>
  <c r="J11" i="80" l="1"/>
  <c r="K23" i="1"/>
  <c r="L23" i="1" l="1"/>
  <c r="N14" i="1"/>
  <c r="K26" i="1"/>
  <c r="G14" i="73"/>
  <c r="F14" i="73"/>
  <c r="E14" i="73"/>
  <c r="Y6" i="1" l="1"/>
  <c r="E7" i="1"/>
  <c r="E8" i="1"/>
  <c r="E9" i="1"/>
  <c r="E10" i="1"/>
  <c r="E11" i="1"/>
  <c r="E12" i="1"/>
  <c r="E13" i="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U26" i="79" l="1"/>
  <c r="U25" i="79"/>
  <c r="T25" i="79"/>
  <c r="T26" i="79"/>
  <c r="P26" i="79"/>
  <c r="S25" i="79"/>
  <c r="S26" i="79"/>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M35" i="79"/>
  <c r="W35" i="79" s="1"/>
  <c r="L35" i="79"/>
  <c r="I35" i="79"/>
  <c r="AD35" i="79" s="1"/>
  <c r="AB34" i="79"/>
  <c r="AA34" i="79"/>
  <c r="Z34" i="79"/>
  <c r="N34" i="79"/>
  <c r="M34" i="79"/>
  <c r="W34" i="79" s="1"/>
  <c r="L34" i="79"/>
  <c r="I34" i="79"/>
  <c r="AD34" i="79" s="1"/>
  <c r="AB33" i="79"/>
  <c r="AA33" i="79"/>
  <c r="Z33" i="79"/>
  <c r="N33" i="79"/>
  <c r="M33" i="79"/>
  <c r="W33" i="79" s="1"/>
  <c r="L33" i="79"/>
  <c r="I33" i="79"/>
  <c r="AD33" i="79" s="1"/>
  <c r="AB32" i="79"/>
  <c r="AA32" i="79"/>
  <c r="Z32" i="79"/>
  <c r="N32" i="79"/>
  <c r="M32" i="79"/>
  <c r="W32" i="79" s="1"/>
  <c r="L32" i="79"/>
  <c r="I32" i="79"/>
  <c r="AD32" i="79" s="1"/>
  <c r="AB31" i="79"/>
  <c r="AA31" i="79"/>
  <c r="Z31" i="79"/>
  <c r="N31" i="79"/>
  <c r="M31" i="79"/>
  <c r="W31" i="79" s="1"/>
  <c r="L31" i="79"/>
  <c r="I31" i="79"/>
  <c r="AD31" i="79" s="1"/>
  <c r="AB30" i="79"/>
  <c r="AA30" i="79"/>
  <c r="Z30" i="79"/>
  <c r="N30" i="79"/>
  <c r="M30" i="79"/>
  <c r="L30" i="79"/>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N15" i="79"/>
  <c r="M15" i="79"/>
  <c r="P15" i="79" s="1"/>
  <c r="L15" i="79"/>
  <c r="K15" i="79"/>
  <c r="I15" i="79"/>
  <c r="AD14" i="79"/>
  <c r="AC14" i="79"/>
  <c r="AB14" i="79"/>
  <c r="AA14" i="79"/>
  <c r="Z14" i="79"/>
  <c r="Y14" i="79"/>
  <c r="O14" i="79"/>
  <c r="N14" i="79"/>
  <c r="M14" i="79"/>
  <c r="W14" i="79" s="1"/>
  <c r="L14" i="79"/>
  <c r="K14" i="79"/>
  <c r="I14" i="79"/>
  <c r="AC13" i="79"/>
  <c r="AB13" i="79"/>
  <c r="AA13" i="79"/>
  <c r="AD13" i="79" s="1"/>
  <c r="Z13" i="79"/>
  <c r="Y13" i="79"/>
  <c r="O13" i="79"/>
  <c r="N13" i="79"/>
  <c r="M13" i="79"/>
  <c r="P13" i="79" s="1"/>
  <c r="L13" i="79"/>
  <c r="K13" i="79"/>
  <c r="I13" i="79"/>
  <c r="AD12" i="79"/>
  <c r="AC12" i="79"/>
  <c r="AB12" i="79"/>
  <c r="AA12" i="79"/>
  <c r="Z12" i="79"/>
  <c r="Y12" i="79"/>
  <c r="O12" i="79"/>
  <c r="N12" i="79"/>
  <c r="M12" i="79"/>
  <c r="W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W10" i="79" s="1"/>
  <c r="L10" i="79"/>
  <c r="K10" i="79"/>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W26" i="79" l="1"/>
  <c r="W28" i="79"/>
  <c r="W27" i="79"/>
  <c r="W25" i="79"/>
  <c r="AB23" i="79"/>
  <c r="R6" i="79"/>
  <c r="R5" i="79"/>
  <c r="R7" i="79"/>
  <c r="R8" i="79"/>
  <c r="P9" i="79"/>
  <c r="T7" i="79"/>
  <c r="W7" i="79" s="1"/>
  <c r="T6" i="79"/>
  <c r="W6" i="79" s="1"/>
  <c r="T5" i="79"/>
  <c r="W5" i="79" s="1"/>
  <c r="T8" i="79"/>
  <c r="W8" i="79" s="1"/>
  <c r="V6" i="79"/>
  <c r="V5" i="79"/>
  <c r="V7" i="79"/>
  <c r="V8" i="79"/>
  <c r="S7" i="79"/>
  <c r="S8" i="79"/>
  <c r="S5" i="79"/>
  <c r="S6" i="79"/>
  <c r="U7" i="79"/>
  <c r="U5" i="79"/>
  <c r="U8" i="79"/>
  <c r="U6" i="79"/>
  <c r="S23" i="79"/>
  <c r="P12" i="79"/>
  <c r="P14" i="79"/>
  <c r="R3" i="79"/>
  <c r="Z23" i="79"/>
  <c r="W30" i="79"/>
  <c r="W29" i="79"/>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W9" i="79"/>
  <c r="W11" i="79"/>
  <c r="W13" i="79"/>
  <c r="W15" i="79"/>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c r="A19" i="62"/>
  <c r="A12" i="62"/>
  <c r="B58" i="72" s="1"/>
  <c r="A120" i="9"/>
  <c r="A6" i="52" s="1"/>
  <c r="B57" i="72" s="1"/>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5" i="3" s="1"/>
  <c r="BT15" i="3"/>
  <c r="BT16" i="3"/>
  <c r="BT17" i="3"/>
  <c r="BM14" i="3"/>
  <c r="BL14" i="3" s="1"/>
  <c r="BM15" i="3"/>
  <c r="BM16" i="3"/>
  <c r="BM17" i="3"/>
  <c r="BO13" i="3"/>
  <c r="BO14" i="3"/>
  <c r="BO15" i="3"/>
  <c r="BO16" i="3"/>
  <c r="BL16" i="3" s="1"/>
  <c r="BO17" i="3"/>
  <c r="BN13" i="3"/>
  <c r="BN14" i="3"/>
  <c r="BN15" i="3"/>
  <c r="BL15" i="3" s="1"/>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D5" i="3" s="1"/>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A16" i="3" s="1"/>
  <c r="AZ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6"/>
  <c r="C46" i="36" s="1"/>
  <c r="D46" i="36" s="1"/>
  <c r="E46" i="36" s="1"/>
  <c r="F46" i="36" s="1"/>
  <c r="G46" i="36" s="1"/>
  <c r="H46" i="36" s="1"/>
  <c r="I46" i="36" s="1"/>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F5" i="3"/>
  <c r="AZ309" i="3"/>
  <c r="AZ317" i="3"/>
  <c r="AZ325" i="3"/>
  <c r="AZ333" i="3"/>
  <c r="AZ341" i="3"/>
  <c r="AC5" i="3"/>
  <c r="AZ549" i="3"/>
  <c r="AZ506" i="3"/>
  <c r="AZ496" i="3"/>
  <c r="G548" i="3"/>
  <c r="G538" i="3"/>
  <c r="G520" i="3"/>
  <c r="G502" i="3"/>
  <c r="BS5" i="3"/>
  <c r="BN5" i="3"/>
  <c r="G29" i="6" s="1"/>
  <c r="AZ343" i="3"/>
  <c r="BK5" i="3"/>
  <c r="BI5" i="3"/>
  <c r="BG5" i="3"/>
  <c r="BE5" i="3"/>
  <c r="BC5" i="3"/>
  <c r="G17" i="3"/>
  <c r="BA17"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E19" i="69"/>
  <c r="E19" i="68"/>
  <c r="E19" i="11"/>
  <c r="E1" i="73"/>
  <c r="G22" i="68"/>
  <c r="G22" i="11"/>
  <c r="C6" i="43"/>
  <c r="B19" i="53"/>
  <c r="B37" i="72" s="1"/>
  <c r="C7" i="39"/>
  <c r="C67" i="39" s="1"/>
  <c r="C7" i="33"/>
  <c r="C7" i="40"/>
  <c r="C63" i="40" s="1"/>
  <c r="G23" i="43"/>
  <c r="C52" i="37"/>
  <c r="D52" i="37" s="1"/>
  <c r="L20" i="6"/>
  <c r="B6" i="1"/>
  <c r="E6" i="1" s="1"/>
  <c r="K11" i="1"/>
  <c r="M11" i="1" s="1"/>
  <c r="O11" i="1" s="1"/>
  <c r="B9" i="1"/>
  <c r="K7" i="1"/>
  <c r="M7" i="1" s="1"/>
  <c r="O7" i="1" s="1"/>
  <c r="P7"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1" i="12"/>
  <c r="F30" i="69"/>
  <c r="F48" i="69" s="1"/>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AO13" i="1"/>
  <c r="F36" i="67"/>
  <c r="E11" i="76"/>
  <c r="F13" i="15"/>
  <c r="D5" i="73"/>
  <c r="F7" i="67"/>
  <c r="D3" i="73"/>
  <c r="F20" i="31"/>
  <c r="M26" i="15"/>
  <c r="F43" i="67"/>
  <c r="M23" i="15"/>
  <c r="L48" i="67"/>
  <c r="F16" i="15"/>
  <c r="M22" i="15"/>
  <c r="E10" i="76"/>
  <c r="F40" i="67"/>
  <c r="M6" i="67"/>
  <c r="F26" i="15"/>
  <c r="J15" i="67"/>
  <c r="J15" i="15"/>
  <c r="M28" i="15"/>
  <c r="L48" i="15"/>
  <c r="D7" i="73"/>
  <c r="F9" i="67"/>
  <c r="C76" i="67"/>
  <c r="F36" i="15"/>
  <c r="F37" i="67"/>
  <c r="E13" i="76"/>
  <c r="M8" i="15"/>
  <c r="F16" i="67"/>
  <c r="B11" i="76"/>
  <c r="F42" i="67"/>
  <c r="M8" i="67"/>
  <c r="F6" i="73"/>
  <c r="M9" i="67"/>
  <c r="B12" i="76"/>
  <c r="F8" i="67"/>
  <c r="F3" i="73"/>
  <c r="F13" i="67"/>
  <c r="F37" i="15"/>
  <c r="M29" i="67"/>
  <c r="M26" i="67"/>
  <c r="F5" i="73"/>
  <c r="F38" i="67"/>
  <c r="B13" i="76"/>
  <c r="M9" i="15"/>
  <c r="E2" i="68"/>
  <c r="M24" i="15"/>
  <c r="F9" i="15"/>
  <c r="B7" i="76"/>
  <c r="M28" i="67"/>
  <c r="B10" i="76"/>
  <c r="L47" i="15"/>
  <c r="E2" i="69"/>
  <c r="D4" i="73"/>
  <c r="L47" i="67"/>
  <c r="D6" i="73"/>
  <c r="F38" i="15"/>
  <c r="M6" i="15"/>
  <c r="B9" i="76"/>
  <c r="M22" i="67"/>
  <c r="F6" i="15"/>
  <c r="B8" i="76"/>
  <c r="F40" i="15"/>
  <c r="F26" i="67"/>
  <c r="E9" i="76"/>
  <c r="M24" i="67"/>
  <c r="C76" i="15"/>
  <c r="F7" i="73"/>
  <c r="E8" i="76"/>
  <c r="F8" i="15"/>
  <c r="F4" i="73"/>
  <c r="F6" i="67"/>
  <c r="F42" i="15"/>
  <c r="E12" i="76"/>
  <c r="E7" i="76"/>
  <c r="M23" i="67"/>
  <c r="G5" i="3" l="1"/>
  <c r="B3" i="3" s="1"/>
  <c r="E18" i="3" s="1"/>
  <c r="AZ17" i="3"/>
  <c r="E96" i="3"/>
  <c r="E60" i="3"/>
  <c r="E202" i="3"/>
  <c r="E483" i="3"/>
  <c r="E422" i="3"/>
  <c r="E105" i="3"/>
  <c r="E165" i="3"/>
  <c r="E149" i="3"/>
  <c r="E141" i="3"/>
  <c r="AD6" i="3"/>
  <c r="E552" i="3"/>
  <c r="E464" i="3"/>
  <c r="E398" i="3"/>
  <c r="E459" i="3"/>
  <c r="E566" i="3"/>
  <c r="E582" i="3"/>
  <c r="E460" i="3"/>
  <c r="E436" i="3"/>
  <c r="E90" i="3"/>
  <c r="E131" i="3"/>
  <c r="E155" i="3"/>
  <c r="E258" i="3"/>
  <c r="E241" i="3"/>
  <c r="E292" i="3"/>
  <c r="E363" i="3"/>
  <c r="E349" i="3"/>
  <c r="E389" i="3"/>
  <c r="E544" i="3"/>
  <c r="E76" i="3"/>
  <c r="E59" i="3"/>
  <c r="E409" i="3"/>
  <c r="E484" i="3"/>
  <c r="E425" i="3"/>
  <c r="E205" i="3"/>
  <c r="E140" i="3"/>
  <c r="E173" i="3"/>
  <c r="E525" i="3"/>
  <c r="T6" i="3"/>
  <c r="E456" i="3"/>
  <c r="E512" i="3"/>
  <c r="E451" i="3"/>
  <c r="E556" i="3"/>
  <c r="E13" i="3"/>
  <c r="E452" i="3"/>
  <c r="E420" i="3"/>
  <c r="E104" i="3"/>
  <c r="E115" i="3"/>
  <c r="E139" i="3"/>
  <c r="E281" i="3"/>
  <c r="E332" i="3"/>
  <c r="E356" i="3"/>
  <c r="E42" i="3"/>
  <c r="E75" i="3"/>
  <c r="E482" i="3"/>
  <c r="E467" i="3"/>
  <c r="E64" i="3"/>
  <c r="E46" i="3"/>
  <c r="E103" i="3"/>
  <c r="E160" i="3"/>
  <c r="E142" i="3"/>
  <c r="E200" i="3"/>
  <c r="E267" i="3"/>
  <c r="E249" i="3"/>
  <c r="E300" i="3"/>
  <c r="E371" i="3"/>
  <c r="E310" i="3"/>
  <c r="E492" i="3"/>
  <c r="E584" i="3"/>
  <c r="E23" i="3"/>
  <c r="E66" i="3"/>
  <c r="E84" i="3"/>
  <c r="E24" i="3"/>
  <c r="E67" i="3"/>
  <c r="E48" i="3"/>
  <c r="E33" i="3"/>
  <c r="E87" i="3"/>
  <c r="E144" i="3"/>
  <c r="E127" i="3"/>
  <c r="E184" i="3"/>
  <c r="E250" i="3"/>
  <c r="E233" i="3"/>
  <c r="E284" i="3"/>
  <c r="E355" i="3"/>
  <c r="E341" i="3"/>
  <c r="E381" i="3"/>
  <c r="BQ5" i="3"/>
  <c r="F28" i="6" s="1"/>
  <c r="BB5" i="3"/>
  <c r="G28" i="6"/>
  <c r="F29" i="6"/>
  <c r="C18" i="9"/>
  <c r="D18" i="9" s="1"/>
  <c r="M18" i="15"/>
  <c r="M18" i="67"/>
  <c r="F30" i="11"/>
  <c r="C48" i="11" s="1"/>
  <c r="F54" i="9"/>
  <c r="F28" i="15"/>
  <c r="F32" i="15"/>
  <c r="F60" i="15" s="1"/>
  <c r="F32" i="67"/>
  <c r="F60" i="67" s="1"/>
  <c r="F52" i="9"/>
  <c r="F28" i="67"/>
  <c r="F30" i="68"/>
  <c r="F48" i="68" s="1"/>
  <c r="C21" i="68"/>
  <c r="C40" i="69"/>
  <c r="D22" i="15"/>
  <c r="G26" i="12"/>
  <c r="G22" i="69"/>
  <c r="G1" i="69"/>
  <c r="K1" i="12"/>
  <c r="K6" i="1"/>
  <c r="BL5" i="3"/>
  <c r="AZ14" i="3"/>
  <c r="AZ15" i="3"/>
  <c r="BA5" i="3"/>
  <c r="A15" i="62"/>
  <c r="B61" i="72" s="1"/>
  <c r="H69" i="43"/>
  <c r="H67" i="43"/>
  <c r="A13" i="51"/>
  <c r="B11" i="72" s="1"/>
  <c r="K56" i="9"/>
  <c r="A118" i="9"/>
  <c r="D19" i="53"/>
  <c r="B38" i="72" s="1"/>
  <c r="D21" i="53"/>
  <c r="B39" i="72" s="1"/>
  <c r="D16" i="53"/>
  <c r="B34" i="72" s="1"/>
  <c r="C28" i="67"/>
  <c r="M47" i="9"/>
  <c r="C7" i="21"/>
  <c r="C7" i="35"/>
  <c r="C48" i="35" s="1"/>
  <c r="D48" i="35"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D9" i="68"/>
  <c r="F7" i="15"/>
  <c r="F43" i="15"/>
  <c r="C16" i="67"/>
  <c r="M29" i="15"/>
  <c r="C16" i="15"/>
  <c r="G1" i="73"/>
  <c r="E354" i="3" l="1"/>
  <c r="E386" i="3"/>
  <c r="E307" i="3"/>
  <c r="E266" i="3"/>
  <c r="E209" i="3"/>
  <c r="E248" i="3"/>
  <c r="E163" i="3"/>
  <c r="E195" i="3"/>
  <c r="E138" i="3"/>
  <c r="E65" i="3"/>
  <c r="E98" i="3"/>
  <c r="E47" i="3"/>
  <c r="E412" i="3"/>
  <c r="E428" i="3"/>
  <c r="E94" i="3"/>
  <c r="AL6" i="3"/>
  <c r="E391" i="3"/>
  <c r="E243" i="3"/>
  <c r="E225" i="3"/>
  <c r="E198" i="3"/>
  <c r="E41" i="3"/>
  <c r="E26" i="3"/>
  <c r="E470" i="3"/>
  <c r="E494" i="3"/>
  <c r="E497" i="3"/>
  <c r="E360" i="3"/>
  <c r="E408" i="3"/>
  <c r="E469" i="3"/>
  <c r="E405" i="3"/>
  <c r="E534" i="3"/>
  <c r="E369" i="3"/>
  <c r="E197" i="3"/>
  <c r="E296" i="3"/>
  <c r="E446" i="3"/>
  <c r="E521" i="3"/>
  <c r="E462" i="3"/>
  <c r="E488" i="3"/>
  <c r="E110" i="3"/>
  <c r="E58" i="3"/>
  <c r="E504" i="3"/>
  <c r="E375" i="3"/>
  <c r="E378" i="3"/>
  <c r="E348" i="3"/>
  <c r="E259" i="3"/>
  <c r="E297" i="3"/>
  <c r="E240" i="3"/>
  <c r="E187" i="3"/>
  <c r="E57" i="3"/>
  <c r="E39" i="3"/>
  <c r="E520" i="3"/>
  <c r="E413" i="3"/>
  <c r="E500" i="3"/>
  <c r="E374" i="3"/>
  <c r="E416" i="3"/>
  <c r="E487" i="3"/>
  <c r="E421" i="3"/>
  <c r="E542" i="3"/>
  <c r="E312" i="3"/>
  <c r="E167" i="3"/>
  <c r="E244" i="3"/>
  <c r="E510" i="3"/>
  <c r="E543" i="3"/>
  <c r="AH6" i="3"/>
  <c r="E25" i="3"/>
  <c r="E346" i="3"/>
  <c r="E15"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148" i="3"/>
  <c r="E536" i="3"/>
  <c r="E539" i="3"/>
  <c r="E223" i="3"/>
  <c r="E493" i="3"/>
  <c r="E486" i="3"/>
  <c r="E490" i="3"/>
  <c r="E498" i="3"/>
  <c r="E463" i="3"/>
  <c r="E178" i="3"/>
  <c r="E226" i="3"/>
  <c r="E372" i="3"/>
  <c r="E540" i="3"/>
  <c r="E16" i="3"/>
  <c r="E329" i="3"/>
  <c r="E116" i="3"/>
  <c r="E564" i="3"/>
  <c r="E507" i="3"/>
  <c r="E376" i="3"/>
  <c r="E419" i="3"/>
  <c r="E40" i="3"/>
  <c r="E119" i="3"/>
  <c r="E276" i="3"/>
  <c r="L6" i="3"/>
  <c r="E473" i="3"/>
  <c r="E79" i="3"/>
  <c r="E78" i="3"/>
  <c r="E129" i="3"/>
  <c r="E190" i="3"/>
  <c r="E174" i="3"/>
  <c r="E220" i="3"/>
  <c r="E275" i="3"/>
  <c r="E235" i="3"/>
  <c r="E324" i="3"/>
  <c r="E383" i="3"/>
  <c r="E342" i="3"/>
  <c r="E522" i="3"/>
  <c r="E35" i="3"/>
  <c r="E86" i="3"/>
  <c r="E34" i="3"/>
  <c r="E49" i="3"/>
  <c r="E206" i="3"/>
  <c r="E232" i="3"/>
  <c r="E251" i="3"/>
  <c r="E370" i="3"/>
  <c r="AF6" i="3"/>
  <c r="E50" i="3"/>
  <c r="E102" i="3"/>
  <c r="E20" i="3"/>
  <c r="E80" i="3"/>
  <c r="E62" i="3"/>
  <c r="E113" i="3"/>
  <c r="E176" i="3"/>
  <c r="E158" i="3"/>
  <c r="E218" i="3"/>
  <c r="E287" i="3"/>
  <c r="E265" i="3"/>
  <c r="E308" i="3"/>
  <c r="E365" i="3"/>
  <c r="E326" i="3"/>
  <c r="E524" i="3"/>
  <c r="E22" i="3"/>
  <c r="E101" i="3"/>
  <c r="E83" i="3"/>
  <c r="E188" i="3"/>
  <c r="E427" i="3"/>
  <c r="E440" i="3"/>
  <c r="J6" i="3"/>
  <c r="E108" i="3"/>
  <c r="E242" i="3"/>
  <c r="E43" i="3"/>
  <c r="E38" i="3"/>
  <c r="E100" i="3"/>
  <c r="E137" i="3"/>
  <c r="E234" i="3"/>
  <c r="E299" i="3"/>
  <c r="E325" i="3"/>
  <c r="AQ6" i="3"/>
  <c r="E52" i="3"/>
  <c r="E112" i="3"/>
  <c r="E147" i="3"/>
  <c r="E340" i="3"/>
  <c r="E364" i="3"/>
  <c r="E51" i="3"/>
  <c r="E63" i="3"/>
  <c r="E81" i="3"/>
  <c r="E118" i="3"/>
  <c r="E264" i="3"/>
  <c r="E283" i="3"/>
  <c r="E309" i="3"/>
  <c r="E513" i="3"/>
  <c r="E21" i="3"/>
  <c r="E393" i="3"/>
  <c r="E401" i="3"/>
  <c r="E333" i="3"/>
  <c r="E455" i="3"/>
  <c r="E170" i="3"/>
  <c r="E194" i="3"/>
  <c r="E219" i="3"/>
  <c r="E339" i="3"/>
  <c r="E392" i="3"/>
  <c r="E36" i="3"/>
  <c r="E123" i="3"/>
  <c r="E289" i="3"/>
  <c r="Y6" i="3"/>
  <c r="E68" i="3"/>
  <c r="E19" i="3"/>
  <c r="E154" i="3"/>
  <c r="E179" i="3"/>
  <c r="E222" i="3"/>
  <c r="E323" i="3"/>
  <c r="E373" i="3"/>
  <c r="E82" i="3"/>
  <c r="F30" i="6"/>
  <c r="E28" i="6"/>
  <c r="K14" i="1" s="1"/>
  <c r="K16" i="1" s="1"/>
  <c r="F50" i="15"/>
  <c r="C49" i="15" s="1"/>
  <c r="M7" i="15"/>
  <c r="J6" i="15" s="1"/>
  <c r="C6" i="15"/>
  <c r="C32" i="15" s="1"/>
  <c r="F71" i="15"/>
  <c r="AP6" i="1"/>
  <c r="C36" i="69" s="1"/>
  <c r="E83" i="43"/>
  <c r="B81" i="43" s="1"/>
  <c r="C30" i="68"/>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J18"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B1" i="74" l="1"/>
  <c r="B14" i="74"/>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B2" i="74" l="1"/>
  <c r="C14" i="74"/>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C30" i="12" s="1"/>
  <c r="C28" i="12" s="1"/>
  <c r="C5" i="68"/>
  <c r="C23" i="68"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7" i="12"/>
  <c r="C25" i="12" s="1"/>
  <c r="C32" i="12" s="1"/>
  <c r="B2" i="12" s="1"/>
  <c r="B3"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F35" i="67"/>
  <c r="M21" i="15"/>
  <c r="C25" i="68" l="1"/>
  <c r="C22" i="68" s="1"/>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D2" i="21"/>
  <c r="C102" i="9" l="1"/>
  <c r="C21" i="9"/>
  <c r="C57" i="68"/>
  <c r="C56" i="68" s="1"/>
  <c r="B3" i="68"/>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C20" i="9"/>
  <c r="L51" i="67"/>
  <c r="D34" i="9"/>
  <c r="D35" i="9"/>
  <c r="C103" i="9" l="1"/>
  <c r="Q69" i="15"/>
  <c r="Q68" i="15" s="1"/>
  <c r="I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D2" i="35"/>
  <c r="L51" i="15"/>
  <c r="Q57" i="67" l="1"/>
  <c r="Q66" i="67"/>
  <c r="Q75" i="67" s="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7" i="1"/>
  <c r="AO10" i="1"/>
  <c r="AO11" i="1"/>
  <c r="AO9"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9" i="9"/>
  <c r="AO6" i="1"/>
  <c r="D102" i="9" l="1"/>
  <c r="D22" i="9"/>
  <c r="D21" i="9"/>
  <c r="G19" i="9"/>
  <c r="G21" i="9" s="1"/>
  <c r="B6" i="70"/>
  <c r="B2" i="70" s="1"/>
  <c r="B3" i="70" s="1"/>
  <c r="D103" i="9"/>
  <c r="G20"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H118" i="9" l="1"/>
  <c r="I118" i="9" s="1"/>
  <c r="C105" i="9" s="1"/>
  <c r="F118" i="9"/>
  <c r="I4" i="52" l="1"/>
  <c r="H102" i="9"/>
  <c r="F119" i="9"/>
  <c r="F5" i="52" s="1"/>
  <c r="B53" i="72" s="1"/>
  <c r="G118" i="9"/>
  <c r="G4" i="52" s="1"/>
  <c r="B52" i="72" s="1"/>
  <c r="C104" i="9"/>
  <c r="D14" i="74"/>
  <c r="H4" i="52"/>
  <c r="H119" i="9"/>
  <c r="H5" i="52" s="1"/>
  <c r="H101" i="9"/>
  <c r="H107" i="9" s="1"/>
  <c r="F4" i="52"/>
  <c r="B51" i="72" s="1"/>
  <c r="D118" i="9"/>
  <c r="D7" i="53"/>
  <c r="B21" i="72" s="1"/>
  <c r="E118" i="9" l="1"/>
  <c r="E4" i="52" s="1"/>
  <c r="B48" i="72" s="1"/>
  <c r="D5" i="53"/>
  <c r="D6" i="53" s="1"/>
  <c r="B22" i="72" s="1"/>
  <c r="E14" i="74"/>
  <c r="B5" i="74"/>
  <c r="F14" i="74"/>
  <c r="M48" i="9"/>
  <c r="D45" i="9"/>
  <c r="D53" i="9" s="1"/>
  <c r="D119" i="9"/>
  <c r="D5" i="52" s="1"/>
  <c r="B49" i="72" s="1"/>
  <c r="D4" i="52"/>
  <c r="B47" i="72" s="1"/>
  <c r="D13" i="53"/>
  <c r="H108" i="9"/>
  <c r="D122" i="9"/>
  <c r="M49" i="9"/>
  <c r="B20" i="72"/>
  <c r="D5" i="74" l="1"/>
  <c r="C5" i="74"/>
  <c r="C78" i="9"/>
  <c r="C73" i="9" s="1"/>
  <c r="C93" i="9"/>
  <c r="C86" i="9" s="1"/>
  <c r="C72" i="9"/>
  <c r="C85" i="9"/>
  <c r="C95" i="9" s="1"/>
  <c r="C64" i="9"/>
  <c r="C63" i="9" s="1"/>
  <c r="C67" i="9" s="1"/>
  <c r="C68" i="9" s="1"/>
  <c r="D54" i="9" s="1"/>
  <c r="D52" i="9"/>
  <c r="D55" i="9"/>
  <c r="M53" i="9" s="1"/>
  <c r="L65" i="9"/>
  <c r="M65" i="9" s="1"/>
  <c r="L68" i="9"/>
  <c r="M68" i="9" s="1"/>
  <c r="L67" i="9"/>
  <c r="M67" i="9" s="1"/>
  <c r="L63" i="9"/>
  <c r="M63" i="9" s="1"/>
  <c r="L66" i="9"/>
  <c r="M66" i="9" s="1"/>
  <c r="L64" i="9"/>
  <c r="M64" i="9" s="1"/>
  <c r="C6" i="74"/>
  <c r="D15" i="53"/>
  <c r="B31" i="72" s="1"/>
  <c r="D8" i="52"/>
  <c r="D123" i="9"/>
  <c r="D9" i="52" s="1"/>
  <c r="B30" i="72"/>
  <c r="D14" i="53"/>
  <c r="B32" i="72" s="1"/>
  <c r="C79" i="9" l="1"/>
  <c r="C80" i="9" s="1"/>
  <c r="E80" i="9" s="1"/>
  <c r="E81" i="9" s="1"/>
  <c r="D59" i="9"/>
  <c r="M55" i="9" s="1"/>
  <c r="M69" i="9"/>
  <c r="N69" i="9" s="1"/>
  <c r="C96" i="9"/>
  <c r="E96" i="9" s="1"/>
  <c r="E97" i="9" s="1"/>
  <c r="C97" i="9" l="1"/>
  <c r="D58" i="9" s="1"/>
  <c r="D56" i="9" s="1"/>
  <c r="M54" i="9" s="1"/>
  <c r="N57" i="9" s="1"/>
  <c r="P57"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<sst xmlns="http://schemas.openxmlformats.org/spreadsheetml/2006/main" count="7857" uniqueCount="3432">
  <si>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</si>
  <si>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</si>
  <si>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</si>
  <si>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</si>
  <si>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</si>
  <si>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</si>
  <si>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</si>
  <si>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</si>
  <si>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</si>
  <si>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</si>
  <si>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</si>
  <si>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</si>
  <si>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</si>
  <si>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</si>
  <si>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</si>
  <si>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</si>
  <si>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</si>
  <si>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</si>
  <si>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</si>
  <si>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</si>
  <si>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</si>
  <si>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</si>
  <si>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</si>
  <si>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</si>
  <si>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</si>
  <si>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</si>
  <si>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</si>
  <si>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</si>
  <si>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</si>
  <si>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</si>
  <si>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</si>
  <si>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</si>
  <si>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</si>
  <si>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</si>
  <si>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</si>
  <si>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</si>
  <si>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</si>
  <si>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</si>
  <si>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</si>
  <si>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</si>
  <si>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</si>
  <si>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</si>
  <si>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</si>
  <si>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</si>
  <si>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</si>
  <si>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</si>
  <si>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</si>
  <si>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</si>
  <si>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</si>
  <si>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</si>
  <si>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</si>
  <si>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</si>
  <si>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</si>
  <si>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</si>
  <si>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</si>
  <si>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</si>
  <si>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</si>
  <si>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</si>
  <si>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</si>
  <si>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</si>
  <si>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</si>
  <si>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</si>
  <si>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</si>
  <si>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</si>
  <si>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</si>
  <si>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</si>
  <si>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</si>
  <si>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</si>
  <si>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</si>
  <si>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</si>
  <si>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</si>
  <si>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</si>
  <si>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</si>
  <si>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</si>
  <si>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</si>
  <si>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</si>
  <si>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</si>
  <si>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</si>
  <si>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</si>
  <si>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</si>
  <si>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</si>
  <si>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</si>
  <si>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</si>
  <si>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</si>
  <si>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</si>
  <si>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</si>
  <si>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</si>
  <si>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</si>
  <si>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</si>
  <si>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</si>
  <si>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</si>
  <si>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</si>
  <si>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</si>
  <si>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</si>
  <si>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</si>
  <si>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</si>
  <si>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</si>
  <si>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</si>
  <si>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</si>
  <si>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</si>
  <si>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</si>
  <si>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</si>
  <si>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</si>
  <si>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</si>
  <si>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</si>
  <si>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</si>
  <si>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</si>
  <si>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</si>
  <si>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</si>
  <si>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</si>
  <si>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</si>
  <si>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</si>
  <si>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</si>
  <si>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</si>
  <si>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</si>
  <si>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</si>
  <si>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</si>
  <si>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</si>
  <si>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</si>
  <si>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</si>
  <si>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</si>
  <si>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</si>
  <si>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</si>
  <si>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</si>
  <si>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</si>
  <si>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</si>
  <si>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</si>
  <si>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</si>
  <si>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</si>
  <si>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</si>
  <si>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</si>
  <si>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</si>
  <si>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</si>
  <si>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</si>
  <si>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</si>
  <si>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</si>
  <si>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</si>
  <si>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</si>
  <si>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</si>
  <si>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</si>
  <si>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</si>
  <si>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</si>
  <si>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</si>
  <si>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</si>
  <si>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</si>
  <si>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</si>
  <si>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</si>
  <si>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</si>
  <si>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</si>
  <si>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</si>
  <si>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</si>
  <si>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</si>
  <si>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</si>
  <si>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</si>
  <si>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</si>
  <si>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</si>
  <si>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</si>
  <si>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</si>
  <si>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</si>
  <si>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</si>
  <si>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</si>
  <si>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</si>
  <si>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</si>
  <si>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</si>
  <si>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</si>
  <si>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</si>
  <si>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</si>
  <si>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</si>
  <si>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</si>
  <si>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</si>
  <si>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</si>
  <si>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</si>
  <si>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</si>
  <si>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</si>
  <si>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</si>
  <si>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</si>
  <si>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</si>
  <si>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</si>
  <si>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</si>
  <si>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</si>
  <si>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</si>
  <si>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</si>
  <si>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</si>
  <si>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</si>
  <si>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</si>
  <si>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</si>
  <si>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</si>
  <si>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</si>
  <si>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</si>
  <si>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</si>
  <si>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</si>
  <si>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</si>
  <si>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</si>
  <si>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</si>
  <si>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</si>
  <si>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</si>
  <si>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</si>
  <si>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</si>
  <si>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</si>
  <si>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</si>
  <si>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</si>
  <si>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</si>
  <si>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</si>
  <si>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</si>
  <si>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</si>
  <si>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</si>
  <si>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</si>
  <si>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</si>
  <si>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</si>
  <si>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</si>
  <si>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</si>
  <si>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</si>
  <si>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</si>
  <si>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</si>
  <si>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</si>
  <si>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</si>
  <si>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</si>
  <si>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</si>
  <si>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</si>
  <si>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</si>
  <si>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</si>
  <si>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</si>
  <si>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</si>
  <si>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</si>
  <si>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</si>
  <si>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</si>
  <si>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</si>
  <si>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</si>
  <si>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</si>
  <si>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</si>
  <si>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</si>
  <si>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</si>
  <si>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</si>
  <si>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</si>
  <si>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</si>
  <si>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</si>
  <si>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</si>
  <si>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</si>
  <si>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</si>
  <si>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</si>
  <si>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</si>
  <si>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</si>
  <si>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</si>
  <si>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</si>
  <si>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</si>
  <si>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</si>
  <si>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</si>
  <si>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</si>
  <si>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</si>
  <si>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</si>
  <si>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</si>
  <si>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</si>
  <si>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</si>
  <si>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</si>
  <si>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</si>
  <si>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</si>
  <si>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</si>
  <si>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</si>
  <si>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</si>
  <si>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</si>
  <si>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</si>
  <si>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</si>
  <si>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</si>
  <si>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</si>
  <si>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</si>
  <si>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</si>
  <si>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</si>
  <si>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</si>
  <si>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</si>
  <si>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</si>
  <si>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</si>
  <si>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</si>
  <si>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</si>
  <si>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</si>
  <si>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</si>
  <si>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</si>
  <si>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</si>
  <si>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</si>
  <si>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</si>
  <si>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</si>
  <si>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</si>
  <si>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</si>
  <si>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</si>
  <si>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</si>
  <si>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</si>
  <si>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</si>
  <si>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</si>
  <si>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</si>
  <si>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</si>
  <si>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</si>
  <si>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</si>
  <si>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</si>
  <si>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</si>
  <si>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</si>
  <si>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</si>
  <si>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</si>
  <si>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</si>
  <si>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</si>
  <si>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</si>
  <si>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</si>
  <si>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</si>
  <si>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</si>
  <si>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</si>
  <si>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</si>
  <si>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</si>
  <si>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</si>
  <si>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</si>
  <si>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</si>
  <si>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</si>
  <si>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</si>
  <si>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</si>
  <si>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</si>
  <si>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</si>
  <si>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</si>
  <si>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</si>
  <si>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</si>
  <si>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</si>
  <si>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</si>
  <si>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</si>
  <si>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</si>
  <si>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</si>
  <si>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</si>
  <si>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</si>
  <si>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</si>
  <si>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</si>
  <si>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</si>
  <si>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</si>
  <si>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</si>
  <si>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</si>
  <si>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</si>
  <si>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</si>
  <si>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</si>
  <si>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</si>
  <si>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</si>
  <si>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</si>
  <si>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</si>
  <si>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</si>
  <si>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</si>
  <si>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</si>
  <si>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</si>
  <si>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</si>
  <si>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</si>
  <si>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</si>
  <si>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</si>
  <si>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</si>
  <si>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</si>
  <si>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</si>
  <si>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</si>
  <si>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</si>
  <si>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</si>
  <si>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</si>
  <si>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</si>
  <si>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</si>
  <si>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</si>
  <si>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</si>
  <si>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</si>
  <si>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</si>
  <si>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</si>
  <si>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</si>
  <si>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</si>
  <si>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</si>
  <si>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</si>
  <si>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</si>
  <si>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</si>
  <si>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</si>
  <si>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</si>
  <si>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</si>
  <si>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</si>
  <si>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</si>
  <si>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</si>
  <si>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</si>
  <si>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</si>
  <si>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</si>
  <si>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</si>
  <si>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</si>
  <si>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</si>
  <si>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</si>
  <si>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</si>
  <si>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</si>
  <si>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</si>
  <si>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</si>
  <si>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</si>
  <si>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</si>
  <si>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</si>
  <si>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</si>
  <si>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</si>
  <si>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</si>
  <si>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</si>
  <si>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</si>
  <si>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</si>
  <si>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</si>
  <si>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</si>
  <si>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</si>
  <si>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</si>
  <si>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</si>
  <si>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</si>
  <si>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</si>
  <si>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</si>
  <si>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</si>
  <si>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</si>
  <si>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</si>
  <si>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</si>
  <si>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</si>
  <si>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</si>
  <si>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</si>
  <si>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</si>
  <si>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</si>
  <si>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</si>
  <si>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</si>
  <si>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</si>
  <si>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</si>
  <si>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</si>
  <si>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</si>
  <si>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</si>
  <si>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</si>
  <si>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</si>
  <si>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</si>
  <si>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</si>
  <si>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</si>
  <si>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</si>
  <si>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</si>
  <si>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</si>
  <si>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</si>
  <si>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</si>
  <si>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</si>
  <si>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</si>
  <si>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</si>
  <si>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</si>
  <si>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</si>
  <si>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</si>
  <si>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</si>
  <si>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</si>
  <si>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</si>
  <si>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</si>
  <si>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</si>
  <si>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</si>
  <si>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</si>
  <si>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</si>
  <si>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</si>
  <si>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</si>
  <si>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</si>
  <si>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</si>
  <si>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</si>
  <si>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</si>
  <si>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</si>
  <si>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</si>
  <si>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</si>
  <si>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</si>
  <si>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</si>
  <si>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</si>
  <si>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</si>
  <si>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</si>
  <si>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</si>
  <si>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</si>
  <si>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</si>
  <si>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</si>
  <si>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</si>
  <si>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</si>
  <si>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</si>
  <si>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</si>
  <si>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</si>
  <si>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</si>
  <si>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</si>
  <si>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</si>
  <si>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</si>
  <si>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</si>
  <si>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</si>
  <si>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</si>
  <si>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</si>
  <si>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</si>
  <si>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</si>
  <si>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</si>
  <si>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</si>
  <si>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</si>
  <si>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</si>
  <si>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</si>
  <si>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</si>
  <si>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</si>
  <si>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</si>
  <si>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</si>
  <si>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</si>
  <si>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</si>
  <si>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</si>
  <si>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</si>
  <si>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</si>
  <si>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</si>
  <si>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</si>
  <si>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</si>
  <si>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</si>
  <si>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</si>
  <si>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</si>
  <si>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</si>
  <si>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</si>
  <si>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</si>
  <si>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</si>
  <si>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</si>
  <si>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</si>
  <si>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</si>
  <si>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</si>
  <si>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</si>
  <si>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</si>
  <si>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</si>
  <si>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</si>
  <si>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</si>
  <si>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</si>
  <si>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</si>
  <si>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</si>
  <si>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</si>
  <si>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</si>
  <si>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</si>
  <si>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</si>
  <si>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</si>
  <si>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</si>
  <si>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</si>
  <si>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</si>
  <si>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</si>
  <si>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</si>
  <si>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</si>
  <si>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</si>
  <si>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</si>
  <si>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</si>
  <si>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</si>
  <si>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</si>
  <si>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</si>
  <si>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</si>
  <si>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</si>
  <si>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</si>
  <si>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</si>
  <si>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</si>
  <si>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</si>
  <si>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</si>
  <si>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</si>
  <si>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</si>
  <si>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</si>
  <si>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</si>
  <si>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</si>
  <si>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</si>
  <si>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</si>
  <si>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</si>
  <si>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</si>
  <si>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</si>
  <si>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</si>
  <si>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</si>
  <si>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</si>
  <si>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</si>
  <si>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</si>
  <si>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</si>
  <si>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</si>
  <si>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</si>
  <si>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</si>
  <si>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</si>
  <si>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</si>
  <si>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</si>
  <si>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</si>
  <si>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</si>
  <si>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</si>
  <si>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</si>
  <si>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</si>
  <si>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</si>
  <si>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</si>
  <si>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</si>
  <si>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</si>
  <si>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</si>
  <si>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</si>
  <si>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</si>
  <si>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</si>
  <si>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</si>
  <si>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</si>
  <si>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</si>
  <si>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</si>
  <si>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</si>
  <si>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</si>
  <si>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</si>
  <si>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</si>
  <si>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</si>
  <si>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</si>
  <si>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</si>
  <si>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</si>
  <si>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</si>
  <si>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</si>
  <si>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</si>
  <si>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</si>
  <si>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</si>
  <si>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</si>
  <si>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</si>
  <si>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</si>
  <si>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</si>
  <si>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</si>
  <si>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</si>
  <si>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</si>
  <si>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</si>
  <si>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</si>
  <si>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</si>
  <si>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</si>
  <si>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</si>
  <si>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</si>
  <si>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</si>
  <si>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</si>
  <si>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</si>
  <si>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</si>
  <si>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</si>
  <si>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</si>
  <si>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</si>
  <si>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</si>
  <si>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</si>
  <si>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</si>
  <si>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</si>
  <si>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</si>
  <si>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</si>
  <si>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</si>
  <si>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</si>
  <si>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</si>
  <si>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</si>
  <si>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</si>
  <si>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</si>
  <si>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</si>
  <si>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</si>
  <si>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</si>
  <si>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</si>
  <si>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</si>
  <si>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</si>
  <si>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</si>
  <si>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</si>
  <si>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</si>
  <si>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</si>
  <si>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</si>
  <si>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</si>
  <si>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</si>
  <si>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</si>
  <si>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</si>
  <si>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</si>
  <si>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</si>
  <si>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</si>
  <si>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</si>
  <si>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</si>
  <si>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</si>
  <si>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</si>
  <si>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</si>
  <si>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</si>
  <si>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</si>
  <si>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</si>
  <si>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</si>
  <si>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</si>
  <si>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</si>
  <si>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</si>
  <si>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</si>
  <si>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</si>
  <si>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</si>
  <si>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</si>
  <si>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</si>
  <si>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</si>
  <si>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</si>
  <si>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</si>
  <si>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</si>
  <si>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</si>
  <si>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</si>
  <si>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</si>
  <si>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</si>
  <si>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</si>
  <si>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</si>
  <si>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</si>
  <si>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</si>
  <si>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</si>
  <si>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</si>
  <si>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</si>
  <si>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</si>
  <si>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</si>
  <si>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</si>
  <si>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</si>
  <si>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</si>
  <si>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</si>
  <si>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</si>
  <si>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</si>
  <si>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</si>
  <si>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</si>
  <si>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</si>
  <si>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</si>
  <si>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</si>
  <si>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</si>
  <si>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</si>
  <si>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</si>
  <si>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</si>
  <si>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</si>
  <si>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</si>
  <si>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</si>
  <si>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</si>
  <si>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</si>
  <si>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</si>
  <si>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</si>
  <si>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</si>
  <si>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</si>
  <si>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</si>
  <si>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</si>
  <si>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</si>
  <si>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</si>
  <si>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</si>
  <si>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</si>
  <si>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</si>
  <si>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</si>
  <si>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</si>
  <si>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</si>
  <si>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</si>
  <si>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</si>
  <si>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</si>
  <si>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</si>
  <si>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</si>
  <si>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</si>
  <si>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</si>
  <si>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</si>
  <si>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</si>
  <si>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</si>
  <si>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</si>
  <si>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</si>
  <si>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</si>
  <si>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</si>
  <si>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</si>
  <si>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</si>
  <si>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</si>
  <si>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</si>
  <si>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</si>
  <si>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</si>
  <si>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</si>
  <si>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</si>
  <si>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</si>
  <si>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</si>
  <si>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</si>
  <si>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</si>
  <si>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</si>
  <si>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</si>
  <si>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</si>
  <si>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</si>
  <si>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</si>
  <si>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</si>
  <si>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</si>
  <si>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</si>
  <si>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</si>
  <si>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</si>
  <si>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</si>
  <si>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</si>
  <si>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</si>
  <si>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</si>
  <si>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</si>
  <si>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</si>
  <si>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</si>
  <si>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</si>
  <si>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</si>
  <si>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</si>
  <si>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</si>
  <si>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</si>
  <si>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</si>
  <si>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</si>
  <si>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</si>
  <si>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</si>
  <si>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</si>
  <si>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</si>
  <si>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</si>
  <si>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</si>
  <si>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</si>
  <si>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</si>
  <si>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</si>
  <si>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</si>
  <si>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</si>
  <si>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</si>
  <si>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</si>
  <si>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</si>
  <si>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</si>
  <si>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</si>
  <si>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</si>
  <si>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</si>
  <si>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</si>
  <si>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</si>
  <si>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</si>
  <si>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</si>
  <si>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</si>
  <si>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</si>
  <si>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</si>
  <si>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</si>
  <si>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</si>
  <si>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</si>
  <si>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</si>
  <si>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</si>
  <si>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</si>
  <si>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</si>
  <si>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</si>
  <si>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</si>
  <si>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</si>
  <si>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</si>
  <si>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</si>
  <si>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</si>
  <si>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</si>
  <si>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</si>
  <si>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</si>
  <si>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</si>
  <si>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</si>
  <si>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</si>
  <si>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</si>
  <si>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</si>
  <si>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</si>
  <si>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</si>
  <si>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</si>
  <si>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</si>
  <si>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</si>
  <si>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</si>
  <si>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</si>
  <si>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</si>
  <si>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</si>
  <si>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</si>
  <si>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</si>
  <si>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</si>
  <si>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</si>
  <si>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</si>
  <si>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</si>
  <si>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</si>
  <si>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</si>
  <si>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</si>
  <si>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</si>
  <si>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</si>
  <si>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</si>
  <si>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</si>
  <si>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</si>
  <si>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</si>
  <si>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</si>
  <si>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</si>
  <si>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</si>
  <si>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</si>
  <si>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</si>
  <si>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</si>
  <si>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</si>
  <si>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</si>
  <si>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</si>
  <si>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</si>
  <si>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</si>
  <si>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</si>
  <si>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</si>
  <si>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</si>
  <si>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</si>
  <si>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</si>
  <si>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</si>
  <si>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</si>
  <si>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</si>
  <si>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</si>
  <si>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</si>
  <si>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</si>
  <si>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</si>
  <si>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</si>
  <si>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</si>
  <si>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</si>
  <si>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</si>
  <si>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</si>
  <si>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</si>
  <si>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</si>
  <si>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</si>
  <si>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</si>
  <si>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</si>
  <si>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</si>
  <si>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</si>
  <si>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</si>
  <si>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</si>
  <si>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</si>
  <si>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</si>
  <si>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</si>
  <si>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</si>
  <si>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</si>
  <si>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</si>
  <si>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</si>
  <si>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</si>
  <si>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</si>
  <si>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</si>
  <si>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</si>
  <si>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</si>
  <si>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</si>
  <si>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</si>
  <si>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</si>
  <si>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</si>
  <si>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</si>
  <si>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</si>
  <si>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</si>
  <si>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</si>
  <si>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</si>
  <si>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</si>
  <si>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</si>
  <si>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</si>
  <si>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</si>
  <si>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</si>
  <si>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</si>
  <si>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</si>
  <si>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</si>
  <si>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</si>
  <si>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</si>
  <si>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</si>
  <si>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</si>
  <si>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</si>
  <si>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</si>
  <si>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</si>
  <si>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</si>
  <si>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</si>
  <si>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</si>
  <si>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</si>
  <si>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</si>
  <si>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</si>
  <si>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</si>
  <si>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</si>
  <si>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</si>
  <si>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</si>
  <si>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</si>
  <si>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</si>
  <si>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</si>
  <si>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</si>
  <si>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</si>
  <si>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</si>
  <si>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</si>
  <si>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</si>
  <si>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</si>
  <si>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</si>
  <si>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</si>
  <si>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</si>
  <si>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</si>
  <si>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</si>
  <si>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</si>
  <si>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</si>
  <si>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</si>
  <si>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</si>
  <si>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</si>
  <si>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</si>
  <si>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</si>
  <si>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</si>
  <si>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</si>
  <si>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</si>
  <si>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</si>
  <si>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</si>
  <si>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</si>
  <si>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</si>
  <si>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</si>
  <si>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</si>
  <si>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</si>
  <si>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</si>
  <si>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</si>
  <si>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</si>
  <si>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</si>
  <si>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</si>
  <si>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</si>
  <si>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</si>
  <si>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</si>
  <si>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</si>
  <si>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</si>
  <si>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</si>
  <si>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</si>
  <si>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</si>
  <si>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</si>
  <si>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</si>
  <si>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</si>
  <si>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</si>
  <si>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</si>
  <si>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</si>
  <si>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</si>
  <si>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</si>
  <si>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</si>
  <si>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</si>
  <si>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</si>
  <si>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</si>
  <si>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</si>
  <si>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</si>
  <si>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</si>
  <si>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</si>
  <si>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</si>
  <si>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</si>
  <si>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</si>
  <si>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</si>
  <si>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</si>
  <si>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</si>
  <si>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</si>
  <si>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</si>
  <si>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</si>
  <si>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</si>
  <si>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</si>
  <si>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</si>
  <si>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</si>
  <si>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</si>
  <si>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</si>
  <si>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</si>
  <si>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</si>
  <si>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</si>
  <si>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</si>
  <si>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</si>
  <si>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</si>
  <si>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</si>
  <si>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</si>
  <si>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</si>
  <si>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</si>
  <si>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</si>
  <si>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</si>
  <si>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</si>
  <si>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</si>
  <si>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</si>
  <si>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</si>
  <si>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</si>
  <si>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</si>
  <si>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</si>
  <si>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</si>
  <si>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</si>
  <si>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</si>
  <si>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</si>
  <si>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</si>
  <si>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</si>
  <si>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</si>
  <si>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</si>
  <si>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</si>
  <si>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</si>
  <si>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</si>
  <si>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</si>
  <si>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</si>
  <si>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</si>
  <si>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</si>
  <si>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</si>
  <si>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</si>
  <si>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</si>
  <si>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</si>
  <si>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</si>
  <si>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</si>
  <si>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</si>
  <si>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</si>
  <si>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</si>
  <si>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</si>
  <si>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</si>
  <si>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</si>
  <si>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</si>
  <si>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</si>
  <si>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</si>
  <si>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</si>
  <si>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</si>
  <si>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</si>
  <si>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</si>
  <si>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</si>
  <si>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</si>
  <si>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</si>
  <si>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</si>
  <si>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</si>
  <si>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</si>
  <si>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</si>
  <si>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</si>
  <si>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</si>
  <si>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</si>
  <si>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</si>
  <si>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</si>
  <si>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</si>
  <si>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</si>
  <si>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</si>
  <si>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</si>
  <si>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</si>
  <si>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</si>
  <si>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</si>
  <si>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</si>
  <si>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</si>
  <si>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</si>
  <si>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</si>
  <si>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</si>
  <si>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</si>
  <si>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</si>
  <si>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</si>
  <si>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</si>
  <si>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</si>
  <si>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</si>
  <si>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</si>
  <si>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</si>
  <si>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</si>
  <si>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</si>
  <si>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</si>
  <si>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</si>
  <si>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</si>
  <si>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</si>
  <si>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</si>
  <si>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</si>
  <si>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</si>
  <si>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</si>
  <si>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</si>
  <si>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</si>
  <si>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</si>
  <si>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</si>
  <si>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</si>
  <si>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</si>
  <si>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</si>
  <si>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</si>
  <si>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</si>
  <si>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</si>
  <si>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</si>
  <si>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</si>
  <si>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</si>
  <si>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</si>
  <si>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</si>
  <si>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</si>
  <si>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</si>
  <si>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</si>
  <si>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</si>
  <si>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</si>
  <si>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</si>
  <si>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</si>
  <si>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</si>
  <si>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</si>
  <si>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</si>
  <si>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</si>
  <si>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</si>
  <si>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</si>
  <si>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</si>
  <si>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</si>
  <si>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</si>
  <si>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</si>
  <si>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</si>
  <si>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</si>
  <si>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</si>
  <si>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</si>
  <si>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</si>
  <si>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</si>
  <si>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</si>
  <si>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</si>
  <si>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</si>
  <si>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</si>
  <si>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</si>
  <si>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</si>
  <si>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</si>
  <si>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</si>
  <si>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</si>
  <si>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</si>
  <si>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</si>
  <si>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</si>
  <si>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</si>
  <si>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</si>
  <si>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</si>
  <si>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</si>
  <si>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</si>
  <si>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</si>
  <si>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</si>
  <si>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</si>
  <si>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</si>
  <si>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</si>
  <si>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</si>
  <si>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</si>
  <si>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</si>
  <si>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</si>
  <si>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</si>
  <si>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</si>
  <si>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</si>
  <si>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</si>
  <si>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</si>
  <si>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</si>
  <si>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</si>
  <si>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</si>
  <si>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</si>
  <si>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</si>
  <si>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</si>
  <si>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</si>
  <si>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</si>
  <si>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</si>
  <si>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</si>
  <si>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</si>
  <si>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</si>
  <si>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</si>
  <si>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</si>
  <si>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</si>
  <si>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</si>
  <si>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</si>
  <si>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</si>
  <si>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</si>
  <si>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</si>
  <si>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</si>
  <si>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</si>
  <si>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</si>
  <si>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</si>
  <si>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</si>
  <si>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</si>
  <si>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</si>
  <si>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</si>
  <si>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</si>
  <si>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</si>
  <si>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</si>
  <si>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</si>
  <si>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</si>
  <si>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</si>
  <si>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</si>
  <si>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</si>
  <si>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</si>
  <si>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</si>
  <si>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</si>
  <si>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</si>
  <si>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</si>
  <si>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</si>
  <si>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</si>
  <si>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</si>
  <si>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</si>
  <si>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</si>
  <si>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</si>
  <si>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</si>
  <si>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</si>
  <si>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</si>
  <si>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</si>
  <si>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</si>
  <si>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</si>
  <si>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</si>
  <si>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</si>
  <si>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</si>
  <si>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</si>
  <si>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</si>
  <si>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</si>
  <si>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</si>
  <si>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</si>
  <si>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</si>
  <si>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</si>
  <si>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</si>
  <si>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</si>
  <si>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</si>
  <si>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</si>
  <si>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</si>
  <si>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</si>
  <si>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</si>
  <si>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</si>
  <si>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</si>
  <si>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</si>
  <si>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</si>
  <si>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</si>
  <si>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</si>
  <si>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</si>
  <si>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</si>
  <si>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</si>
  <si>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</si>
  <si>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</si>
  <si>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</si>
  <si>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</si>
  <si>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</si>
  <si>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</si>
  <si>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</si>
  <si>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</si>
  <si>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</si>
  <si>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</si>
  <si>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</si>
  <si>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</si>
  <si>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</si>
  <si>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</si>
  <si>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</si>
  <si>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</si>
  <si>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</si>
  <si>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</si>
  <si>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</si>
  <si>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</si>
  <si>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</si>
  <si>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</si>
  <si>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</si>
  <si>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</si>
  <si>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</si>
  <si>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</si>
  <si>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</si>
  <si>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</si>
  <si>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</si>
  <si>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</si>
  <si>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</si>
  <si>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</si>
  <si>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</si>
  <si>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</si>
  <si>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</si>
  <si>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</si>
  <si>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</si>
  <si>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</si>
  <si>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</si>
  <si>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</si>
  <si>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</si>
  <si>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</si>
  <si>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</si>
  <si>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</si>
  <si>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</si>
  <si>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</si>
  <si>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</si>
  <si>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</si>
  <si>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</si>
  <si>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</si>
  <si>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</si>
  <si>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</si>
  <si>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</si>
  <si>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</si>
  <si>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</si>
  <si>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</si>
  <si>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</si>
  <si>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</si>
  <si>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</si>
  <si>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</si>
  <si>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</si>
  <si>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</si>
  <si>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</si>
  <si>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</si>
  <si>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</si>
  <si>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</si>
  <si>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</si>
  <si>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</si>
  <si>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</si>
  <si>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</si>
  <si>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</si>
  <si>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</si>
  <si>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</si>
  <si>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</si>
  <si>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</si>
  <si>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</si>
  <si>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</si>
  <si>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</si>
  <si>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</si>
  <si>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</si>
  <si>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</si>
  <si>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</si>
  <si>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</si>
  <si>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</si>
  <si>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</si>
  <si>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</si>
  <si>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</si>
  <si>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</si>
  <si>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</si>
  <si>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</si>
  <si>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</si>
  <si>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</si>
  <si>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</si>
  <si>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</si>
  <si>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</si>
  <si>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</si>
  <si>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</si>
  <si>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</si>
  <si>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</si>
  <si>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</si>
  <si>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</si>
  <si>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</si>
  <si>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</si>
  <si>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</si>
  <si>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</si>
  <si>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</si>
  <si>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</si>
  <si>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</si>
  <si>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</si>
  <si>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</si>
  <si>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</si>
  <si>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</si>
  <si>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</si>
  <si>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</si>
  <si>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</si>
  <si>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</si>
  <si>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</si>
  <si>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</si>
  <si>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</si>
  <si>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</si>
  <si>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</si>
  <si>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</si>
  <si>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</si>
  <si>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</si>
  <si>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</si>
  <si>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</si>
  <si>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</si>
  <si>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</si>
  <si>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</si>
  <si>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</si>
  <si>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</si>
  <si>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</si>
  <si>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</si>
  <si>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</si>
  <si>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</si>
  <si>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</si>
  <si>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</si>
  <si>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</si>
  <si>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</si>
  <si>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</si>
  <si>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</si>
  <si>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</si>
  <si>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</si>
  <si>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</si>
  <si>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</si>
  <si>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</si>
  <si>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</si>
  <si>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</si>
  <si>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</si>
  <si>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</si>
  <si>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</si>
  <si>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</si>
  <si>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</si>
  <si>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</si>
  <si>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</si>
  <si>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</si>
  <si>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</si>
  <si>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</si>
  <si>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</si>
  <si>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</si>
  <si>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</si>
  <si>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</si>
  <si>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</si>
  <si>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</si>
  <si>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</si>
  <si>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</si>
  <si>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</si>
  <si>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</si>
  <si>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</si>
  <si>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</si>
  <si>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</si>
  <si>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</si>
  <si>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</si>
  <si>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</si>
  <si>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</si>
  <si>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</si>
  <si>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</si>
  <si>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</si>
  <si>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</si>
  <si>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</si>
  <si>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</si>
  <si>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</si>
  <si>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</si>
  <si>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</si>
  <si>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</si>
  <si>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</si>
  <si>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</si>
  <si>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</si>
  <si>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</si>
  <si>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</si>
  <si>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</si>
  <si>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</si>
  <si>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</si>
  <si>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</si>
  <si>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</si>
  <si>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</si>
  <si>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</si>
  <si>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</si>
  <si>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</si>
  <si>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</si>
  <si>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</si>
  <si>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</si>
  <si>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</si>
  <si>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</si>
  <si>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</si>
  <si>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</si>
  <si>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</si>
  <si>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</si>
  <si>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</si>
  <si>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</si>
  <si>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</si>
  <si>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</si>
  <si>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</si>
  <si>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</si>
  <si>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</si>
  <si>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</si>
  <si>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</si>
  <si>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</si>
  <si>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</si>
  <si>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</si>
  <si>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</si>
  <si>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</si>
  <si>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</si>
  <si>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</si>
  <si>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</si>
  <si>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</si>
  <si>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</si>
  <si>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</si>
  <si>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</si>
  <si>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</si>
  <si>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</si>
  <si>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</si>
  <si>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</si>
  <si>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</si>
  <si>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</si>
  <si>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</si>
  <si>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</si>
  <si>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</si>
  <si>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</si>
  <si>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</si>
  <si>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</si>
  <si>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</si>
  <si>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</si>
  <si>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</si>
  <si>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</si>
  <si>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</si>
  <si>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</si>
  <si>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</si>
  <si>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</si>
  <si>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</si>
  <si>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</si>
  <si>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</si>
  <si>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</si>
  <si>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</si>
  <si>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</si>
  <si>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</si>
  <si>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</si>
  <si>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</si>
  <si>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</si>
  <si>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</si>
  <si>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</si>
  <si>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</si>
  <si>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</si>
  <si>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</si>
  <si>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</si>
  <si>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</si>
  <si>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</si>
  <si>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</si>
  <si>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</si>
  <si>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</si>
  <si>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</si>
  <si>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</si>
  <si>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</si>
  <si>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</si>
  <si>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</si>
  <si>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</si>
  <si>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</si>
  <si>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</si>
  <si>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</si>
  <si>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</si>
  <si>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</si>
  <si>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</si>
  <si>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</si>
  <si>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</si>
  <si>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</si>
  <si>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</si>
  <si>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</si>
  <si>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</si>
  <si>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</si>
  <si>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</si>
  <si>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</si>
  <si>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</si>
  <si>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</si>
  <si>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</si>
  <si>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</si>
  <si>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</si>
  <si>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</si>
  <si>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</si>
  <si>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</si>
  <si>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</si>
  <si>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</si>
  <si>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</si>
  <si>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</si>
  <si>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</si>
  <si>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</si>
  <si>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</si>
  <si>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</si>
  <si>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</si>
  <si>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</si>
  <si>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</si>
  <si>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</si>
  <si>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</si>
  <si>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</si>
  <si>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</si>
  <si>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</si>
  <si>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</si>
  <si>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</si>
  <si>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</si>
  <si>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</si>
  <si>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</si>
  <si>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</si>
  <si>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</si>
  <si>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</si>
  <si>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</si>
  <si>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</si>
  <si>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</si>
  <si>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</si>
  <si>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</si>
  <si>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</si>
  <si>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</si>
  <si>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</si>
  <si>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</si>
  <si>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</si>
  <si>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</si>
  <si>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</si>
  <si>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</si>
  <si>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</si>
  <si>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</si>
  <si>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</si>
  <si>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</si>
  <si>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</si>
  <si>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</si>
  <si>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</si>
  <si>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</si>
  <si>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</si>
  <si>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</si>
  <si>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</si>
  <si>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</si>
  <si>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</si>
  <si>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</si>
  <si>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</si>
  <si>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</si>
  <si>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</si>
  <si>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</si>
  <si>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</si>
  <si>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</si>
  <si>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</si>
  <si>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</si>
  <si>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</si>
  <si>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</si>
  <si>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</si>
  <si>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</si>
  <si>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</si>
  <si>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</si>
  <si>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</si>
  <si>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</si>
  <si>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</si>
  <si>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</si>
  <si>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</si>
  <si>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</si>
  <si>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</si>
  <si>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</si>
  <si>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</si>
  <si>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</si>
  <si>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</si>
  <si>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</si>
  <si>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</si>
  <si>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</si>
  <si>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</si>
  <si>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</si>
  <si>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</si>
  <si>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</si>
  <si>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</si>
  <si>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</si>
  <si>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</si>
  <si>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</si>
  <si>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</si>
  <si>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</si>
  <si>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</si>
  <si>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</si>
  <si>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</si>
  <si>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</si>
  <si>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</si>
  <si>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</si>
  <si>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</si>
  <si>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</si>
  <si>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</si>
  <si>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</si>
  <si>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</si>
  <si>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</si>
  <si>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</si>
  <si>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</si>
  <si>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</si>
  <si>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</si>
  <si>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</si>
  <si>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</si>
  <si>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</si>
  <si>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</si>
  <si>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</si>
  <si>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</si>
  <si>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</si>
  <si>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</si>
  <si>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</si>
  <si>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</si>
  <si>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</si>
  <si>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</si>
  <si>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</si>
  <si>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</si>
  <si>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</si>
  <si>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</si>
  <si>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</si>
  <si>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</si>
  <si>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</si>
  <si>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</si>
  <si>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</si>
  <si>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</si>
  <si>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</si>
  <si>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</si>
  <si>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</si>
  <si>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</si>
  <si>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</si>
  <si>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</si>
  <si>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</si>
  <si>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</si>
  <si>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</si>
  <si>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</si>
  <si>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</si>
  <si>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</si>
  <si>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</si>
  <si>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</si>
  <si>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</si>
  <si>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</si>
  <si>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</si>
  <si>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</si>
  <si>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</si>
  <si>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</si>
  <si>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</si>
  <si>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</si>
  <si>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</si>
  <si>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</si>
  <si>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</si>
  <si>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</si>
  <si>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</si>
  <si>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</si>
  <si>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</si>
  <si>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</si>
  <si>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</si>
  <si>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</si>
  <si>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</si>
  <si>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</si>
  <si>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</si>
  <si>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</si>
  <si>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</si>
  <si>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</si>
  <si>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</si>
  <si>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</si>
  <si>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</si>
  <si>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</si>
  <si>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</si>
  <si>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</si>
  <si>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</si>
  <si>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</si>
  <si>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</si>
  <si>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</si>
  <si>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</si>
  <si>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</si>
  <si>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</si>
  <si>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</si>
  <si>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</si>
  <si>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</si>
  <si>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</si>
  <si>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</si>
  <si>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</si>
  <si>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</si>
  <si>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</si>
  <si>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</si>
  <si>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</si>
  <si>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</si>
  <si>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</si>
  <si>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</si>
  <si>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</si>
  <si>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</si>
  <si>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</si>
  <si>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</si>
  <si>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</si>
  <si>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</si>
  <si>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</si>
  <si>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</si>
  <si>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</si>
  <si>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</si>
  <si>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</si>
  <si>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</si>
  <si>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</si>
  <si>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</si>
  <si>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</si>
  <si>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</si>
  <si>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</si>
  <si>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</si>
  <si>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</si>
  <si>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</si>
  <si>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</si>
  <si>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</si>
  <si>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</si>
  <si>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</si>
  <si>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</si>
  <si>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</si>
  <si>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</si>
  <si>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</si>
  <si>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</si>
  <si>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</si>
  <si>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</si>
  <si>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</si>
  <si>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</si>
  <si>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</si>
  <si>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</si>
  <si>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</si>
  <si>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</si>
  <si>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</si>
  <si>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</si>
  <si>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</si>
  <si>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</si>
  <si>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</si>
  <si>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</si>
  <si>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</si>
  <si>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</si>
  <si>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</si>
  <si>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</si>
  <si>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</si>
  <si>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</si>
  <si>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</si>
  <si>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</si>
  <si>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</si>
  <si>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</si>
  <si>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</si>
  <si>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</si>
  <si>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</si>
  <si>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</si>
  <si>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</si>
  <si>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</si>
  <si>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</si>
  <si>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</si>
  <si>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</si>
  <si>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</si>
  <si>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</si>
  <si>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</si>
  <si>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</si>
  <si>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</si>
  <si>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</si>
  <si>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</si>
  <si>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</si>
  <si>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</si>
  <si>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</si>
  <si>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</si>
  <si>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</si>
  <si>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</si>
  <si>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</si>
  <si>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</si>
  <si>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</si>
  <si>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</si>
  <si>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</si>
  <si>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</si>
  <si>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</si>
  <si>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</si>
  <si>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</si>
  <si>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</si>
  <si>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</si>
  <si>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</si>
  <si>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</si>
  <si>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</si>
  <si>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</si>
  <si>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</si>
  <si>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</si>
  <si>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</si>
  <si>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</si>
  <si>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</si>
  <si>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</si>
  <si>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</si>
  <si>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</si>
  <si>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</si>
  <si>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</si>
  <si>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</si>
  <si>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</si>
  <si>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</si>
  <si>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</si>
  <si>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</si>
  <si>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</si>
  <si>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</si>
  <si>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</si>
  <si>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</si>
  <si>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</si>
  <si>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</si>
  <si>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</si>
  <si>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</si>
  <si>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</si>
  <si>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</si>
  <si>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</si>
  <si>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</si>
  <si>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</si>
  <si>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</si>
  <si>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</si>
  <si>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</si>
  <si>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</si>
  <si>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</si>
  <si>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</si>
  <si>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</si>
  <si>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</si>
  <si>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</si>
  <si>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</si>
  <si>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</si>
  <si>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</si>
  <si>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</si>
  <si>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</si>
  <si>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</si>
  <si>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</si>
  <si>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</si>
  <si>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</si>
  <si>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</si>
  <si>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</si>
  <si>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</si>
  <si>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</si>
  <si>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</si>
  <si>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</si>
  <si>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</si>
  <si>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</si>
  <si>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</si>
  <si>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</si>
  <si>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</si>
  <si>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</si>
  <si>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</si>
  <si>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</si>
  <si>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</si>
  <si>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</si>
  <si>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</si>
  <si>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</si>
  <si>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</si>
  <si>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</si>
  <si>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</si>
  <si>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</si>
  <si>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</si>
  <si>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</si>
  <si>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</si>
  <si>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</si>
  <si>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</si>
  <si>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</si>
  <si>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</si>
  <si>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</si>
  <si>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</si>
  <si>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</si>
  <si>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</si>
  <si>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</si>
  <si>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</si>
  <si>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</si>
  <si>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</si>
  <si>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</si>
  <si>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</si>
  <si>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</si>
  <si>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</si>
  <si>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</si>
  <si>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</si>
  <si>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</si>
  <si>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</si>
  <si>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</si>
  <si>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</si>
  <si>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</si>
  <si>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</si>
  <si>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</si>
  <si>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</si>
  <si>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</si>
  <si>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</si>
  <si>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</si>
  <si>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</si>
  <si>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</si>
  <si>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</si>
  <si>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</si>
  <si>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</si>
  <si>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</si>
  <si>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</si>
  <si>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</si>
  <si>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</si>
  <si>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</si>
  <si>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</si>
  <si>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</si>
  <si>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</si>
  <si>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</si>
  <si>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</si>
  <si>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</si>
  <si>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</si>
  <si>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</si>
  <si>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</si>
  <si>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</si>
  <si>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</si>
  <si>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</si>
  <si>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</si>
  <si>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</si>
  <si>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</si>
  <si>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</si>
  <si>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</si>
  <si>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</si>
  <si>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</si>
  <si>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</si>
  <si>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</si>
  <si>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</si>
  <si>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</si>
  <si>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</si>
  <si>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</si>
  <si>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</si>
  <si>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</si>
  <si>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</si>
  <si>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</si>
  <si>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</si>
  <si>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</si>
  <si>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</si>
  <si>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</si>
  <si>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</si>
  <si>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</si>
  <si>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</si>
  <si>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</si>
  <si>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</si>
  <si>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</si>
  <si>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</si>
  <si>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</si>
  <si>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</si>
  <si>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</si>
  <si>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</si>
  <si>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</si>
  <si>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</si>
  <si>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</si>
  <si>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</si>
  <si>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</si>
  <si>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</si>
  <si>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</si>
  <si>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</si>
  <si>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</si>
  <si>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</si>
  <si>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</si>
  <si>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</si>
  <si>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</si>
  <si>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</si>
  <si>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</si>
  <si>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</si>
  <si>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</si>
  <si>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</si>
  <si>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</si>
  <si>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</si>
  <si>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</si>
  <si>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</si>
  <si>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</si>
  <si>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</si>
  <si>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</si>
  <si>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</si>
  <si>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</si>
  <si>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</si>
  <si>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</si>
  <si>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</si>
  <si>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</si>
  <si>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</si>
  <si>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</si>
  <si>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</si>
  <si>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</si>
  <si>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</si>
  <si>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</si>
  <si>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</si>
  <si>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</si>
  <si>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</si>
  <si>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</si>
  <si>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</si>
  <si>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</si>
  <si>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</si>
  <si>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</si>
  <si>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</si>
  <si>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</si>
  <si>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</si>
  <si>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</si>
  <si>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</si>
  <si>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</si>
  <si>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</si>
  <si>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</si>
  <si>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</si>
  <si>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</si>
  <si>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</si>
  <si>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</si>
  <si>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</si>
  <si>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</si>
  <si>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</si>
  <si>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</si>
  <si>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</si>
  <si>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</si>
  <si>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</si>
  <si>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</si>
  <si>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</si>
  <si>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</si>
  <si>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</si>
  <si>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</si>
  <si>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</si>
  <si>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</si>
  <si>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</si>
  <si>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</si>
  <si>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</si>
  <si>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</si>
  <si>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</si>
  <si>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</si>
  <si>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</si>
  <si>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</si>
  <si>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</si>
  <si>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</si>
  <si>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</si>
  <si>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</si>
  <si>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</si>
  <si>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</si>
  <si>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</si>
  <si>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</si>
  <si>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</si>
  <si>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</si>
  <si>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</si>
  <si>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</si>
  <si>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</si>
  <si>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</si>
  <si>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</si>
  <si>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</si>
  <si>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</si>
  <si>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</si>
  <si>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</si>
  <si>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</si>
  <si>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</si>
  <si>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</si>
  <si>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</si>
  <si>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</si>
  <si>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</si>
  <si>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</si>
  <si>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</si>
  <si>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</si>
  <si>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</si>
  <si>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</si>
  <si>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</si>
  <si>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</si>
  <si>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</si>
  <si>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</si>
  <si>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</si>
  <si>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</si>
  <si>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</si>
  <si>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</si>
  <si>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</si>
  <si>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</si>
  <si>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</si>
  <si>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</si>
  <si>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</si>
  <si>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</si>
  <si>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</si>
  <si>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</si>
  <si>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</si>
  <si>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</si>
  <si>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</si>
  <si>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</si>
  <si>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</si>
  <si>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</si>
  <si>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</si>
  <si>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</si>
  <si>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</si>
  <si>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</si>
  <si>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</si>
  <si>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</si>
  <si>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</si>
  <si>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</si>
  <si>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</si>
  <si>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</si>
  <si>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</si>
  <si>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</si>
  <si>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</si>
  <si>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</si>
  <si>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</si>
  <si>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</si>
  <si>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</si>
  <si>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</si>
  <si>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</si>
  <si>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</si>
  <si>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</si>
  <si>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</si>
  <si>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</si>
  <si>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</si>
  <si>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</si>
  <si>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</si>
  <si>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</si>
  <si>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</si>
  <si>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</si>
  <si>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</si>
  <si>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</si>
  <si>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</si>
  <si>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</si>
  <si>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</si>
  <si>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</si>
  <si>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</si>
  <si>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</si>
  <si>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</si>
  <si>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</si>
  <si>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</si>
  <si>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</si>
  <si>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</si>
  <si>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</si>
  <si>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</si>
  <si>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</si>
  <si>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</si>
  <si>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</si>
  <si>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</si>
  <si>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</si>
  <si>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</si>
  <si>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</si>
  <si>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</si>
  <si>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</si>
  <si>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</si>
  <si>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</si>
  <si>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</si>
  <si>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</si>
  <si>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</si>
  <si>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</si>
  <si>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</si>
  <si>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</si>
  <si>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</si>
  <si>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</si>
  <si>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</si>
  <si>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</si>
  <si>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</si>
  <si>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</si>
  <si>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</si>
  <si>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</si>
  <si>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</si>
  <si>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</si>
  <si>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</si>
  <si>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</si>
  <si>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</si>
  <si>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</si>
  <si>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</si>
  <si>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</si>
  <si>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</si>
  <si>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</si>
  <si>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</si>
  <si>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</si>
  <si>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</si>
  <si>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</si>
  <si>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</si>
  <si>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</si>
  <si>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</si>
  <si>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</si>
  <si>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</si>
  <si>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</si>
  <si>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</si>
  <si>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</si>
  <si>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</si>
  <si>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</si>
  <si>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</si>
  <si>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</si>
  <si>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</si>
  <si>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</si>
  <si>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</si>
  <si>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</si>
  <si>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</si>
  <si>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</si>
  <si>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</si>
  <si>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</si>
  <si>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</si>
  <si>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</si>
  <si>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</si>
  <si>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</si>
  <si>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</si>
  <si>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</si>
  <si>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</si>
  <si>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</si>
  <si>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</si>
  <si>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</si>
  <si>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</si>
  <si>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</si>
  <si>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</si>
  <si>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</si>
  <si>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</si>
  <si>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</si>
  <si>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</si>
  <si>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</si>
  <si>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</si>
  <si>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</si>
  <si>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</si>
  <si>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</si>
  <si>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</si>
  <si>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</si>
  <si>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</si>
  <si>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</si>
  <si>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</si>
  <si>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</si>
  <si>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</si>
  <si>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</si>
  <si>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</si>
  <si>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</si>
  <si>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</si>
  <si>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</si>
  <si>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</si>
  <si>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</si>
  <si>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</si>
  <si>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</si>
  <si>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</si>
  <si>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</si>
  <si>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</si>
  <si>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</si>
  <si>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</si>
  <si>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</si>
  <si>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</si>
  <si>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</si>
  <si>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</si>
  <si>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</si>
  <si>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</si>
  <si>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</si>
  <si>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</si>
  <si>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</si>
  <si>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</si>
  <si>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</si>
  <si>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</si>
  <si>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</si>
  <si>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</si>
  <si>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</si>
  <si>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</si>
  <si>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</si>
  <si>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</si>
  <si>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</si>
  <si>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</si>
  <si>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</si>
  <si>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</si>
  <si>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</si>
  <si>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</si>
  <si>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</si>
  <si>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</si>
  <si>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</si>
  <si>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</si>
  <si>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</si>
  <si>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</si>
  <si>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</si>
  <si>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</si>
  <si>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</si>
  <si>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</si>
  <si>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</si>
  <si>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</si>
  <si>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</si>
  <si>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</si>
  <si>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</si>
  <si>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</si>
  <si>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</si>
  <si>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</si>
  <si>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</si>
  <si>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</si>
  <si>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</si>
  <si>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</si>
  <si>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</si>
  <si>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</si>
  <si>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</si>
  <si>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</si>
  <si>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</si>
  <si>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</si>
  <si>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</si>
  <si>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</si>
  <si>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</si>
  <si>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</si>
  <si>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</si>
  <si>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</si>
  <si>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</si>
  <si>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</si>
  <si>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</si>
  <si>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</si>
  <si>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</si>
  <si>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</si>
  <si>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</si>
  <si>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</si>
  <si>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</si>
  <si>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</si>
  <si>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</si>
  <si>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</si>
  <si>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</si>
  <si>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</si>
  <si>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</si>
  <si>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</si>
  <si>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</si>
  <si>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</si>
  <si>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</si>
  <si>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</si>
  <si>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</si>
  <si>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</si>
  <si>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</si>
  <si>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</si>
  <si>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</si>
  <si>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</si>
  <si>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</si>
  <si>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</si>
  <si>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</si>
  <si>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</si>
  <si>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</si>
  <si>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</si>
  <si>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</si>
  <si>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</si>
  <si>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</si>
  <si>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</si>
  <si>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</si>
  <si>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</si>
  <si>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</si>
  <si>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</si>
  <si>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</si>
  <si>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</si>
  <si>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</si>
  <si>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</si>
  <si>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</si>
  <si>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</si>
  <si>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</si>
  <si>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</si>
  <si>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</si>
  <si>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</si>
  <si>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</si>
  <si>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</si>
  <si>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</si>
  <si>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</si>
  <si>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</si>
  <si>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</si>
  <si>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</si>
  <si>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</si>
  <si>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</si>
  <si>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</si>
  <si>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</si>
  <si>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</si>
  <si>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</si>
  <si>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</si>
  <si>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</si>
  <si>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</si>
  <si>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</si>
  <si>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</si>
  <si>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</si>
  <si>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</si>
  <si>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</si>
  <si>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</si>
  <si>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</si>
  <si>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</si>
  <si>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</si>
  <si>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</si>
  <si>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</si>
  <si>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</si>
  <si>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</si>
  <si>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</si>
  <si>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</si>
  <si>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</si>
  <si>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</si>
  <si>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</si>
  <si>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</si>
  <si>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</si>
  <si>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</si>
  <si>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</si>
  <si>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</si>
  <si>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</si>
  <si>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</si>
  <si>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</si>
  <si>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</si>
  <si>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</si>
  <si>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</si>
  <si>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</si>
  <si>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</si>
  <si>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</si>
  <si>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</si>
  <si>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</si>
  <si>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</si>
  <si>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</si>
  <si>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</si>
  <si>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</si>
  <si>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</si>
  <si>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</si>
  <si>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</si>
  <si>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</si>
  <si>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</si>
  <si>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</si>
  <si>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</si>
  <si>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</si>
  <si>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</si>
  <si>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</si>
  <si>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</si>
  <si>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</si>
  <si>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</si>
  <si>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</si>
  <si>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</si>
  <si>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</si>
  <si>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</si>
  <si>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</si>
  <si>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</si>
  <si>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</si>
  <si>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</si>
  <si>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</si>
  <si>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</si>
  <si>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</si>
  <si>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</si>
  <si>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</si>
  <si>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</si>
  <si>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</si>
  <si>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</si>
  <si>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</si>
  <si>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</si>
  <si>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</si>
  <si>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</si>
  <si>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</si>
  <si>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</si>
  <si>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</si>
  <si>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</si>
  <si>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</si>
  <si>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</si>
  <si>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</si>
  <si>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</si>
  <si>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</si>
  <si>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</si>
  <si>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</si>
  <si>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</si>
  <si>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</si>
  <si>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</si>
  <si>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</si>
  <si>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</si>
  <si>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</si>
  <si>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</si>
  <si>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</si>
  <si>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</si>
  <si>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</si>
  <si>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</si>
  <si>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</si>
  <si>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</si>
  <si>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</si>
  <si>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</si>
  <si>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</si>
  <si>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</si>
  <si>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</si>
  <si>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</si>
  <si>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</si>
  <si>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</si>
  <si>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</si>
  <si>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</si>
  <si>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</si>
  <si>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</si>
  <si>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</si>
  <si>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</si>
  <si>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</si>
  <si>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</si>
  <si>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</si>
  <si>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</si>
  <si>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</si>
  <si>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</si>
  <si>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</si>
  <si>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</si>
  <si>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</si>
  <si>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</si>
  <si>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</si>
  <si>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</si>
  <si>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</si>
  <si>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</si>
  <si>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</si>
  <si>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</si>
  <si>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</si>
  <si>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</si>
  <si>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</si>
  <si>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</si>
  <si>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</si>
  <si>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</si>
  <si>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</si>
  <si>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</si>
  <si>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</si>
  <si>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</si>
  <si>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</si>
  <si>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</si>
  <si>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</si>
  <si>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</si>
  <si>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</si>
  <si>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</si>
  <si>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</si>
  <si>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</si>
  <si>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</si>
  <si>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</si>
  <si>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</si>
  <si>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</si>
  <si>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</si>
  <si>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</si>
  <si>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</si>
  <si>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</si>
  <si>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</si>
  <si>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</si>
  <si>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</si>
  <si>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</si>
  <si>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</si>
  <si>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</si>
  <si>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</si>
  <si>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</si>
  <si>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</si>
  <si>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</si>
  <si>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</si>
  <si>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</si>
  <si>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</si>
  <si>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</si>
  <si>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</si>
  <si>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</si>
  <si>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</si>
  <si>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</si>
  <si>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</si>
  <si>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</si>
  <si>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</si>
  <si>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</si>
  <si>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</si>
  <si>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</si>
  <si>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</si>
  <si>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</si>
  <si>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</si>
  <si>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</si>
  <si>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</si>
  <si>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</si>
  <si>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</si>
  <si>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</si>
  <si>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</si>
  <si>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</si>
  <si>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</si>
  <si>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</si>
  <si>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</si>
  <si>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</si>
  <si>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</si>
  <si>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</si>
  <si>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</si>
  <si>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</si>
  <si>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</si>
  <si>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</si>
  <si>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</si>
  <si>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</si>
  <si>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</si>
  <si>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</si>
  <si>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</si>
  <si>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</si>
  <si>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</si>
  <si>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</si>
  <si>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</si>
  <si>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</si>
  <si>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</si>
  <si>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</si>
  <si>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</si>
  <si>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</si>
  <si>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</si>
  <si>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</si>
  <si>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</si>
  <si>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</si>
  <si>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</si>
  <si>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</si>
  <si>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</si>
  <si>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</si>
  <si>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</si>
  <si>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</si>
  <si>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</si>
  <si>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</si>
  <si>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</si>
  <si>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</si>
  <si>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</si>
  <si>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</si>
  <si>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</si>
  <si>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</si>
  <si>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</si>
  <si>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</si>
  <si>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</si>
  <si>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</si>
  <si>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</si>
  <si>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</si>
  <si>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</si>
  <si>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</si>
  <si>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</si>
  <si>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</si>
  <si>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</si>
  <si>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</si>
  <si>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</si>
  <si>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</si>
  <si>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</si>
  <si>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</si>
  <si>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</si>
  <si>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</si>
  <si>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</si>
  <si>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</si>
  <si>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</si>
  <si>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</si>
  <si>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</si>
  <si>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</si>
  <si>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</si>
  <si>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</si>
  <si>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</si>
  <si>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</si>
  <si>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</si>
  <si>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</si>
  <si>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</si>
  <si>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</si>
  <si>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</si>
  <si>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</si>
  <si>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</si>
  <si>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</si>
  <si>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</si>
  <si>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</si>
  <si>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</si>
  <si>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</si>
  <si>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</si>
  <si>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</si>
  <si>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</si>
  <si>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</si>
  <si>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</si>
  <si>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</si>
  <si>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</si>
  <si>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</si>
  <si>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</si>
  <si>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</si>
  <si>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</si>
  <si>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</si>
  <si>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</si>
  <si>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</si>
  <si>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</si>
  <si>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</si>
  <si>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</si>
  <si>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</si>
  <si>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</si>
  <si>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</si>
  <si>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</si>
  <si>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</si>
  <si>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</si>
  <si>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</si>
  <si>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</si>
  <si>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</si>
  <si>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</si>
  <si>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</si>
  <si>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</si>
  <si>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</si>
  <si>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</si>
  <si>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</si>
  <si>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</si>
  <si>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</si>
  <si>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</si>
  <si>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</si>
  <si>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</si>
  <si>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</si>
  <si>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</si>
  <si>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</si>
  <si>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</si>
  <si>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</si>
  <si>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</si>
  <si>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</si>
  <si>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</si>
  <si>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</si>
  <si>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</si>
  <si>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</si>
  <si>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</si>
  <si>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</si>
  <si>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</si>
  <si>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</si>
  <si>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</si>
  <si>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</si>
  <si>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</si>
  <si>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</si>
  <si>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</si>
  <si>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</si>
  <si>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</si>
  <si>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</si>
  <si>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</si>
  <si>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</si>
  <si>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</si>
  <si>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</si>
  <si>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</si>
  <si>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</si>
  <si>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</si>
  <si>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</si>
  <si>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</si>
  <si>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</si>
  <si>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</si>
  <si>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</si>
  <si>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</si>
  <si>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</si>
  <si>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</si>
  <si>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</si>
  <si>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</si>
  <si>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</si>
  <si>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</si>
  <si>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</si>
  <si>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</si>
  <si>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</si>
  <si>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</si>
  <si>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</si>
  <si>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</si>
  <si>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</si>
  <si>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</si>
  <si>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</si>
  <si>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</si>
  <si>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</si>
  <si>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</si>
  <si>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</si>
  <si>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</si>
  <si>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</si>
  <si>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</si>
  <si>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</si>
  <si>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</si>
  <si>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</si>
  <si>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</si>
  <si>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</si>
  <si>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</si>
  <si>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</si>
  <si>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</si>
  <si>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</si>
  <si>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</si>
  <si>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</si>
  <si>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</si>
  <si>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</si>
  <si>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</si>
  <si>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</si>
  <si>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</si>
  <si>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</si>
  <si>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</si>
  <si>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</si>
  <si>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</si>
  <si>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</si>
  <si>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</si>
  <si>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</si>
  <si>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</si>
  <si>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</si>
  <si>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</si>
  <si>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</si>
  <si>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</si>
  <si>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</si>
  <si>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</si>
  <si>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</si>
  <si>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</si>
  <si>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</si>
  <si>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</si>
  <si>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</si>
  <si>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</si>
  <si>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</si>
  <si>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</si>
  <si>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</si>
  <si>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</si>
  <si>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</si>
  <si>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</si>
  <si>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</si>
  <si>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</si>
  <si>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</si>
  <si>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</si>
  <si>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</si>
  <si>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</si>
  <si>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</si>
  <si>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</si>
  <si>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</si>
  <si>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</si>
  <si>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</si>
  <si>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</si>
  <si>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</si>
  <si>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</si>
  <si>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</si>
  <si>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</si>
  <si>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</si>
  <si>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</si>
  <si>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</si>
  <si>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</si>
  <si>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</si>
  <si>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</si>
  <si>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</si>
  <si>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</si>
  <si>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</si>
  <si>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</si>
  <si>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</si>
  <si>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</si>
  <si>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</si>
  <si>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</si>
  <si>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</si>
  <si>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</si>
  <si>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</si>
  <si>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</si>
  <si>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</si>
  <si>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</si>
  <si>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</si>
  <si>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</si>
  <si>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</si>
  <si>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</si>
  <si>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</si>
  <si>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</si>
  <si>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</si>
  <si>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</si>
  <si>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</si>
  <si>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</si>
  <si>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</si>
  <si>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</si>
  <si>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</si>
  <si>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</si>
  <si>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</si>
  <si>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</si>
  <si>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</si>
  <si>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</si>
  <si>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</si>
  <si>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</si>
  <si>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</si>
  <si>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</si>
  <si>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</si>
  <si>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</si>
  <si>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</si>
  <si>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</si>
  <si>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</si>
  <si>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</si>
  <si>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</si>
  <si>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</si>
  <si>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</si>
  <si>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</si>
  <si>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</si>
  <si>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</si>
  <si>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</si>
  <si>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</si>
  <si>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</si>
  <si>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</si>
  <si>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</si>
  <si>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</si>
  <si>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</si>
  <si>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</si>
  <si>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</si>
  <si>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</si>
  <si>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</si>
  <si>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</si>
  <si>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</si>
  <si>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</si>
  <si>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</si>
  <si>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</si>
  <si>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</si>
  <si>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</si>
  <si>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</si>
  <si>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</si>
  <si>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</si>
  <si>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</si>
  <si>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</si>
  <si>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</si>
  <si>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</si>
  <si>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</si>
  <si>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</si>
  <si>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</si>
  <si>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</si>
  <si>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</si>
  <si>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</si>
  <si>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</si>
  <si>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</si>
  <si>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</si>
  <si>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</si>
  <si>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</si>
  <si>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</si>
  <si>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</si>
  <si>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</si>
  <si>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</si>
  <si>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</si>
  <si>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</si>
  <si>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</si>
  <si>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</si>
  <si>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</si>
  <si>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</si>
  <si>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</si>
  <si>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</si>
  <si>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</si>
  <si>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</si>
  <si>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</si>
  <si>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</si>
  <si>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</si>
  <si>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</si>
  <si>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</si>
  <si>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</si>
  <si>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</si>
  <si>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</si>
  <si>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</si>
  <si>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</si>
  <si>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</si>
  <si>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</si>
  <si>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</si>
  <si>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</si>
  <si>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</si>
  <si>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</si>
  <si>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</si>
  <si>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</si>
  <si>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</si>
  <si>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</si>
  <si>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</si>
  <si>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</si>
  <si>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</si>
  <si>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</si>
  <si>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</si>
  <si>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</si>
  <si>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</si>
  <si>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</si>
  <si>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</si>
  <si>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</si>
  <si>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</si>
  <si>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</si>
  <si>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</si>
  <si>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</si>
  <si>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</si>
  <si>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</si>
  <si>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</si>
  <si>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</si>
  <si>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</si>
  <si>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</si>
  <si>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</si>
  <si>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</si>
  <si>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</si>
  <si>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</si>
  <si>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</si>
  <si>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</si>
  <si>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</si>
  <si>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</si>
  <si>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</si>
  <si>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</si>
  <si>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</si>
  <si>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</si>
  <si>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</si>
  <si>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</si>
  <si>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</si>
  <si>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</si>
  <si>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</si>
  <si>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</si>
  <si>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</si>
  <si>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</si>
  <si>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</si>
  <si>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</si>
  <si>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</si>
  <si>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</si>
  <si>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</si>
  <si>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</si>
  <si>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</si>
  <si>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</si>
  <si>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</si>
  <si>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</si>
  <si>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</si>
  <si>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</si>
  <si>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</si>
  <si>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</si>
  <si>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</si>
  <si>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</si>
  <si>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</si>
  <si>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</si>
  <si>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</si>
  <si>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</si>
  <si>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</si>
  <si>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</si>
  <si>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</si>
  <si>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</si>
  <si>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</si>
  <si>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</si>
  <si>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</si>
  <si>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</si>
  <si>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</si>
  <si>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</si>
  <si>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</si>
  <si>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</si>
  <si>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</si>
  <si>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</si>
  <si>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</si>
  <si>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</si>
  <si>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</si>
  <si>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</si>
  <si>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</si>
  <si>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</si>
  <si>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</si>
  <si>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</si>
  <si>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</si>
  <si>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</si>
  <si>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</si>
  <si>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</si>
  <si>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</si>
  <si>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</si>
  <si>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</si>
  <si>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</si>
  <si>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</si>
  <si>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</si>
  <si>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</si>
  <si>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</si>
  <si>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</si>
  <si>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</si>
  <si>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</si>
  <si>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</si>
  <si>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</si>
  <si>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</si>
  <si>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</si>
  <si>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</si>
  <si>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</si>
  <si>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</si>
  <si>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</si>
  <si>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</si>
  <si>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</si>
  <si>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</si>
  <si>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</si>
  <si>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</si>
  <si>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</si>
  <si>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</si>
  <si>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</si>
  <si>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</si>
  <si>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</si>
  <si>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</si>
  <si>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</si>
  <si>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</si>
  <si>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</si>
  <si>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</si>
  <si>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</si>
  <si>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</si>
  <si>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</si>
  <si>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</si>
  <si>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</si>
  <si>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</si>
  <si>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</si>
  <si>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</si>
  <si>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</si>
  <si>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</si>
  <si>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</si>
  <si>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</si>
  <si>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</si>
  <si>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</si>
  <si>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</si>
  <si>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</si>
  <si>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</si>
  <si>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</si>
  <si>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</si>
  <si>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</si>
  <si>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</si>
  <si>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</si>
  <si>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</si>
  <si>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</si>
  <si>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</si>
  <si>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</si>
  <si>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</si>
  <si>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</si>
  <si>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</si>
  <si>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</si>
  <si>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</si>
  <si>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</si>
  <si>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</si>
  <si>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</si>
  <si>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</si>
  <si>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</si>
  <si>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</si>
  <si>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</si>
  <si>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</si>
  <si>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</si>
  <si>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</si>
  <si>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</si>
  <si>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</si>
  <si>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</si>
  <si>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</si>
  <si>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</si>
  <si>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</si>
  <si>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</si>
  <si>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</si>
  <si>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</si>
  <si>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</si>
  <si>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</si>
  <si>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</si>
  <si>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</si>
  <si>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</si>
  <si>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</si>
  <si>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</si>
  <si>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</si>
  <si>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</si>
  <si>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</si>
  <si>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</si>
  <si>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</si>
  <si>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</si>
  <si>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</si>
  <si>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</si>
  <si>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</si>
  <si>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</si>
  <si>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</si>
  <si>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</si>
  <si>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</si>
  <si>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</si>
  <si>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</si>
  <si>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</si>
  <si>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</si>
  <si>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</si>
  <si>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</si>
  <si>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</si>
  <si>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</si>
  <si>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</si>
  <si>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</si>
  <si>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</si>
  <si>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</si>
  <si>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</si>
  <si>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</si>
  <si>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</si>
  <si>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</si>
  <si>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</si>
  <si>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</si>
  <si>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</si>
  <si>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</si>
  <si>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</si>
  <si>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</si>
  <si>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</si>
  <si>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</si>
  <si>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</si>
  <si>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</si>
  <si>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</si>
  <si>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</si>
  <si>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</si>
  <si>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</si>
  <si>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</si>
  <si>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</si>
  <si>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</si>
  <si>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</si>
  <si>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</si>
  <si>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</si>
  <si>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</si>
  <si>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</si>
  <si>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</si>
  <si>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</si>
  <si>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</si>
  <si>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</si>
  <si>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</si>
  <si>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</si>
  <si>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</si>
  <si>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</si>
  <si>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</si>
  <si>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</si>
  <si>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</si>
  <si>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</si>
  <si>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</si>
  <si>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</si>
  <si>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</si>
  <si>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</si>
  <si>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</si>
  <si>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</si>
  <si>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</si>
  <si>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</si>
  <si>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</si>
  <si>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</si>
  <si>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</si>
  <si>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</si>
  <si>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</si>
  <si>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</si>
  <si>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</si>
  <si>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</si>
  <si>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</si>
  <si>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</si>
  <si>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</si>
  <si>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</si>
  <si>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</si>
  <si>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</si>
  <si>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</si>
  <si>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</si>
  <si>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</si>
  <si>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</si>
  <si>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</si>
  <si>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</si>
  <si>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</si>
  <si>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</si>
  <si>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</si>
  <si>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</si>
  <si>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</si>
  <si>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</si>
  <si>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</si>
  <si>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</si>
  <si>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</si>
  <si>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</si>
  <si>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</si>
  <si>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</si>
  <si>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</si>
  <si>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</si>
  <si>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</si>
  <si>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</si>
  <si>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</si>
  <si>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</si>
  <si>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</si>
  <si>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</si>
  <si>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</si>
  <si>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</si>
  <si>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</si>
  <si>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</si>
  <si>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</si>
  <si>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</si>
  <si>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</si>
  <si>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</si>
  <si>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</si>
  <si>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</si>
  <si>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</si>
  <si>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</si>
  <si>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</si>
  <si>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</si>
  <si>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</si>
  <si>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</si>
  <si>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</si>
  <si>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</si>
  <si>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</si>
  <si>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</si>
  <si>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</si>
  <si>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</si>
  <si>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</si>
  <si>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</si>
  <si>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</si>
  <si>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</si>
  <si>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</si>
  <si>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</si>
  <si>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</si>
  <si>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</si>
  <si>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</si>
  <si>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</si>
  <si>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</si>
  <si>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</si>
  <si>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</si>
  <si>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</si>
  <si>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</si>
  <si>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</si>
  <si>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</si>
  <si>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</si>
  <si>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</si>
  <si>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</si>
  <si>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</si>
  <si>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</si>
  <si>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</si>
  <si>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</si>
  <si>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</si>
  <si>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</si>
  <si>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</si>
  <si>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</si>
  <si>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</si>
  <si>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</si>
  <si>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</si>
  <si>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</si>
  <si>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</si>
  <si>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</si>
  <si>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</si>
  <si>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</si>
  <si>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</si>
  <si>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</si>
  <si>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</si>
  <si>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</si>
  <si>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</si>
  <si>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</si>
  <si>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</si>
  <si>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</si>
  <si>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</si>
  <si>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</si>
  <si>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</si>
  <si>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</si>
  <si>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</si>
  <si>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</si>
  <si>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</si>
  <si>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</si>
  <si>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</si>
  <si>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</si>
  <si>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</si>
  <si>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</si>
  <si>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</si>
  <si>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</si>
  <si>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</si>
  <si>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</si>
  <si>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</si>
  <si>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</si>
  <si>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</si>
  <si>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</si>
  <si>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</si>
  <si>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</si>
  <si>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</si>
  <si>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</si>
  <si>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</si>
  <si>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</si>
  <si>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</si>
  <si>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</si>
  <si>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</si>
  <si>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</si>
  <si>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</si>
  <si>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</si>
  <si>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</si>
  <si>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</si>
  <si>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</si>
  <si>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</si>
  <si>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</si>
  <si>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</si>
  <si>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</si>
  <si>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</si>
  <si>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</si>
  <si>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</si>
  <si>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</si>
  <si>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</si>
  <si>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</si>
  <si>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</si>
  <si>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</si>
  <si>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</si>
  <si>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</si>
  <si>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</si>
  <si>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</si>
  <si>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</si>
  <si>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</si>
  <si>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</si>
  <si>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</si>
  <si>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</si>
  <si>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</si>
  <si>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</si>
  <si>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</si>
  <si>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</si>
  <si>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</si>
  <si>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</si>
  <si>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</si>
  <si>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</si>
  <si>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</si>
  <si>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</si>
  <si>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</si>
  <si>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</si>
  <si>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</si>
  <si>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</si>
  <si>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</si>
  <si>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</si>
  <si>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</si>
  <si>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</si>
  <si>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</si>
  <si>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</si>
  <si>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</si>
  <si>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</si>
  <si>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</si>
  <si>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</si>
  <si>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</si>
  <si>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</si>
  <si>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</si>
  <si>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</si>
  <si>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</si>
  <si>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</si>
  <si>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</si>
  <si>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</si>
  <si>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</si>
  <si>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</si>
  <si>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</si>
  <si>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</si>
  <si>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</si>
  <si>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</si>
  <si>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</si>
  <si>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</si>
  <si>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</si>
  <si>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</si>
  <si>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</si>
  <si>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</si>
  <si>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</si>
  <si>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</si>
  <si>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</si>
  <si>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</si>
  <si>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</si>
  <si>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</si>
  <si>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</si>
  <si>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</si>
  <si>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</si>
  <si>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</si>
  <si>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</si>
  <si>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</si>
  <si>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</si>
  <si>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</si>
  <si>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</si>
  <si>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</si>
  <si>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</si>
  <si>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</si>
  <si>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</si>
  <si>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</si>
  <si>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</si>
  <si>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</si>
  <si>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</si>
  <si>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</si>
  <si>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</si>
  <si>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</si>
  <si>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工商银行</t>
    <phoneticPr fontId="6" type="noConversion"/>
  </si>
  <si>
    <t>是</t>
  </si>
  <si>
    <t>否</t>
  </si>
  <si>
    <t>工业项目</t>
  </si>
  <si>
    <t>无</t>
  </si>
  <si>
    <t>现房</t>
  </si>
  <si>
    <t>通路</t>
  </si>
  <si>
    <t>通电</t>
  </si>
  <si>
    <t>通讯</t>
  </si>
  <si>
    <t>通上水</t>
  </si>
  <si>
    <t>通下水</t>
  </si>
  <si>
    <t>平整</t>
  </si>
  <si>
    <t>Ⅸ-通1</t>
  </si>
  <si>
    <t>原件</t>
  </si>
  <si>
    <t>地上</t>
  </si>
  <si>
    <t>工业</t>
    <phoneticPr fontId="7" type="noConversion"/>
  </si>
  <si>
    <t>办公、厂房</t>
  </si>
  <si>
    <t>钢</t>
  </si>
  <si>
    <t>宿舍及其他</t>
  </si>
  <si>
    <t>混合</t>
  </si>
  <si>
    <t>成新度</t>
  </si>
  <si>
    <t>收益法</t>
  </si>
  <si>
    <t>不临65条商业街</t>
  </si>
  <si>
    <t>较好</t>
  </si>
  <si>
    <t>一般</t>
  </si>
  <si>
    <t>与级别开发程度一致</t>
  </si>
  <si>
    <t>自定义容积率</t>
  </si>
  <si>
    <t>未包含在土地购买价格中</t>
  </si>
  <si>
    <t>全部缴纳</t>
  </si>
  <si>
    <t>已包含在土地取得成本中</t>
  </si>
  <si>
    <t>成本法</t>
  </si>
  <si>
    <t>押一</t>
  </si>
  <si>
    <t>非生产用房</t>
  </si>
  <si>
    <t>钢混</t>
  </si>
  <si>
    <t>楼面单价</t>
  </si>
  <si>
    <t>成本比率</t>
  </si>
  <si>
    <t>混合</t>
    <phoneticPr fontId="134" type="noConversion"/>
  </si>
  <si>
    <t>钢混</t>
    <phoneticPr fontId="134" type="noConversion"/>
  </si>
  <si>
    <t>钢混</t>
    <phoneticPr fontId="134" type="noConversion"/>
  </si>
  <si>
    <t>锅炉房</t>
    <phoneticPr fontId="3" type="noConversion"/>
  </si>
  <si>
    <t>配电室</t>
    <phoneticPr fontId="3" type="noConversion"/>
  </si>
  <si>
    <t>仓库</t>
    <phoneticPr fontId="3" type="noConversion"/>
  </si>
  <si>
    <t>办公</t>
    <phoneticPr fontId="3" type="noConversion"/>
  </si>
  <si>
    <t>警卫室</t>
    <phoneticPr fontId="3" type="noConversion"/>
  </si>
  <si>
    <t>宿舍楼</t>
    <phoneticPr fontId="3" type="noConversion"/>
  </si>
  <si>
    <t>特殊厂房</t>
  </si>
  <si>
    <t>出让国有建设用地使用权价值</t>
  </si>
  <si>
    <t>建筑物价值</t>
  </si>
  <si>
    <t>房地产价值</t>
  </si>
  <si>
    <t>总 价</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</si>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</sst>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protection locked="0"/>
    </xf>
    <xf numFmtId="0" fontId="77" fillId="0" borderId="1" xfId="0" applyFont="1" applyBorder="1" applyAlignment="1" applyProtection="1">
      <alignment horizontal="center" vertical="center" wrapText="1"/>
      <protection locked="0"/>
    </xf>
    <xf numFmtId="0" fontId="99" fillId="5" borderId="1" xfId="0" applyNumberFormat="1" applyFont="1" applyFill="1" applyBorder="1" applyAlignment="1" applyProtection="1">
      <alignment horizontal="left" vertical="center" wrapText="1"/>
      <protection locked="0"/>
    </xf>
    <xf numFmtId="0" fontId="95" fillId="0" borderId="0" xfId="0" applyFont="1">
      <alignment vertical="center"/>
    </xf>
    <xf numFmtId="0" fontId="128" fillId="0" borderId="2" xfId="0"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估价对象为北京市房地产，为所有。根据《国有土地使用证》[]，估价对象（分摊）出让国有建设用地使用权面积为23335平方米。根据《房屋所有权证》[]、《测绘报告》[]，估价对象建筑面积为10052.84平方米。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23335平方米。根据《房屋所有权证》[]、《测绘报告》[]，估价对象规划建筑面积为10052.84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为估价委托人在向工商银行办理贷款手续过程中，确定房地产抵押贷款额度提供参考依据而评估房地产抵押价值。</v>
      </c>
    </row>
    <row r="12" spans="1:2" s="1203" customFormat="1">
      <c r="A12" s="1201" t="s">
        <v>528</v>
      </c>
      <c r="B12" s="1202" t="str">
        <f>'预评函-1'!A15</f>
        <v>2023年10月25日</v>
      </c>
    </row>
    <row r="13" spans="1:2" s="1203" customFormat="1">
      <c r="A13" s="1201" t="s">
        <v>529</v>
      </c>
      <c r="B13" s="1202" t="str">
        <f>'预评函-1'!A18</f>
        <v>本次估价的“房地产价值”是指在正常市场情况下，在价值时点2023年10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5319</v>
      </c>
    </row>
    <row r="21" spans="1:2" s="1203" customFormat="1">
      <c r="A21" s="1201" t="s">
        <v>537</v>
      </c>
      <c r="B21" s="1202">
        <f ca="1">'预评函-2'!D7</f>
        <v>5291</v>
      </c>
    </row>
    <row r="22" spans="1:2" s="1203" customFormat="1">
      <c r="A22" s="1201" t="s">
        <v>538</v>
      </c>
      <c r="B22" s="1202" t="str">
        <f ca="1">'预评函-2'!D6</f>
        <v>伍仟叁佰壹拾玖万元整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5319</v>
      </c>
    </row>
    <row r="31" spans="1:2" s="1203" customFormat="1">
      <c r="A31" s="1201" t="s">
        <v>576</v>
      </c>
      <c r="B31" s="1202">
        <f ca="1">'预评函-2'!D15</f>
        <v>5291</v>
      </c>
    </row>
    <row r="32" spans="1:2" s="1203" customFormat="1">
      <c r="A32" s="1201" t="s">
        <v>543</v>
      </c>
      <c r="B32" s="1202" t="str">
        <f ca="1">'预评函-2'!D14</f>
        <v>伍仟叁佰壹拾玖万元整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10052.84</v>
      </c>
    </row>
    <row r="44" spans="1:2" s="1203" customFormat="1" ht="31.2">
      <c r="A44" s="1201" t="s">
        <v>575</v>
      </c>
      <c r="B44" s="1202" t="str">
        <f>'预评函-3'!C2</f>
        <v>(分摊)土地面积</v>
      </c>
    </row>
    <row r="45" spans="1:2" s="1203" customFormat="1">
      <c r="A45" s="1201" t="s">
        <v>547</v>
      </c>
      <c r="B45" s="1202">
        <f>'预评函-3'!C4</f>
        <v>23335</v>
      </c>
    </row>
    <row r="46" spans="1:2" s="1203" customFormat="1">
      <c r="A46" s="1201" t="s">
        <v>573</v>
      </c>
      <c r="B46" s="1202" t="str">
        <f>'预评函-3'!D2</f>
        <v>出让国有建设用地使用权价值</v>
      </c>
    </row>
    <row r="47" spans="1:2" s="1203" customFormat="1">
      <c r="A47" s="1201" t="s">
        <v>548</v>
      </c>
      <c r="B47" s="1202">
        <f ca="1">'预评函-3'!D4</f>
        <v>2675</v>
      </c>
    </row>
    <row r="48" spans="1:2" s="1203" customFormat="1">
      <c r="A48" s="1201" t="s">
        <v>549</v>
      </c>
      <c r="B48" s="1202">
        <f ca="1">'预评函-3'!E4</f>
        <v>2661</v>
      </c>
    </row>
    <row r="49" spans="1:2" s="1203" customFormat="1">
      <c r="A49" s="1201" t="s">
        <v>550</v>
      </c>
      <c r="B49" s="1202" t="str">
        <f ca="1">'预评函-3'!D5</f>
        <v>贰仟陆佰柒拾伍万元整</v>
      </c>
    </row>
    <row r="50" spans="1:2" s="1203" customFormat="1">
      <c r="A50" s="1201" t="s">
        <v>574</v>
      </c>
      <c r="B50" s="1202" t="str">
        <f>'预评函-3'!F2</f>
        <v>建筑物价值</v>
      </c>
    </row>
    <row r="51" spans="1:2" s="1203" customFormat="1">
      <c r="A51" s="1201" t="s">
        <v>551</v>
      </c>
      <c r="B51" s="1202">
        <f ca="1">'预评函-3'!F4</f>
        <v>2644</v>
      </c>
    </row>
    <row r="52" spans="1:2" s="1203" customFormat="1">
      <c r="A52" s="1201" t="s">
        <v>552</v>
      </c>
      <c r="B52" s="1202">
        <f ca="1">'预评函-3'!G4</f>
        <v>2630</v>
      </c>
    </row>
    <row r="53" spans="1:2" s="1203" customFormat="1">
      <c r="A53" s="1201" t="s">
        <v>580</v>
      </c>
      <c r="B53" s="1202" t="str">
        <f ca="1">'预评函-3'!F5</f>
        <v>贰仟陆佰肆拾肆万元整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2578</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2579</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2290</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工商银行办理贷款手续。工商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2501</v>
      </c>
      <c r="B1" s="3013"/>
      <c r="C1" s="3013"/>
      <c r="D1" s="3013"/>
      <c r="E1" s="3013"/>
      <c r="F1" s="3014"/>
      <c r="I1" s="3436" t="s">
        <v>2594</v>
      </c>
      <c r="J1" s="3225"/>
      <c r="K1" s="3225"/>
      <c r="L1" s="3225"/>
      <c r="M1" s="3225"/>
      <c r="N1" s="3437"/>
      <c r="O1" s="3437"/>
      <c r="P1" s="3437"/>
      <c r="Q1" s="3437"/>
      <c r="R1" s="3437"/>
    </row>
    <row r="2" spans="1:18">
      <c r="A2" s="3016"/>
      <c r="B2" s="3017"/>
      <c r="C2" s="3017"/>
      <c r="D2" s="3017"/>
      <c r="E2" s="3017"/>
      <c r="F2" s="3018"/>
      <c r="I2" s="3495" t="s">
        <v>2581</v>
      </c>
      <c r="J2" s="3495"/>
      <c r="K2" s="3495"/>
      <c r="L2" s="3495"/>
      <c r="M2" s="3495"/>
      <c r="N2" s="3495"/>
      <c r="O2" s="3495"/>
      <c r="P2" s="3495"/>
      <c r="Q2" s="3495"/>
      <c r="R2" s="3495"/>
    </row>
    <row r="3" spans="1:18">
      <c r="A3" s="3019" t="s">
        <v>2502</v>
      </c>
      <c r="B3" s="3020">
        <f>项目基本情况!D3</f>
        <v>45224</v>
      </c>
      <c r="C3" s="3022"/>
      <c r="D3" s="3022"/>
      <c r="E3" s="3022"/>
      <c r="F3" s="3018"/>
      <c r="I3" s="3438"/>
      <c r="J3" s="3438" t="s">
        <v>2585</v>
      </c>
      <c r="K3" s="3438" t="s">
        <v>2586</v>
      </c>
      <c r="L3" s="3438" t="s">
        <v>2587</v>
      </c>
      <c r="M3" s="3438" t="s">
        <v>2588</v>
      </c>
      <c r="N3" s="3439" t="s">
        <v>2589</v>
      </c>
      <c r="O3" s="3439" t="s">
        <v>2590</v>
      </c>
      <c r="P3" s="3439" t="s">
        <v>2591</v>
      </c>
      <c r="Q3" s="3439" t="s">
        <v>2592</v>
      </c>
      <c r="R3" s="3439" t="s">
        <v>2593</v>
      </c>
    </row>
    <row r="4" spans="1:18">
      <c r="A4" s="3019" t="s">
        <v>2503</v>
      </c>
      <c r="B4" s="3022" t="s">
        <v>2504</v>
      </c>
      <c r="C4" s="3022" t="s">
        <v>2505</v>
      </c>
      <c r="D4" s="3022" t="s">
        <v>2506</v>
      </c>
      <c r="E4" s="3022" t="s">
        <v>2507</v>
      </c>
      <c r="F4" s="3018"/>
      <c r="I4" s="3438" t="s">
        <v>2582</v>
      </c>
      <c r="J4" s="3438">
        <v>80</v>
      </c>
      <c r="K4" s="3438">
        <v>70</v>
      </c>
      <c r="L4" s="3438">
        <v>20</v>
      </c>
      <c r="M4" s="3438">
        <v>30</v>
      </c>
      <c r="N4" s="3022">
        <v>45</v>
      </c>
      <c r="O4" s="3022">
        <v>60</v>
      </c>
      <c r="P4" s="3022">
        <v>50</v>
      </c>
      <c r="Q4" s="3022">
        <v>20</v>
      </c>
      <c r="R4" s="3022">
        <v>375</v>
      </c>
    </row>
    <row r="5" spans="1:18">
      <c r="A5" s="3023">
        <v>40</v>
      </c>
      <c r="B5" s="3020">
        <v>46375</v>
      </c>
      <c r="C5" s="3022">
        <f>ROUNDDOWN(MIN((B5-B3)/365,A5),2)</f>
        <v>3.15</v>
      </c>
      <c r="D5" s="3024">
        <f>IF(ISERROR(ROUND(POWER(1+E5,A5-C5)*(POWER(1+E5,C5)-1)/(POWER(1+E5,A5)-1),3)),0,ROUND(POWER(1+E5,A5-C5)*(POWER(1+E5,C5)-1)/(POWER(1+E5,A5)-1),4))</f>
        <v>0.14680000000000001</v>
      </c>
      <c r="E5" s="3025">
        <v>0.04</v>
      </c>
      <c r="F5" s="3018"/>
      <c r="I5" s="3438" t="s">
        <v>2583</v>
      </c>
      <c r="J5" s="3438">
        <v>70</v>
      </c>
      <c r="K5" s="3438">
        <v>60</v>
      </c>
      <c r="L5" s="3438">
        <v>15</v>
      </c>
      <c r="M5" s="3438">
        <v>25</v>
      </c>
      <c r="N5" s="3022">
        <v>40</v>
      </c>
      <c r="O5" s="3022">
        <v>50</v>
      </c>
      <c r="P5" s="3022">
        <v>40</v>
      </c>
      <c r="Q5" s="3022">
        <v>15</v>
      </c>
      <c r="R5" s="3022">
        <v>315</v>
      </c>
    </row>
    <row r="6" spans="1:18">
      <c r="A6" s="3023">
        <v>50</v>
      </c>
      <c r="B6" s="3020">
        <v>50028</v>
      </c>
      <c r="C6" s="3022">
        <f>ROUNDDOWN(MIN((B6-B3)/365,A6),2)</f>
        <v>13.16</v>
      </c>
      <c r="D6" s="3024">
        <f>IF(ISERROR(ROUND(POWER(1+E6,A6-C6)*(POWER(1+E6,C6)-1)/(POWER(1+E6,A6)-1),3)),0,ROUND(POWER(1+E6,A6-C6)*(POWER(1+E6,C6)-1)/(POWER(1+E6,A6)-1),4))</f>
        <v>0.46920000000000001</v>
      </c>
      <c r="E6" s="3025">
        <v>0.04</v>
      </c>
      <c r="F6" s="3018"/>
      <c r="I6" s="3438" t="s">
        <v>2584</v>
      </c>
      <c r="J6" s="3438">
        <v>60</v>
      </c>
      <c r="K6" s="3438">
        <v>50</v>
      </c>
      <c r="L6" s="3438">
        <v>10</v>
      </c>
      <c r="M6" s="3438">
        <v>20</v>
      </c>
      <c r="N6" s="3022">
        <v>35</v>
      </c>
      <c r="O6" s="3022">
        <v>40</v>
      </c>
      <c r="P6" s="3022">
        <v>30</v>
      </c>
      <c r="Q6" s="3022">
        <v>10</v>
      </c>
      <c r="R6" s="3022">
        <v>255</v>
      </c>
    </row>
    <row r="7" spans="1:18">
      <c r="A7" s="3023">
        <v>70</v>
      </c>
      <c r="B7" s="3020">
        <v>57333</v>
      </c>
      <c r="C7" s="3022">
        <f>ROUNDDOWN(MIN((B7-B3)/365,A7),2)</f>
        <v>33.17</v>
      </c>
      <c r="D7" s="3024">
        <f>IF(ISERROR(ROUND(POWER(1+E7,A7-C7)*(POWER(1+E7,C7)-1)/(POWER(1+E7,A7)-1),3)),0,ROUND(POWER(1+E7,A7-C7)*(POWER(1+E7,C7)-1)/(POWER(1+E7,A7)-1),4))</f>
        <v>0.77769999999999995</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5" thickBot="1">
      <c r="A18" s="3030" t="s">
        <v>2517</v>
      </c>
      <c r="B18" s="3031">
        <f>ROUND(B17*F11/F12,2)</f>
        <v>5541.87</v>
      </c>
      <c r="C18" s="3031">
        <f>ROUND(F11/F12,4)</f>
        <v>1.1521999999999999</v>
      </c>
      <c r="D18" s="3032"/>
      <c r="E18" s="3032"/>
      <c r="F18" s="3033"/>
    </row>
    <row r="19" spans="1:13" ht="15" thickBot="1"/>
    <row r="20" spans="1:13" s="3068" customFormat="1" ht="1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38" sqref="E38"/>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2166</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2167</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2168</v>
      </c>
      <c r="B3" s="2373"/>
      <c r="C3" s="2374" t="s">
        <v>2169</v>
      </c>
      <c r="D3" s="2373">
        <v>45224</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2170</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2171</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3449" t="s">
        <v>3381</v>
      </c>
      <c r="C6" s="2384"/>
      <c r="D6" s="2385"/>
      <c r="E6" s="2661"/>
      <c r="F6" s="2663"/>
      <c r="G6" s="2663"/>
      <c r="H6" s="2663"/>
      <c r="I6" s="2663"/>
      <c r="J6" s="2438"/>
      <c r="K6" s="2614" t="str">
        <f>IF(COUNTIF(B6,"*上海银行*"),"上海银行","")</f>
        <v/>
      </c>
      <c r="L6" s="2612"/>
      <c r="M6" s="2612"/>
      <c r="N6" s="2438"/>
      <c r="O6" s="2449"/>
      <c r="P6" s="2438"/>
      <c r="Q6" s="2438"/>
      <c r="R6" s="2438"/>
    </row>
    <row r="7" spans="1:30">
      <c r="A7" s="2383" t="s">
        <v>2173</v>
      </c>
      <c r="B7" s="2386"/>
      <c r="C7" s="2384"/>
      <c r="D7" s="2385"/>
      <c r="E7" s="2661"/>
      <c r="F7" s="2663"/>
      <c r="G7" s="2663"/>
      <c r="H7" s="2663"/>
      <c r="I7" s="2663"/>
      <c r="J7" s="2438"/>
      <c r="K7" s="2615"/>
      <c r="L7" s="2612"/>
      <c r="M7" s="2612"/>
      <c r="N7" s="2438"/>
      <c r="O7" s="2449"/>
      <c r="P7" s="2438"/>
      <c r="Q7" s="2438"/>
      <c r="R7" s="2438"/>
    </row>
    <row r="8" spans="1:30">
      <c r="A8" s="2387" t="s">
        <v>2174</v>
      </c>
      <c r="B8" s="2388" t="s">
        <v>3377</v>
      </c>
      <c r="C8" s="2389"/>
      <c r="D8" s="3507" t="s">
        <v>2175</v>
      </c>
      <c r="E8" s="2390" t="s">
        <v>3378</v>
      </c>
      <c r="F8" s="2391"/>
      <c r="G8" s="2662"/>
      <c r="H8" s="2662"/>
      <c r="I8" s="2662"/>
      <c r="J8" s="2438"/>
      <c r="K8" s="2613"/>
      <c r="L8" s="2612"/>
      <c r="M8" s="2612"/>
      <c r="N8" s="2438"/>
      <c r="O8" s="2449"/>
      <c r="P8" s="2438"/>
      <c r="Q8" s="2438"/>
      <c r="R8" s="2438"/>
    </row>
    <row r="9" spans="1:30" ht="13.8" thickBot="1">
      <c r="A9" s="2392" t="s">
        <v>2176</v>
      </c>
      <c r="B9" s="2393" t="s">
        <v>3378</v>
      </c>
      <c r="C9" s="2394"/>
      <c r="D9" s="3508"/>
      <c r="E9" s="2393"/>
      <c r="F9" s="2395"/>
      <c r="G9" s="2664"/>
      <c r="H9" s="2664"/>
      <c r="I9" s="2664"/>
      <c r="J9" s="2438"/>
      <c r="K9" s="2615"/>
      <c r="L9" s="2612"/>
      <c r="M9" s="2612"/>
      <c r="N9" s="2438"/>
      <c r="O9" s="2449"/>
      <c r="P9" s="2438"/>
      <c r="Q9" s="2438"/>
      <c r="R9" s="2438"/>
    </row>
    <row r="10" spans="1:30" ht="13.8" thickTop="1">
      <c r="A10" s="2396" t="s">
        <v>2177</v>
      </c>
      <c r="B10" s="2397" t="s">
        <v>3379</v>
      </c>
      <c r="C10" s="2398"/>
      <c r="D10" s="2382"/>
      <c r="E10" s="2399" t="s">
        <v>2178</v>
      </c>
      <c r="F10" s="2665"/>
      <c r="G10" s="2666"/>
      <c r="H10" s="2667"/>
      <c r="I10" s="2668"/>
      <c r="J10" s="2438"/>
      <c r="K10" s="2615"/>
      <c r="L10" s="2612"/>
      <c r="M10" s="2612"/>
      <c r="N10" s="2438"/>
      <c r="O10" s="2449"/>
      <c r="P10" s="2438"/>
      <c r="Q10" s="2438"/>
      <c r="R10" s="2438"/>
    </row>
    <row r="11" spans="1:30">
      <c r="A11" s="2400" t="s">
        <v>2179</v>
      </c>
      <c r="B11" s="2401" t="s">
        <v>3380</v>
      </c>
      <c r="C11" s="2402"/>
      <c r="D11" s="2403"/>
      <c r="E11" s="2370"/>
      <c r="F11" s="2370"/>
      <c r="G11" s="2370"/>
      <c r="H11" s="2370"/>
      <c r="I11" s="2370"/>
      <c r="J11" s="3060"/>
      <c r="K11" s="3059"/>
      <c r="L11" s="2612"/>
      <c r="M11" s="2612"/>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8" t="s">
        <v>2577</v>
      </c>
      <c r="J12" s="3061"/>
      <c r="K12" s="2612"/>
      <c r="L12" s="2612"/>
      <c r="M12" s="2438"/>
      <c r="N12" s="2449"/>
      <c r="O12" s="2438"/>
      <c r="P12" s="2438"/>
      <c r="Q12" s="2438"/>
      <c r="AD12" s="1745"/>
    </row>
    <row r="13" spans="1:30">
      <c r="A13" s="3422" t="s">
        <v>3335</v>
      </c>
      <c r="B13" s="2406" t="s">
        <v>2188</v>
      </c>
      <c r="C13" s="856"/>
      <c r="D13" s="856"/>
      <c r="E13" s="856"/>
      <c r="F13" s="856"/>
      <c r="G13" s="856"/>
      <c r="H13" s="856">
        <v>55743</v>
      </c>
      <c r="I13" s="856"/>
      <c r="J13" s="3061"/>
      <c r="K13" s="2612"/>
      <c r="L13" s="2612"/>
      <c r="M13" s="2438"/>
      <c r="N13" s="2449"/>
      <c r="O13" s="2438"/>
      <c r="P13" s="2438"/>
      <c r="Q13" s="2438"/>
      <c r="AD13" s="1745"/>
    </row>
    <row r="14" spans="1:30">
      <c r="A14" s="1081"/>
      <c r="B14" s="2406" t="s">
        <v>2189</v>
      </c>
      <c r="C14" s="2407"/>
      <c r="D14" s="2407"/>
      <c r="E14" s="2407"/>
      <c r="F14" s="2407"/>
      <c r="G14" s="2407"/>
      <c r="H14" s="2407">
        <v>50</v>
      </c>
      <c r="I14" s="2407"/>
      <c r="J14" s="3062"/>
      <c r="K14" s="2612"/>
      <c r="L14" s="2612"/>
      <c r="M14" s="2438"/>
      <c r="N14" s="2449"/>
      <c r="O14" s="2438"/>
      <c r="P14" s="2438"/>
      <c r="Q14" s="2438"/>
      <c r="AD14" s="1745"/>
    </row>
    <row r="15" spans="1:30">
      <c r="A15" s="320"/>
      <c r="B15" s="2408" t="s">
        <v>2190</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28.81</v>
      </c>
      <c r="I15" s="2409" t="str">
        <f>IF(A13="出让",IF(I13="","",ROUNDDOWN(MIN((I13-$D$3)/365,I14),2)),I14)</f>
        <v/>
      </c>
      <c r="J15" s="3063"/>
      <c r="K15" s="2450"/>
      <c r="L15" s="2450"/>
      <c r="M15" s="2508"/>
      <c r="N15" s="2450"/>
      <c r="O15" s="2508"/>
      <c r="P15" s="2438"/>
      <c r="Q15" s="2438"/>
      <c r="AD15" s="1745"/>
    </row>
    <row r="16" spans="1:30">
      <c r="A16" s="2399" t="s">
        <v>2191</v>
      </c>
      <c r="B16" s="3514"/>
      <c r="C16" s="3515"/>
      <c r="D16" s="3516"/>
      <c r="E16" s="2412" t="s">
        <v>2192</v>
      </c>
      <c r="F16" s="3517"/>
      <c r="G16" s="3518"/>
      <c r="H16" s="3518"/>
      <c r="I16" s="3519"/>
      <c r="J16" s="2438"/>
      <c r="K16" s="2616"/>
      <c r="L16" s="2450"/>
      <c r="M16" s="2450"/>
      <c r="N16" s="2508"/>
      <c r="O16" s="2450"/>
      <c r="P16" s="2508"/>
      <c r="Q16" s="2438"/>
      <c r="R16" s="2438"/>
    </row>
    <row r="17" spans="1:28">
      <c r="A17" s="313" t="s">
        <v>2193</v>
      </c>
      <c r="B17" s="302" t="s">
        <v>2194</v>
      </c>
      <c r="C17" s="8">
        <f>'数据-汇总表'!E3</f>
        <v>10052.84</v>
      </c>
      <c r="D17" s="2322" t="s">
        <v>2195</v>
      </c>
      <c r="E17" s="3520" t="s">
        <v>2196</v>
      </c>
      <c r="F17" s="3521"/>
      <c r="G17" s="3521"/>
      <c r="H17" s="3521"/>
      <c r="I17" s="3522"/>
      <c r="J17" s="2438"/>
      <c r="K17" s="2617"/>
      <c r="L17" s="2450"/>
      <c r="M17" s="2450"/>
      <c r="N17" s="2508"/>
      <c r="O17" s="2450"/>
      <c r="P17" s="2508"/>
      <c r="Q17" s="2438"/>
      <c r="R17" s="2438"/>
      <c r="S17" s="2438"/>
      <c r="T17" s="2438"/>
      <c r="U17" s="2438"/>
      <c r="V17" s="2438"/>
    </row>
    <row r="18" spans="1:28" ht="13.8" thickBot="1">
      <c r="A18" s="2413" t="s">
        <v>43</v>
      </c>
      <c r="B18" s="1090" t="s">
        <v>2197</v>
      </c>
      <c r="C18" s="2414">
        <f>'数据-汇总表'!D3</f>
        <v>23335</v>
      </c>
      <c r="D18" s="1092" t="s">
        <v>2198</v>
      </c>
      <c r="E18" s="3523" t="s">
        <v>2199</v>
      </c>
      <c r="F18" s="3524"/>
      <c r="G18" s="3524"/>
      <c r="H18" s="3524"/>
      <c r="I18" s="3525"/>
      <c r="J18" s="2438"/>
      <c r="K18" s="2617"/>
      <c r="L18" s="2450"/>
      <c r="M18" s="2450"/>
      <c r="N18" s="2508"/>
      <c r="O18" s="2450"/>
      <c r="P18" s="2508"/>
      <c r="Q18" s="2438"/>
      <c r="R18" s="2438"/>
      <c r="S18" s="2438"/>
      <c r="T18" s="2438"/>
      <c r="U18" s="2438"/>
      <c r="V18" s="2438"/>
    </row>
    <row r="19" spans="1:28" ht="54" thickTop="1" thickBot="1">
      <c r="A19" s="327" t="s">
        <v>1055</v>
      </c>
      <c r="B19" s="307" t="s">
        <v>2200</v>
      </c>
      <c r="C19" s="1563" t="s">
        <v>3382</v>
      </c>
      <c r="D19" s="1564" t="s">
        <v>2201</v>
      </c>
      <c r="E19" s="1565" t="s">
        <v>3383</v>
      </c>
      <c r="F19" s="1566" t="str">
        <f>IF(AND(C19="是",E19="否"),"是否提供他项权证或相关说明","")</f>
        <v>是否提供他项权证或相关说明</v>
      </c>
      <c r="G19" s="1567" t="s">
        <v>3383</v>
      </c>
      <c r="H19" s="2663"/>
      <c r="I19" s="2663"/>
      <c r="J19" s="2438"/>
      <c r="K19" s="2615"/>
      <c r="L19" s="2612"/>
      <c r="M19" s="2612"/>
      <c r="N19" s="2508"/>
      <c r="O19" s="2450"/>
      <c r="P19" s="2508"/>
      <c r="Q19" s="2438"/>
      <c r="R19" s="2438"/>
      <c r="S19" s="2438"/>
      <c r="T19" s="2438"/>
      <c r="U19" s="2438"/>
      <c r="V19" s="2438"/>
    </row>
    <row r="20" spans="1:28">
      <c r="A20" s="2631" t="s">
        <v>2202</v>
      </c>
      <c r="B20" s="3510" t="s">
        <v>2203</v>
      </c>
      <c r="C20" s="3511"/>
      <c r="D20" s="3512" t="s">
        <v>2204</v>
      </c>
      <c r="E20" s="3513"/>
      <c r="F20" s="2646" t="s">
        <v>1056</v>
      </c>
      <c r="G20" s="2663"/>
      <c r="H20" s="2663"/>
      <c r="I20" s="2663"/>
      <c r="J20" s="2438"/>
      <c r="K20" s="3509" t="s">
        <v>2205</v>
      </c>
      <c r="L20" s="684"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369"/>
      <c r="N20" s="2411"/>
      <c r="O20" s="2410"/>
      <c r="P20" s="2411"/>
      <c r="Q20" s="2370"/>
      <c r="R20" s="2370"/>
      <c r="S20" s="2370"/>
      <c r="T20" s="2370"/>
      <c r="U20" s="2370"/>
      <c r="V20" s="2370"/>
      <c r="W20" s="1745"/>
      <c r="X20" s="1745"/>
      <c r="Y20" s="1745"/>
      <c r="Z20" s="1745"/>
      <c r="AA20" s="1745"/>
      <c r="AB20" s="1745"/>
    </row>
    <row r="21" spans="1:28" ht="36.6" thickBot="1">
      <c r="A21" s="2631"/>
      <c r="B21" s="2632" t="s">
        <v>2206</v>
      </c>
      <c r="C21" s="2633" t="s">
        <v>1057</v>
      </c>
      <c r="D21" s="1568" t="s">
        <v>2207</v>
      </c>
      <c r="E21" s="2634" t="s">
        <v>1057</v>
      </c>
      <c r="F21" s="2647"/>
      <c r="G21" s="2663"/>
      <c r="H21" s="2663"/>
      <c r="I21" s="2663"/>
      <c r="J21" s="2438"/>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36.6" thickBot="1">
      <c r="A22" s="2631"/>
      <c r="B22" s="2635" t="s">
        <v>2208</v>
      </c>
      <c r="C22" s="2633" t="s">
        <v>3394</v>
      </c>
      <c r="D22" s="2662"/>
      <c r="E22" s="2662"/>
      <c r="F22" s="2662"/>
      <c r="G22" s="2663"/>
      <c r="H22" s="2663"/>
      <c r="I22" s="2663"/>
      <c r="J22" s="2438"/>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2209</v>
      </c>
      <c r="B23" s="2501" t="s">
        <v>2210</v>
      </c>
      <c r="C23" s="2637"/>
      <c r="D23" s="2638" t="s">
        <v>2210</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497" t="s">
        <v>2211</v>
      </c>
      <c r="B27" s="320" t="s">
        <v>2212</v>
      </c>
      <c r="C27" s="2415" t="s">
        <v>3384</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7"/>
      <c r="B28" s="302" t="s">
        <v>2213</v>
      </c>
      <c r="C28" s="2417" t="s">
        <v>3385</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7"/>
      <c r="B29" s="302" t="s">
        <v>2214</v>
      </c>
      <c r="C29" s="2419" t="s">
        <v>3383</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8"/>
      <c r="B30" s="302" t="s">
        <v>2215</v>
      </c>
      <c r="C30" s="3499"/>
      <c r="D30" s="3500"/>
      <c r="E30" s="2663"/>
      <c r="F30" s="2663"/>
      <c r="G30" s="2663"/>
      <c r="H30" s="2663"/>
      <c r="I30" s="2663"/>
      <c r="J30" s="2438"/>
      <c r="K30" s="2615"/>
      <c r="L30" s="2612"/>
      <c r="M30" s="2612"/>
      <c r="N30" s="2438"/>
      <c r="O30" s="2449"/>
      <c r="P30" s="2438"/>
      <c r="Q30" s="2438"/>
      <c r="R30" s="2438"/>
      <c r="S30" s="2438"/>
      <c r="T30" s="2438"/>
      <c r="U30" s="2438"/>
      <c r="V30" s="2438"/>
    </row>
    <row r="31" spans="1:28">
      <c r="A31" s="3501" t="s">
        <v>2216</v>
      </c>
      <c r="B31" s="2421" t="s">
        <v>3386</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02"/>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02"/>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6" t="s">
        <v>3387</v>
      </c>
      <c r="C34" s="2026" t="s">
        <v>3388</v>
      </c>
      <c r="D34" s="2026" t="s">
        <v>3389</v>
      </c>
      <c r="E34" s="2026" t="s">
        <v>3390</v>
      </c>
      <c r="F34" s="2026" t="s">
        <v>3391</v>
      </c>
      <c r="G34" s="2026" t="s">
        <v>3392</v>
      </c>
      <c r="H34" s="2026"/>
      <c r="I34" s="2663"/>
      <c r="J34" s="2438"/>
      <c r="K34" s="2426">
        <f>COUNTIF(B34:H34,"——")</f>
        <v>0</v>
      </c>
      <c r="L34" s="323" t="s">
        <v>2218</v>
      </c>
      <c r="M34" s="323" t="s">
        <v>2219</v>
      </c>
      <c r="N34" s="323" t="s">
        <v>2220</v>
      </c>
      <c r="O34" s="323" t="s">
        <v>2221</v>
      </c>
      <c r="P34" s="323" t="s">
        <v>2222</v>
      </c>
      <c r="Q34" s="323" t="s">
        <v>2223</v>
      </c>
      <c r="R34" s="323" t="s">
        <v>2224</v>
      </c>
      <c r="S34" s="3496" t="s">
        <v>2225</v>
      </c>
      <c r="T34" s="2427" t="str">
        <f>NUMBERSTRING(7-K34,1)&amp;"通"</f>
        <v>七通</v>
      </c>
      <c r="U34" s="2438"/>
      <c r="V34" s="2438"/>
    </row>
    <row r="35" spans="1:30">
      <c r="A35" s="2428"/>
      <c r="B35" s="3503" t="s">
        <v>2226</v>
      </c>
      <c r="C35" s="3503"/>
      <c r="D35" s="3503"/>
      <c r="E35" s="3503"/>
      <c r="F35" s="664">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6"/>
      <c r="T35" s="329" t="str">
        <f>IF(T34="一通",L35,IF(T34="二通",M35,IF(T34="三通",N35,IF(T34="四通",O35,IF(T34="五通",P35,IF(T34="六通",Q35,R35))))))</f>
        <v>通路、通电、通讯、通上水、通下水、平整、</v>
      </c>
      <c r="U35" s="2438"/>
      <c r="V35" s="2438"/>
    </row>
    <row r="36" spans="1:30">
      <c r="A36" s="2429"/>
      <c r="B36" s="664" t="s">
        <v>2183</v>
      </c>
      <c r="C36" s="664" t="s">
        <v>2184</v>
      </c>
      <c r="D36" s="664" t="s">
        <v>2182</v>
      </c>
      <c r="E36" s="664" t="s">
        <v>2187</v>
      </c>
      <c r="F36" s="3064" t="s">
        <v>2580</v>
      </c>
      <c r="G36" s="2663"/>
      <c r="H36" s="2663"/>
      <c r="I36" s="2663"/>
      <c r="J36" s="2438"/>
      <c r="K36" s="2615"/>
      <c r="L36" s="2612"/>
      <c r="M36" s="2612"/>
      <c r="N36" s="2438"/>
      <c r="O36" s="2449"/>
      <c r="P36" s="2438"/>
      <c r="Q36" s="2438"/>
      <c r="R36" s="2438"/>
      <c r="S36" s="2438"/>
      <c r="T36" s="2438"/>
      <c r="U36" s="2438"/>
      <c r="V36" s="2438"/>
    </row>
    <row r="37" spans="1:30">
      <c r="A37" s="2629" t="s">
        <v>2227</v>
      </c>
      <c r="B37" s="2430"/>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8" thickBot="1">
      <c r="A38" s="2630" t="s">
        <v>2228</v>
      </c>
      <c r="B38" s="2431"/>
      <c r="C38" s="2431"/>
      <c r="D38" s="2431"/>
      <c r="E38" s="2431" t="s">
        <v>3393</v>
      </c>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2230</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2">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8" sqref="L3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2" width="9.44140625" style="1573" customWidth="1"/>
    <col min="13" max="14" width="9.44140625" style="1573" hidden="1" customWidth="1"/>
    <col min="15" max="15" width="9.88671875" style="1573" hidden="1" customWidth="1"/>
    <col min="16" max="16" width="9.77734375" style="1573" hidden="1" customWidth="1"/>
    <col min="17" max="17" width="9.33203125" style="1573" hidden="1" customWidth="1"/>
    <col min="18" max="18" width="9.21875" style="1573" hidden="1" customWidth="1"/>
    <col min="19" max="19" width="10.88671875" style="1573" hidden="1" customWidth="1"/>
    <col min="20" max="21" width="10.77734375" style="1573" hidden="1" customWidth="1"/>
    <col min="22" max="22" width="10.88671875" style="1573" hidden="1" customWidth="1"/>
    <col min="23" max="27" width="10.77734375" style="1573" hidden="1" customWidth="1"/>
    <col min="28" max="28" width="10.88671875" style="1573" hidden="1"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23335</v>
      </c>
      <c r="B3" s="11">
        <f>IF(C3="否",G5-AT5,G5)</f>
        <v>10052.84</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1070</v>
      </c>
      <c r="B5" s="1347"/>
      <c r="C5" s="1347"/>
      <c r="D5" s="1349"/>
      <c r="E5" s="13" t="s">
        <v>0</v>
      </c>
      <c r="F5" s="13">
        <f>SUM(F13:F587)</f>
        <v>0</v>
      </c>
      <c r="G5" s="13">
        <f>SUM(G13:G587)</f>
        <v>10052.84</v>
      </c>
      <c r="H5" s="13">
        <f t="shared" ref="H5:AT5" si="0">SUM(H13:H656)</f>
        <v>9850.5600000000013</v>
      </c>
      <c r="I5" s="13">
        <f t="shared" si="0"/>
        <v>9850.5600000000013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202.28000000000003</v>
      </c>
      <c r="AD5" s="13">
        <f t="shared" si="0"/>
        <v>0</v>
      </c>
      <c r="AE5" s="13">
        <f t="shared" si="0"/>
        <v>0</v>
      </c>
      <c r="AF5" s="13">
        <f t="shared" si="0"/>
        <v>0</v>
      </c>
      <c r="AG5" s="13">
        <f t="shared" si="0"/>
        <v>0</v>
      </c>
      <c r="AH5" s="13">
        <f t="shared" si="0"/>
        <v>0</v>
      </c>
      <c r="AI5" s="13">
        <f t="shared" si="0"/>
        <v>0</v>
      </c>
      <c r="AJ5" s="13">
        <f t="shared" si="0"/>
        <v>0</v>
      </c>
      <c r="AK5" s="13">
        <f t="shared" si="0"/>
        <v>0</v>
      </c>
      <c r="AL5" s="13">
        <f t="shared" si="0"/>
        <v>202.28000000000003</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10052.84</v>
      </c>
      <c r="BA5" s="15">
        <f t="shared" si="1"/>
        <v>9850.5600000000013</v>
      </c>
      <c r="BB5" s="15">
        <f t="shared" si="1"/>
        <v>9850.5600000000013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202.28000000000003</v>
      </c>
      <c r="BM5" s="15">
        <f t="shared" si="1"/>
        <v>0</v>
      </c>
      <c r="BN5" s="15">
        <f t="shared" si="1"/>
        <v>0</v>
      </c>
      <c r="BO5" s="15">
        <f t="shared" si="1"/>
        <v>0</v>
      </c>
      <c r="BP5" s="15">
        <f t="shared" si="1"/>
        <v>0</v>
      </c>
      <c r="BQ5" s="15">
        <f t="shared" si="1"/>
        <v>202.28000000000003</v>
      </c>
      <c r="BR5" s="15">
        <f t="shared" si="1"/>
        <v>0</v>
      </c>
      <c r="BS5" s="15">
        <f t="shared" si="1"/>
        <v>0</v>
      </c>
      <c r="BT5" s="16">
        <f t="shared" si="1"/>
        <v>0</v>
      </c>
    </row>
    <row r="6" spans="1:72" s="1589" customFormat="1" ht="13.2">
      <c r="A6" s="12" t="s">
        <v>1071</v>
      </c>
      <c r="B6" s="1586"/>
      <c r="C6" s="1586"/>
      <c r="D6" s="1587"/>
      <c r="E6" s="13">
        <f>H6+AC6+AT6</f>
        <v>23335</v>
      </c>
      <c r="F6" s="13" t="s">
        <v>0</v>
      </c>
      <c r="G6" s="13" t="s">
        <v>1</v>
      </c>
      <c r="H6" s="17">
        <f>SUMIF(I$12:AB$12,"总值",I6:AB6)</f>
        <v>22865.46</v>
      </c>
      <c r="I6" s="13">
        <f t="shared" ref="I6:AB6" si="2">ROUND($A$3*I5/$B$3,2)</f>
        <v>22865.46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469.54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469.54</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23335</v>
      </c>
      <c r="AZ6" s="13" t="s">
        <v>2</v>
      </c>
      <c r="BA6" s="13">
        <f>ROUND($AY$6*BA5/$AZ$5,2)</f>
        <v>22865.46</v>
      </c>
      <c r="BB6" s="13">
        <f>ROUND($AY$6*BB5/$AZ$5,2)</f>
        <v>22865.46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469.54</v>
      </c>
      <c r="BM6" s="13">
        <f t="shared" si="5"/>
        <v>0</v>
      </c>
      <c r="BN6" s="13">
        <f t="shared" si="5"/>
        <v>0</v>
      </c>
      <c r="BO6" s="13">
        <f t="shared" si="5"/>
        <v>0</v>
      </c>
      <c r="BP6" s="13">
        <f t="shared" si="5"/>
        <v>0</v>
      </c>
      <c r="BQ6" s="13">
        <f t="shared" si="5"/>
        <v>469.54</v>
      </c>
      <c r="BR6" s="13">
        <f t="shared" si="5"/>
        <v>0</v>
      </c>
      <c r="BS6" s="13">
        <f t="shared" si="5"/>
        <v>0</v>
      </c>
      <c r="BT6" s="19">
        <f t="shared" si="5"/>
        <v>0</v>
      </c>
    </row>
    <row r="7" spans="1:72" s="1579" customFormat="1" ht="25.2">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1090</v>
      </c>
      <c r="I9" s="1603" t="s">
        <v>3395</v>
      </c>
      <c r="J9" s="809"/>
      <c r="K9" s="1603" t="s">
        <v>3395</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3.2">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地上</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3426</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特殊厂房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3450" t="s">
        <v>3420</v>
      </c>
      <c r="D13" s="1625" t="s">
        <v>3382</v>
      </c>
      <c r="E13" s="13">
        <f>IF($C$3="是",ROUND($A$3*G13/$B$3,2),ROUND($A$3*(G13-AT13)/$B$3,2))</f>
        <v>241.43</v>
      </c>
      <c r="F13" s="29"/>
      <c r="G13" s="30">
        <f>H13+AC13+AT13</f>
        <v>104.01</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104.01</v>
      </c>
      <c r="AD13" s="1627"/>
      <c r="AE13" s="1627"/>
      <c r="AF13" s="1627"/>
      <c r="AG13" s="1627"/>
      <c r="AH13" s="1627"/>
      <c r="AI13" s="1627"/>
      <c r="AJ13" s="1627"/>
      <c r="AK13" s="1627"/>
      <c r="AL13" s="1627">
        <v>104.01</v>
      </c>
      <c r="AM13" s="1627"/>
      <c r="AN13" s="1627"/>
      <c r="AO13" s="1627"/>
      <c r="AP13" s="1627"/>
      <c r="AQ13" s="1627"/>
      <c r="AR13" s="1627"/>
      <c r="AS13" s="1627"/>
      <c r="AT13" s="1628"/>
      <c r="AU13" s="1629"/>
      <c r="AV13" s="8">
        <f t="shared" ref="AV13:AX17" si="6">A13</f>
        <v>0</v>
      </c>
      <c r="AW13" s="8">
        <f t="shared" si="6"/>
        <v>0</v>
      </c>
      <c r="AX13" s="8" t="str">
        <f t="shared" si="6"/>
        <v>锅炉房</v>
      </c>
      <c r="AY13" s="1349">
        <f>ROUND($AY$6*AZ13/$AZ$5,2)</f>
        <v>241.43</v>
      </c>
      <c r="AZ13" s="13">
        <f>BA13+BL13</f>
        <v>104.01</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104.01</v>
      </c>
      <c r="BM13" s="13">
        <f>IF($D13="是",AD13-AE13,0)</f>
        <v>0</v>
      </c>
      <c r="BN13" s="13">
        <f>IF($D13="是",AF13-AG13,0)</f>
        <v>0</v>
      </c>
      <c r="BO13" s="13">
        <f>IF($D13="是",AH13-AI13,0)</f>
        <v>0</v>
      </c>
      <c r="BP13" s="13">
        <f>IF($D13="是",AJ13-AK13,0)</f>
        <v>0</v>
      </c>
      <c r="BQ13" s="13">
        <f>IF($D13="是",AL13-AM13,0)</f>
        <v>104.01</v>
      </c>
      <c r="BR13" s="13">
        <f>IF($D13="是",AN13-AO13,0)</f>
        <v>0</v>
      </c>
      <c r="BS13" s="13">
        <f>IF($D13="是",AP13-AQ13,0)</f>
        <v>0</v>
      </c>
      <c r="BT13" s="19">
        <f>IF($D13="是",AR13-AS13,0)</f>
        <v>0</v>
      </c>
    </row>
    <row r="14" spans="1:72" s="1579" customFormat="1" ht="13.2">
      <c r="A14" s="1051"/>
      <c r="B14" s="1051"/>
      <c r="C14" s="3450" t="s">
        <v>3421</v>
      </c>
      <c r="D14" s="1625" t="s">
        <v>3382</v>
      </c>
      <c r="E14" s="13">
        <f>IF($C$3="是",ROUND($A$3*G14/$B$3,2),ROUND($A$3*(G14-AT14)/$B$3,2))</f>
        <v>158.66</v>
      </c>
      <c r="F14" s="29"/>
      <c r="G14" s="30">
        <f>H14+AC14+AT14</f>
        <v>68.349999999999994</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68.349999999999994</v>
      </c>
      <c r="AD14" s="1627"/>
      <c r="AE14" s="1627"/>
      <c r="AF14" s="1627"/>
      <c r="AG14" s="1627"/>
      <c r="AH14" s="1627"/>
      <c r="AI14" s="1627"/>
      <c r="AJ14" s="1627"/>
      <c r="AK14" s="1627"/>
      <c r="AL14" s="1627">
        <v>68.349999999999994</v>
      </c>
      <c r="AM14" s="1627"/>
      <c r="AN14" s="1627"/>
      <c r="AO14" s="1627"/>
      <c r="AP14" s="1627"/>
      <c r="AQ14" s="1627"/>
      <c r="AR14" s="1627"/>
      <c r="AS14" s="1627"/>
      <c r="AT14" s="1628"/>
      <c r="AU14" s="1629"/>
      <c r="AV14" s="8">
        <f t="shared" si="6"/>
        <v>0</v>
      </c>
      <c r="AW14" s="8">
        <f t="shared" si="6"/>
        <v>0</v>
      </c>
      <c r="AX14" s="8" t="str">
        <f t="shared" si="6"/>
        <v>配电室</v>
      </c>
      <c r="AY14" s="1349">
        <f>ROUND($AY$6*AZ14/$AZ$5,2)</f>
        <v>158.66</v>
      </c>
      <c r="AZ14" s="13">
        <f>BA14+BL14</f>
        <v>68.349999999999994</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68.349999999999994</v>
      </c>
      <c r="BM14" s="13">
        <f>IF($D14="是",AD14-AE14,0)</f>
        <v>0</v>
      </c>
      <c r="BN14" s="13">
        <f>IF($D14="是",AF14-AG14,0)</f>
        <v>0</v>
      </c>
      <c r="BO14" s="13">
        <f>IF($D14="是",AH14-AI14,0)</f>
        <v>0</v>
      </c>
      <c r="BP14" s="13">
        <f>IF($D14="是",AJ14-AK14,0)</f>
        <v>0</v>
      </c>
      <c r="BQ14" s="13">
        <f>IF($D14="是",AL14-AM14,0)</f>
        <v>68.349999999999994</v>
      </c>
      <c r="BR14" s="13">
        <f>IF($D14="是",AN14-AO14,0)</f>
        <v>0</v>
      </c>
      <c r="BS14" s="13">
        <f>IF($D14="是",AP14-AQ14,0)</f>
        <v>0</v>
      </c>
      <c r="BT14" s="19">
        <f>IF($D14="是",AR14-AS14,0)</f>
        <v>0</v>
      </c>
    </row>
    <row r="15" spans="1:72" s="1579" customFormat="1" ht="13.2">
      <c r="A15" s="1051"/>
      <c r="B15" s="1051"/>
      <c r="C15" s="3450" t="s">
        <v>3422</v>
      </c>
      <c r="D15" s="1625" t="s">
        <v>3382</v>
      </c>
      <c r="E15" s="13">
        <f>IF($C$3="是",ROUND($A$3*G15/$B$3,2),ROUND($A$3*(G15-AT15)/$B$3,2))</f>
        <v>18257.759999999998</v>
      </c>
      <c r="F15" s="29"/>
      <c r="G15" s="30">
        <f>H15+AC15+AT15</f>
        <v>7865.54</v>
      </c>
      <c r="H15" s="17">
        <f>SUMIF(I$12:AB$12,"总值",I15:AB15)</f>
        <v>7865.54</v>
      </c>
      <c r="I15" s="1626">
        <v>7865.54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仓库</v>
      </c>
      <c r="AY15" s="1349">
        <f>ROUND($AY$6*AZ15/$AZ$5,2)</f>
        <v>18257.759999999998</v>
      </c>
      <c r="AZ15" s="13">
        <f>BA15+BL15</f>
        <v>7865.54</v>
      </c>
      <c r="BA15" s="13">
        <f>SUM(BB15:BK15)</f>
        <v>7865.54</v>
      </c>
      <c r="BB15" s="13">
        <f>IF($D15="是",I15-J15,0)</f>
        <v>7865.54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3450" t="s">
        <v>3423</v>
      </c>
      <c r="D16" s="1625" t="s">
        <v>3382</v>
      </c>
      <c r="E16" s="13">
        <f>IF($C$3="是",ROUND($A$3*G16/$B$3,2),ROUND($A$3*(G16-AT16)/$B$3,2))</f>
        <v>2146.91</v>
      </c>
      <c r="F16" s="29"/>
      <c r="G16" s="30">
        <f>H16+AC16+AT16</f>
        <v>924.9</v>
      </c>
      <c r="H16" s="17">
        <f>SUMIF(I$12:AB$12,"总值",I16:AB16)</f>
        <v>924.9</v>
      </c>
      <c r="I16" s="1626">
        <f>462.45+462.45</f>
        <v>924.9</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办公</v>
      </c>
      <c r="AY16" s="1349">
        <f>ROUND($AY$6*AZ16/$AZ$5,2)</f>
        <v>2146.91</v>
      </c>
      <c r="AZ16" s="13">
        <f>BA16+BL16</f>
        <v>924.9</v>
      </c>
      <c r="BA16" s="13">
        <f>SUM(BB16:BK16)</f>
        <v>924.9</v>
      </c>
      <c r="BB16" s="13">
        <f>IF($D16="是",I16-J16,0)</f>
        <v>924.9</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3450" t="s">
        <v>3424</v>
      </c>
      <c r="D17" s="1625" t="s">
        <v>3382</v>
      </c>
      <c r="E17" s="13">
        <f>IF($C$3="是",ROUND($A$3*G17/$B$3,2),ROUND($A$3*(G17-AT17)/$B$3,2))</f>
        <v>69.45</v>
      </c>
      <c r="F17" s="29"/>
      <c r="G17" s="30">
        <f>H17+AC17+AT17</f>
        <v>29.92</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29.92</v>
      </c>
      <c r="AD17" s="1627"/>
      <c r="AE17" s="1627"/>
      <c r="AF17" s="1627"/>
      <c r="AG17" s="1627"/>
      <c r="AH17" s="1627"/>
      <c r="AI17" s="1627"/>
      <c r="AJ17" s="1627"/>
      <c r="AK17" s="1627"/>
      <c r="AL17" s="1627">
        <v>29.92</v>
      </c>
      <c r="AM17" s="1627"/>
      <c r="AN17" s="1627"/>
      <c r="AO17" s="1627"/>
      <c r="AP17" s="1627"/>
      <c r="AQ17" s="1627"/>
      <c r="AR17" s="1627"/>
      <c r="AS17" s="1627"/>
      <c r="AT17" s="1628"/>
      <c r="AU17" s="1629"/>
      <c r="AV17" s="8">
        <f t="shared" si="6"/>
        <v>0</v>
      </c>
      <c r="AW17" s="8">
        <f t="shared" si="6"/>
        <v>0</v>
      </c>
      <c r="AX17" s="8" t="str">
        <f t="shared" si="6"/>
        <v>警卫室</v>
      </c>
      <c r="AY17" s="1349">
        <f>ROUND($AY$6*AZ17/$AZ$5,2)</f>
        <v>69.45</v>
      </c>
      <c r="AZ17" s="13">
        <f>BA17+BL17</f>
        <v>29.92</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29.92</v>
      </c>
      <c r="BM17" s="13">
        <f>IF($D17="是",AD17-AE17,0)</f>
        <v>0</v>
      </c>
      <c r="BN17" s="13">
        <f>IF($D17="是",AF17-AG17,0)</f>
        <v>0</v>
      </c>
      <c r="BO17" s="13">
        <f>IF($D17="是",AH17-AI17,0)</f>
        <v>0</v>
      </c>
      <c r="BP17" s="13">
        <f>IF($D17="是",AJ17-AK17,0)</f>
        <v>0</v>
      </c>
      <c r="BQ17" s="13">
        <f>IF($D17="是",AL17-AM17,0)</f>
        <v>29.92</v>
      </c>
      <c r="BR17" s="13">
        <f>IF($D17="是",AN17-AO17,0)</f>
        <v>0</v>
      </c>
      <c r="BS17" s="13">
        <f>IF($D17="是",AP17-AQ17,0)</f>
        <v>0</v>
      </c>
      <c r="BT17" s="19">
        <f>IF($D17="是",AR17-AS17,0)</f>
        <v>0</v>
      </c>
    </row>
    <row r="18" spans="1:72" ht="14.4">
      <c r="A18" s="6"/>
      <c r="B18" s="31"/>
      <c r="C18" s="3453" t="s">
        <v>3425</v>
      </c>
      <c r="D18" s="1630" t="s">
        <v>3382</v>
      </c>
      <c r="E18" s="32">
        <f t="shared" ref="E18:E112" si="7">IF($C$3="是",ROUND($A$3*G18/$B$3,2),ROUND($A$3*(G18-AT18)/$B$3,2))</f>
        <v>2460.79</v>
      </c>
      <c r="F18" s="33"/>
      <c r="G18" s="34">
        <f t="shared" ref="G18:G109" si="8">H18+AC18+AT18</f>
        <v>1060.1199999999999</v>
      </c>
      <c r="H18" s="35">
        <f t="shared" ref="H18:H109" si="9">SUMIF(I$12:AB$12,"总值",I18:AB18)</f>
        <v>1060.1199999999999</v>
      </c>
      <c r="I18" s="36">
        <f>530.06+530.06</f>
        <v>1060.1199999999999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宿舍楼</v>
      </c>
      <c r="AY18" s="39">
        <f t="shared" ref="AY18:AY109" si="14">ROUND($AY$6*AZ18/$AZ$5,2)</f>
        <v>2460.79</v>
      </c>
      <c r="AZ18" s="32">
        <f t="shared" ref="AZ18:AZ109" si="15">BA18+BL18</f>
        <v>1060.1199999999999</v>
      </c>
      <c r="BA18" s="32">
        <f t="shared" ref="BA18:BA109" si="16">SUM(BB18:BK18)</f>
        <v>1060.1199999999999</v>
      </c>
      <c r="BB18" s="32">
        <f t="shared" ref="BB18:BB109" si="17">IF($D18="是",I18-J18,0)</f>
        <v>1060.1199999999999</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6" sqref="I6"/>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1129</v>
      </c>
      <c r="B1" s="1139"/>
      <c r="C1" s="1139"/>
      <c r="D1" s="1139"/>
      <c r="E1" s="1139"/>
      <c r="F1" s="1139"/>
      <c r="G1" s="1139"/>
      <c r="H1" s="1139"/>
      <c r="I1" s="1139"/>
      <c r="J1" s="1139"/>
      <c r="K1" s="1139"/>
      <c r="L1" s="1139"/>
      <c r="M1" s="1139"/>
      <c r="N1" s="1139"/>
      <c r="O1" s="1139"/>
      <c r="P1" s="1139"/>
    </row>
    <row r="2" spans="1:16" ht="14.4">
      <c r="A2" s="3535" t="s">
        <v>1130</v>
      </c>
      <c r="B2" s="3535"/>
      <c r="C2" s="3535"/>
      <c r="D2" s="796" t="s">
        <v>1106</v>
      </c>
      <c r="E2" s="1639" t="s">
        <v>1107</v>
      </c>
      <c r="F2" s="2658"/>
      <c r="G2" s="2649"/>
      <c r="H2" s="2650"/>
      <c r="I2" s="2325" t="s">
        <v>1131</v>
      </c>
      <c r="J2" s="2658"/>
      <c r="K2" s="2658"/>
      <c r="L2" s="2658"/>
      <c r="M2" s="2658"/>
      <c r="N2" s="2660"/>
      <c r="O2" s="2658"/>
      <c r="P2" s="2658"/>
    </row>
    <row r="3" spans="1:16" ht="15" thickBot="1">
      <c r="A3" s="3536" t="s">
        <v>1104</v>
      </c>
      <c r="B3" s="3536"/>
      <c r="C3" s="3536"/>
      <c r="D3" s="43">
        <f>'数据-基础表'!AY6</f>
        <v>23335</v>
      </c>
      <c r="E3" s="43">
        <f>'数据-基础表'!AZ5</f>
        <v>10052.84</v>
      </c>
      <c r="F3" s="2658"/>
      <c r="G3" s="1145"/>
      <c r="H3" s="1026" t="s">
        <v>1105</v>
      </c>
      <c r="I3" s="855">
        <f>ROUND('数据-基础表'!B3/'数据-基础表'!A3,2)</f>
        <v>0.43</v>
      </c>
      <c r="J3" s="2658"/>
      <c r="K3" s="2658"/>
      <c r="L3" s="2658"/>
      <c r="M3" s="2658"/>
      <c r="N3" s="2660"/>
      <c r="O3" s="2658"/>
      <c r="P3" s="2658"/>
    </row>
    <row r="4" spans="1:16" ht="14.4">
      <c r="A4" s="3537"/>
      <c r="B4" s="3538"/>
      <c r="C4" s="3539"/>
      <c r="D4" s="1641" t="s">
        <v>1106</v>
      </c>
      <c r="E4" s="1642" t="s">
        <v>1107</v>
      </c>
      <c r="F4" s="2658"/>
      <c r="G4" s="2651" t="s">
        <v>1132</v>
      </c>
      <c r="H4" s="1026" t="s">
        <v>1112</v>
      </c>
      <c r="I4" s="855">
        <f>ROUND(SUMIF('数据-基础表'!I9:AS9,"地上",'数据-基础表'!I5:AS5)/'数据-基础表'!A3,2)</f>
        <v>0.43</v>
      </c>
      <c r="J4" s="2658"/>
      <c r="K4" s="2658"/>
      <c r="L4" s="2658"/>
      <c r="M4" s="2658"/>
      <c r="N4" s="2660"/>
      <c r="O4" s="2658"/>
      <c r="P4" s="2658"/>
    </row>
    <row r="5" spans="1:16" ht="14.4">
      <c r="A5" s="44" t="s">
        <v>1108</v>
      </c>
      <c r="B5" s="3540" t="s">
        <v>1109</v>
      </c>
      <c r="C5" s="3540"/>
      <c r="D5" s="45">
        <f>ROUND($D$3*E5/$E$3,2)</f>
        <v>0</v>
      </c>
      <c r="E5" s="46">
        <f>SUMIF('数据-基础表'!$11:$11,"住宅",'数据-基础表'!$5:$5)</f>
        <v>0</v>
      </c>
      <c r="F5" s="2658"/>
      <c r="G5" s="1145"/>
      <c r="H5" s="1026" t="s">
        <v>1105</v>
      </c>
      <c r="I5" s="855">
        <f>ROUND(E31/D31,2)</f>
        <v>0.43</v>
      </c>
      <c r="J5" s="2658"/>
      <c r="K5" s="2658"/>
      <c r="L5" s="2658"/>
      <c r="M5" s="2658"/>
      <c r="N5" s="2658"/>
      <c r="O5" s="2658"/>
      <c r="P5" s="2658"/>
    </row>
    <row r="6" spans="1:16" ht="15" thickBot="1">
      <c r="A6" s="1644"/>
      <c r="B6" s="3540" t="s">
        <v>1110</v>
      </c>
      <c r="C6" s="3540"/>
      <c r="D6" s="45">
        <f>ROUND($D$3*E6/$E$3,2)</f>
        <v>23335</v>
      </c>
      <c r="E6" s="46">
        <f>E3-E5</f>
        <v>10052.84</v>
      </c>
      <c r="F6" s="2658"/>
      <c r="G6" s="2652" t="s">
        <v>1111</v>
      </c>
      <c r="H6" s="1146" t="s">
        <v>1112</v>
      </c>
      <c r="I6" s="2653">
        <f>ROUND(F31/D31,2)</f>
        <v>0.43</v>
      </c>
      <c r="J6" s="2658"/>
      <c r="K6" s="2658"/>
      <c r="L6" s="2658"/>
      <c r="M6" s="2658"/>
      <c r="N6" s="2658"/>
      <c r="O6" s="2658"/>
      <c r="P6" s="2658"/>
    </row>
    <row r="7" spans="1:16" ht="15" thickBot="1">
      <c r="A7" s="3532"/>
      <c r="B7" s="3533"/>
      <c r="C7" s="3534"/>
      <c r="D7" s="1641" t="s">
        <v>1106</v>
      </c>
      <c r="E7" s="1645" t="s">
        <v>1113</v>
      </c>
      <c r="F7" s="2658"/>
      <c r="G7" s="2654" t="s">
        <v>1114</v>
      </c>
      <c r="H7" s="2655"/>
      <c r="I7" s="2656">
        <v>1</v>
      </c>
      <c r="J7" s="2658"/>
      <c r="K7" s="2658"/>
      <c r="L7" s="2658"/>
      <c r="M7" s="2658"/>
      <c r="N7" s="2658"/>
      <c r="O7" s="2658"/>
      <c r="P7" s="2658"/>
    </row>
    <row r="8" spans="1:16" ht="14.4">
      <c r="A8" s="44" t="s">
        <v>1115</v>
      </c>
      <c r="B8" s="47" t="s">
        <v>1116</v>
      </c>
      <c r="C8" s="45" t="s">
        <v>1117</v>
      </c>
      <c r="D8" s="45">
        <f t="shared" ref="D8:D15" si="0">ROUND($D$3*E8/$E$3,2)</f>
        <v>22865.46</v>
      </c>
      <c r="E8" s="48">
        <f>SUMIF('数据-基础表'!BB10:BK10,"地上",'数据-基础表'!BB5:BK5)</f>
        <v>9850.5600000000013</v>
      </c>
      <c r="F8" s="2658"/>
      <c r="G8" s="2659"/>
      <c r="H8" s="2659"/>
      <c r="I8" s="2658"/>
      <c r="J8" s="2658"/>
      <c r="K8" s="2658"/>
      <c r="L8" s="2658"/>
      <c r="M8" s="2658"/>
      <c r="N8" s="2658"/>
      <c r="O8" s="2658"/>
      <c r="P8" s="2658"/>
    </row>
    <row r="9" spans="1:16" ht="14.4">
      <c r="A9" s="1646"/>
      <c r="B9" s="1647"/>
      <c r="C9" s="45" t="s">
        <v>1118</v>
      </c>
      <c r="D9" s="45">
        <f t="shared" si="0"/>
        <v>0</v>
      </c>
      <c r="E9" s="49">
        <v>0</v>
      </c>
      <c r="F9" s="2658"/>
      <c r="G9" s="2659"/>
      <c r="H9" s="2659"/>
      <c r="I9" s="2658"/>
      <c r="J9" s="2658"/>
      <c r="K9" s="2658"/>
      <c r="L9" s="2658"/>
      <c r="M9" s="2658"/>
      <c r="N9" s="2658"/>
      <c r="O9" s="2658"/>
      <c r="P9" s="2658"/>
    </row>
    <row r="10" spans="1:16" ht="14.4">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1121</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1122</v>
      </c>
      <c r="D16" s="47">
        <f>SUM(D8:D15)</f>
        <v>22865.46</v>
      </c>
      <c r="E16" s="50">
        <f>SUM(E8:E15)</f>
        <v>9850.5600000000013</v>
      </c>
      <c r="F16" s="2658"/>
      <c r="G16" s="2659"/>
      <c r="H16" s="1648" t="s">
        <v>1134</v>
      </c>
      <c r="I16" s="1649"/>
      <c r="J16" s="1139"/>
      <c r="K16" s="3529" t="s">
        <v>1134</v>
      </c>
      <c r="L16" s="3530"/>
      <c r="M16" s="3530"/>
      <c r="N16" s="3530"/>
      <c r="O16" s="3530"/>
      <c r="P16" s="3531"/>
    </row>
    <row r="17" spans="1:19" ht="14.4">
      <c r="A17" s="1650" t="s">
        <v>1135</v>
      </c>
      <c r="B17" s="1651" t="s">
        <v>1136</v>
      </c>
      <c r="C17" s="1652" t="s">
        <v>1137</v>
      </c>
      <c r="D17" s="1653" t="s">
        <v>1125</v>
      </c>
      <c r="E17" s="1654" t="s">
        <v>1126</v>
      </c>
      <c r="F17" s="1655"/>
      <c r="G17" s="1656"/>
      <c r="H17" s="1657" t="s">
        <v>1138</v>
      </c>
      <c r="I17" s="1658" t="s">
        <v>1123</v>
      </c>
      <c r="J17" s="1139"/>
      <c r="K17" s="3526" t="s">
        <v>1139</v>
      </c>
      <c r="L17" s="3527"/>
      <c r="M17" s="3528"/>
      <c r="N17" s="3526" t="s">
        <v>1140</v>
      </c>
      <c r="O17" s="3527"/>
      <c r="P17" s="3528"/>
      <c r="R17" s="1640" t="s">
        <v>1141</v>
      </c>
      <c r="S17" s="56"/>
    </row>
    <row r="18" spans="1:19" ht="14.4">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ht="14.4">
      <c r="A19" s="1667"/>
      <c r="B19" s="47" t="s">
        <v>1124</v>
      </c>
      <c r="C19" s="3416" t="s">
        <v>3396</v>
      </c>
      <c r="D19" s="45">
        <f>ROUND($D$3*E19/$E$3,2)</f>
        <v>22865.46</v>
      </c>
      <c r="E19" s="53">
        <f t="shared" ref="E19:E26" si="1">SUM(F19:G19)</f>
        <v>9850.5600000000013</v>
      </c>
      <c r="F19" s="2794">
        <f>'数据-基础表'!I5</f>
        <v>9850.5600000000013</v>
      </c>
      <c r="G19" s="2795"/>
      <c r="H19" s="670">
        <f>ROUND($D$3*I19/$E$3,2)</f>
        <v>469.54</v>
      </c>
      <c r="I19" s="48">
        <f t="shared" ref="I19:I26" si="2">IF($I$17="自定义",P19,M19)</f>
        <v>202.28</v>
      </c>
      <c r="J19" s="1139"/>
      <c r="K19" s="1138">
        <f t="shared" ref="K19:K26" si="3">ROUND(E$28*E19/E$27,2)</f>
        <v>202.28</v>
      </c>
      <c r="L19" s="1026">
        <f t="shared" ref="L19:L26" si="4">ROUND(IF(COUNTIF(C19,"*住宅*")&gt;0,E$29*E19/E$32,0),2)</f>
        <v>0</v>
      </c>
      <c r="M19" s="1150">
        <f>K19+L19</f>
        <v>202.28</v>
      </c>
      <c r="N19" s="1668"/>
      <c r="O19" s="1669"/>
      <c r="P19" s="1150">
        <f>N19+O19</f>
        <v>0</v>
      </c>
      <c r="R19" s="1026">
        <f t="shared" ref="R19:S26" si="5">D19+H19</f>
        <v>23335</v>
      </c>
      <c r="S19" s="1027">
        <f t="shared" si="5"/>
        <v>10052.840000000002</v>
      </c>
    </row>
    <row r="20" spans="1:19" ht="14.4">
      <c r="A20" s="1670"/>
      <c r="B20" s="47" t="s">
        <v>1152</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1152</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1152</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1152</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1152</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1152</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1152</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1153</v>
      </c>
      <c r="D27" s="1140">
        <f>SUM(D19:D26)</f>
        <v>22865.46</v>
      </c>
      <c r="E27" s="1141">
        <f>IF(SUM(E19:E26)='数据-基础表'!BA5,SUM(E19:E26),IF(F27="地上面积有误","面积有误","地下面积有误"))</f>
        <v>9850.5600000000013</v>
      </c>
      <c r="F27" s="1140">
        <f>IF(SUM(F19:F26)=E8,SUM(F19:F26),"地上面积有误")</f>
        <v>9850.5600000000013</v>
      </c>
      <c r="G27" s="1142">
        <f>SUM(G19:G26)</f>
        <v>0</v>
      </c>
      <c r="H27" s="1143">
        <f>SUM(H19:H26)</f>
        <v>469.54</v>
      </c>
      <c r="I27" s="1144">
        <f>SUM(I19:I26)</f>
        <v>202.28</v>
      </c>
      <c r="J27" s="1139"/>
      <c r="K27" s="1147">
        <f>SUM(K19:K26)</f>
        <v>202.28</v>
      </c>
      <c r="L27" s="1148">
        <f>SUM(L19:L26)</f>
        <v>0</v>
      </c>
      <c r="M27" s="1151">
        <f>SUM(M19:M26)</f>
        <v>202.28</v>
      </c>
      <c r="N27" s="1147">
        <f t="shared" ref="N27:O27" si="10">SUM(N19:N26)</f>
        <v>0</v>
      </c>
      <c r="O27" s="1148">
        <f t="shared" si="10"/>
        <v>0</v>
      </c>
      <c r="P27" s="1149">
        <f>SUM(P19:P26)</f>
        <v>0</v>
      </c>
      <c r="R27" s="1028">
        <f>IF(SUM(R19:R26)=$D$3,SUM(R19:R26),SUM(R19:R26)&amp;"误差"&amp;ROUND(SUM(R19:R26)-$D$3,2))</f>
        <v>23335</v>
      </c>
      <c r="S27" s="1026">
        <f>IF(SUM(S19:S26)=$E$3,SUM(S19:S26),SUM(S19:S26)&amp;"误差"&amp;ROUND(SUM(S19:S26)-E3,2))</f>
        <v>10052.840000000002</v>
      </c>
    </row>
    <row r="28" spans="1:19" ht="14.4">
      <c r="A28" s="1670"/>
      <c r="B28" s="47" t="s">
        <v>1154</v>
      </c>
      <c r="C28" s="1038" t="s">
        <v>1155</v>
      </c>
      <c r="D28" s="45">
        <f>ROUND($D$3*E28/$E$3,2)</f>
        <v>469.54</v>
      </c>
      <c r="E28" s="53">
        <f>SUM(F28:G28)</f>
        <v>202.28000000000003</v>
      </c>
      <c r="F28" s="56">
        <f>'数据-基础表'!BQ5+'数据-基础表'!BS5</f>
        <v>202.28000000000003</v>
      </c>
      <c r="G28" s="57">
        <f>'数据-基础表'!BR5+'数据-基础表'!BT5</f>
        <v>0</v>
      </c>
      <c r="H28" s="2658"/>
      <c r="I28" s="2658"/>
      <c r="J28" s="2658"/>
      <c r="K28" s="2658"/>
      <c r="L28" s="2658"/>
      <c r="M28" s="2658"/>
      <c r="N28" s="2658"/>
      <c r="O28" s="2658"/>
      <c r="P28" s="2658"/>
    </row>
    <row r="29" spans="1:19" ht="14.4">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1153</v>
      </c>
      <c r="D30" s="1140">
        <f>SUM(D28:D29)</f>
        <v>469.54</v>
      </c>
      <c r="E30" s="1140">
        <f>SUM(E28:E29)</f>
        <v>202.28000000000003</v>
      </c>
      <c r="F30" s="1140">
        <f>SUM(F28:F29)</f>
        <v>202.28000000000003</v>
      </c>
      <c r="G30" s="1142">
        <f>SUM(G28:G29)</f>
        <v>0</v>
      </c>
      <c r="H30" s="2658"/>
      <c r="I30" s="2658"/>
      <c r="J30" s="2658"/>
      <c r="K30" s="2658"/>
      <c r="L30" s="2658"/>
      <c r="M30" s="2658"/>
      <c r="N30" s="2658"/>
      <c r="O30" s="2658"/>
      <c r="P30" s="2658"/>
    </row>
    <row r="31" spans="1:19" ht="15" thickBot="1">
      <c r="A31" s="1676"/>
      <c r="B31" s="1677"/>
      <c r="C31" s="835" t="s">
        <v>1157</v>
      </c>
      <c r="D31" s="676">
        <f>D27+D30</f>
        <v>23335</v>
      </c>
      <c r="E31" s="676">
        <f>E27+E30</f>
        <v>10052.840000000002</v>
      </c>
      <c r="F31" s="677">
        <f>F27+F30</f>
        <v>10052.840000000002</v>
      </c>
      <c r="G31" s="678">
        <f>G27+G30</f>
        <v>0</v>
      </c>
      <c r="H31" s="2658"/>
      <c r="I31" s="2658"/>
      <c r="J31" s="2658"/>
      <c r="K31" s="2658"/>
      <c r="L31" s="2658"/>
      <c r="M31" s="2658"/>
      <c r="N31" s="2658"/>
      <c r="O31" s="2658"/>
      <c r="P31" s="2658"/>
    </row>
    <row r="32" spans="1:19" ht="14.4">
      <c r="A32" s="1643"/>
      <c r="B32" s="1643" t="s">
        <v>1158</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AK6" sqref="AK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1160</v>
      </c>
      <c r="B2" s="1045">
        <f>项目基本情况!D3</f>
        <v>45224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3401</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工业</v>
      </c>
      <c r="B6" s="1713" t="str">
        <f>IF(A6=0,"","经营性")</f>
        <v>经营性</v>
      </c>
      <c r="C6" s="1714" t="s">
        <v>3</v>
      </c>
      <c r="D6" s="858">
        <f>SUMIF(项目基本情况!C$12:I$12,C6,项目基本情况!C$14:I$14)</f>
        <v>50</v>
      </c>
      <c r="E6" s="857">
        <f>IF(B6="","",SUMIF(项目基本情况!C$12:I$12,C6,项目基本情况!C$13:I$13))</f>
        <v>55743</v>
      </c>
      <c r="F6" s="64">
        <f>SUMIF(项目基本情况!C$12:I$12,C6,项目基本情况!C$15:I$15)</f>
        <v>28.81</v>
      </c>
      <c r="G6" s="65">
        <f>IF(ISERROR(ROUND(POWER(1+H6,D6-F6)*(POWER(1+H6,F6)-1)/(POWER(1+H6,D6)-1),3)),0,ROUND(POWER(1+H6,D6-F6)*(POWER(1+H6,F6)-1)/(POWER(1+H6,D6)-1),3))</f>
        <v>0.82699999999999996</v>
      </c>
      <c r="H6" s="732">
        <v>0.05</v>
      </c>
      <c r="I6" s="732">
        <v>5.5E-2</v>
      </c>
      <c r="J6" s="66">
        <v>7.0000000000000007E-2</v>
      </c>
      <c r="K6" s="1030">
        <f>SUMIF('数据-汇总表'!C$19:C$33,A6,'数据-汇总表'!E$19:E$33)</f>
        <v>9850.5600000000013</v>
      </c>
      <c r="L6" s="733">
        <v>2700</v>
      </c>
      <c r="M6" s="67">
        <f t="shared" ref="M6:M14" si="0">ROUND(K6*L6/10000,0)</f>
        <v>2660</v>
      </c>
      <c r="N6" s="731">
        <f>ROUND((N23+N24)/2,2)</f>
        <v>0.74</v>
      </c>
      <c r="O6" s="67" t="str">
        <f>IF($N$5="成新度","——",ROUND(M6*N6,0))</f>
        <v>——</v>
      </c>
      <c r="P6" s="68" t="str">
        <f>IF($N$5="成新度","——",M6-O6)</f>
        <v>——</v>
      </c>
      <c r="Q6" s="734">
        <v>0.1</v>
      </c>
      <c r="R6" s="69">
        <f ca="1">SUMIF('数据-汇总表'!C$19:C$33,A6,'数据-汇总表'!R$19:R$27)</f>
        <v>23335</v>
      </c>
      <c r="S6" s="51">
        <f>IF('数据-汇总表'!$I$17="按面积比例",SUMIF('数据-汇总表'!C$19:C$33,A6,'数据-汇总表'!K$19:K$33),SUMIF('数据-汇总表'!C$19:C$33,A6,'数据-汇总表'!N$19:N$33))</f>
        <v>202.28</v>
      </c>
      <c r="T6" s="1172">
        <f>ROUND($L$14*S6/10000,0)</f>
        <v>45</v>
      </c>
      <c r="U6" s="3427">
        <v>1.2</v>
      </c>
      <c r="V6" s="70">
        <v>0.02</v>
      </c>
      <c r="W6" s="70">
        <v>0.1</v>
      </c>
      <c r="X6" s="1040"/>
      <c r="Y6" s="71">
        <f>N6</f>
        <v>0.74</v>
      </c>
      <c r="Z6" s="72"/>
      <c r="AA6" s="66"/>
      <c r="AB6" s="66"/>
      <c r="AC6" s="1040"/>
      <c r="AD6" s="73"/>
      <c r="AE6" s="1041">
        <f ca="1">IF(AN6="",0,SUMIF(INDIRECT("'"&amp;AN6&amp;"'"&amp;"!E:E"),$AE$5,INDIRECT("'"&amp;AN6&amp;"'"&amp;"!F:F")))</f>
        <v>28.81</v>
      </c>
      <c r="AF6" s="1348"/>
      <c r="AG6" s="138">
        <f>IF(AF6="",0,AE6-AF6)</f>
        <v>0</v>
      </c>
      <c r="AH6" s="74"/>
      <c r="AI6" s="76">
        <v>365</v>
      </c>
      <c r="AJ6" s="77"/>
      <c r="AK6" s="78">
        <v>0.01</v>
      </c>
      <c r="AL6" s="79">
        <v>1E-3</v>
      </c>
      <c r="AM6" s="80">
        <v>0.01</v>
      </c>
      <c r="AN6" s="1715" t="s">
        <v>3402</v>
      </c>
      <c r="AO6" s="52">
        <f ca="1">SUMIF(INDIRECT("'"&amp;AN6&amp;"'"&amp;"!A:A"),"总价",INDIRECT("'"&amp;AN6&amp;"'"&amp;"!B:B"))</f>
        <v>5088</v>
      </c>
      <c r="AP6" s="1716">
        <f>IF(C6="住宅",K6*L6,0)</f>
        <v>0</v>
      </c>
      <c r="AQ6" s="52">
        <f>ROUND($L$14*$N$14*S6/10000,0)</f>
        <v>33</v>
      </c>
      <c r="AR6" s="52">
        <f>ROUND($L$14*(1-$N$14)*S6/10000,0)</f>
        <v>12</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1204</v>
      </c>
      <c r="B14" s="1713" t="s">
        <v>1205</v>
      </c>
      <c r="C14" s="1718" t="s">
        <v>1204</v>
      </c>
      <c r="D14" s="858"/>
      <c r="E14" s="857"/>
      <c r="F14" s="64"/>
      <c r="G14" s="65"/>
      <c r="H14" s="1029"/>
      <c r="I14" s="1029"/>
      <c r="J14" s="1029"/>
      <c r="K14" s="1030">
        <f>SUMIF('数据-汇总表'!C$19:C$33,A14,'数据-汇总表'!E$19:E$33)</f>
        <v>202.28000000000003</v>
      </c>
      <c r="L14" s="82">
        <v>2200</v>
      </c>
      <c r="M14" s="67">
        <f t="shared" si="0"/>
        <v>45</v>
      </c>
      <c r="N14" s="83">
        <f>N6</f>
        <v>0.74</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1208</v>
      </c>
      <c r="B16" s="88"/>
      <c r="C16" s="833"/>
      <c r="D16" s="1720"/>
      <c r="E16" s="88"/>
      <c r="F16" s="88"/>
      <c r="G16" s="89">
        <f>ROUND(SUMPRODUCT(G6:G13,K6:K13)/SUMPRODUCT((G6:G13&gt;0)*(K6:K13)),3)</f>
        <v>0.82699999999999996</v>
      </c>
      <c r="H16" s="90">
        <f>ROUND(SUMPRODUCT(H6:H13,K6:K13)/SUMPRODUCT((H6:H13&gt;0)*(K6:K13)),3)</f>
        <v>0.05</v>
      </c>
      <c r="I16" s="91"/>
      <c r="J16" s="91"/>
      <c r="K16" s="92">
        <f>SUM(K6:K15)</f>
        <v>10052.840000000002</v>
      </c>
      <c r="L16" s="93">
        <f>ROUND(M16*10000/SUM(K6:K14),0)</f>
        <v>2691</v>
      </c>
      <c r="M16" s="93">
        <f>SUM(M6:M14)</f>
        <v>2705</v>
      </c>
      <c r="N16" s="94">
        <f>ROUND(SUMPRODUCT(M6:M14,N6:N14)/M16,3)</f>
        <v>0.74</v>
      </c>
      <c r="O16" s="93">
        <f>SUM(O6:O14)</f>
        <v>0</v>
      </c>
      <c r="P16" s="93">
        <f>SUM(P6:P14)</f>
        <v>0</v>
      </c>
      <c r="Q16" s="95">
        <f>ROUND(SUMPRODUCT(Q6:Q13,K6:K13)/SUMPRODUCT((Q6:Q13&gt;0)*(K6:K13)),2)</f>
        <v>0.1</v>
      </c>
      <c r="R16" s="1034">
        <f ca="1">SUM(R6:R13)</f>
        <v>23335</v>
      </c>
      <c r="S16" s="96">
        <f>SUM(S6:S13)</f>
        <v>202.28</v>
      </c>
      <c r="T16" s="97">
        <f>IF(SUMIF(T6:T13,"&lt;9E307")=M14,SUMIF(T6:T13,"&lt;9E307"),"有误，请检查")</f>
        <v>45</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1209</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1210</v>
      </c>
      <c r="B19" s="103"/>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1211</v>
      </c>
      <c r="B20" s="104">
        <v>1</v>
      </c>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1212</v>
      </c>
      <c r="B21" s="104">
        <v>1</v>
      </c>
      <c r="C21" s="2672"/>
      <c r="D21" s="2675"/>
      <c r="E21" s="2672"/>
      <c r="F21" s="2672"/>
      <c r="G21" s="2672"/>
      <c r="H21" s="2672"/>
      <c r="I21" s="2672"/>
      <c r="J21" s="2672" t="s">
        <v>3397</v>
      </c>
      <c r="K21" s="2671">
        <f>'数据-基础表'!I13+'数据-基础表'!I15+'数据-基础表'!I16+'数据-基础表'!I17</f>
        <v>8790.44</v>
      </c>
      <c r="L21" s="2671">
        <v>2800</v>
      </c>
      <c r="M21" s="2670" t="s">
        <v>3398</v>
      </c>
      <c r="N21" s="2670">
        <f>ROUND(1-(1-2%)*(2023-2008)/70,2)</f>
        <v>0.79</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1213</v>
      </c>
      <c r="B22" s="105">
        <f>B19+B20</f>
        <v>1</v>
      </c>
      <c r="C22" s="2672"/>
      <c r="D22" s="2675"/>
      <c r="E22" s="2672"/>
      <c r="F22" s="2672"/>
      <c r="G22" s="2672"/>
      <c r="H22" s="2672"/>
      <c r="I22" s="2672"/>
      <c r="J22" s="2672" t="s">
        <v>3399</v>
      </c>
      <c r="K22" s="2671">
        <f>'数据-汇总表'!E6-'数据-取费表'!K21</f>
        <v>1262.3999999999996</v>
      </c>
      <c r="L22" s="2671">
        <v>2300</v>
      </c>
      <c r="M22" s="2670" t="s">
        <v>3400</v>
      </c>
      <c r="N22" s="2670">
        <f>ROUND(1-(1-2%)*(2023-2008)/50,2)</f>
        <v>0.71</v>
      </c>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1214</v>
      </c>
      <c r="B23" s="105">
        <f>B19+B21</f>
        <v>1</v>
      </c>
      <c r="C23" s="2672"/>
      <c r="D23" s="2675"/>
      <c r="E23" s="2672"/>
      <c r="F23" s="2672"/>
      <c r="G23" s="2672"/>
      <c r="H23" s="2672"/>
      <c r="I23" s="2672"/>
      <c r="J23" s="2672"/>
      <c r="K23" s="2671">
        <f>K21+K22</f>
        <v>10052.84</v>
      </c>
      <c r="L23" s="2671">
        <f>(K21*L21+K22*L22)/K23</f>
        <v>2737.2117729915126</v>
      </c>
      <c r="M23" s="2670"/>
      <c r="N23" s="2670">
        <f>ROUND((K21*N21+K22*N22)/K23,2)</f>
        <v>0.78</v>
      </c>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1215</v>
      </c>
      <c r="B24" s="106">
        <f>B20-B21</f>
        <v>0</v>
      </c>
      <c r="C24" s="2672"/>
      <c r="D24" s="2675"/>
      <c r="E24" s="2672"/>
      <c r="F24" s="2672"/>
      <c r="G24" s="2672"/>
      <c r="H24" s="2672"/>
      <c r="I24" s="2672"/>
      <c r="J24" s="2672"/>
      <c r="K24" s="2671">
        <f>('数据-基础表'!I14+'数据-基础表'!I17)/2+'数据-基础表'!I13+'数据-基础表'!I15+'数据-基础表'!I16</f>
        <v>8790.44</v>
      </c>
      <c r="L24" s="2671"/>
      <c r="M24" s="2670"/>
      <c r="N24" s="2670">
        <v>0.7</v>
      </c>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f>'数据-基础表'!A3-K24</f>
        <v>14544.56</v>
      </c>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1216</v>
      </c>
      <c r="B26" s="1726" t="s">
        <v>1217</v>
      </c>
      <c r="C26" s="2676" t="s">
        <v>1218</v>
      </c>
      <c r="D26" s="2675"/>
      <c r="E26" s="2672"/>
      <c r="F26" s="2672"/>
      <c r="G26" s="2672"/>
      <c r="H26" s="2672"/>
      <c r="I26" s="2672"/>
      <c r="J26" s="2672"/>
      <c r="K26" s="2671">
        <f>K25*0.1/K23</f>
        <v>0.14468110504096357</v>
      </c>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1219</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1220</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1221</v>
      </c>
      <c r="B29" s="112">
        <f ca="1">成本法!C10</f>
        <v>201</v>
      </c>
      <c r="C29" s="2801" t="s">
        <v>2291</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1222</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1223</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1224</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1225</v>
      </c>
      <c r="B33" s="673">
        <v>0.03</v>
      </c>
      <c r="C33" s="2802" t="s">
        <v>2292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1226</v>
      </c>
      <c r="B34" s="113"/>
      <c r="C34" s="2802" t="s">
        <v>2293</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1227</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2" t="s">
        <v>2295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1229</v>
      </c>
      <c r="B37" s="115">
        <v>0.02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1230</v>
      </c>
      <c r="B38" s="113">
        <v>0.02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1231</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2311</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1232</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1233</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1234</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1235</v>
      </c>
      <c r="B44" s="119">
        <v>0.05</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1236</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1237</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1238</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1239</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1240</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1241</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1242</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1243</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1244</v>
      </c>
      <c r="B53" s="1738" t="s">
        <v>29</v>
      </c>
      <c r="C53" s="2660" t="s">
        <v>1245</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1246</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1247</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1248</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1249</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1250</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1251</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1252</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1253</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1254</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1255</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41" t="s">
        <v>2283</v>
      </c>
      <c r="B1" s="3542"/>
      <c r="C1" s="3542"/>
      <c r="D1" s="3542"/>
      <c r="E1" s="3542"/>
      <c r="F1" s="3542"/>
      <c r="G1" s="354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2278</v>
      </c>
      <c r="D2" s="2460"/>
      <c r="E2" s="2457"/>
      <c r="F2" s="2461"/>
      <c r="G2" s="2459" t="s">
        <v>2279</v>
      </c>
      <c r="H2" s="799"/>
      <c r="I2" s="799"/>
      <c r="J2" s="799"/>
      <c r="K2" s="799"/>
      <c r="L2" s="799"/>
      <c r="M2" s="799"/>
      <c r="N2" s="799"/>
      <c r="O2" s="799"/>
      <c r="P2" s="799"/>
      <c r="Q2" s="799"/>
      <c r="R2" s="799"/>
    </row>
    <row r="3" spans="1:29" ht="48">
      <c r="A3" s="2440" t="s">
        <v>2280</v>
      </c>
      <c r="B3" s="2462" t="s">
        <v>2249</v>
      </c>
      <c r="C3" s="2463" t="s">
        <v>2281</v>
      </c>
      <c r="D3" s="2464"/>
      <c r="E3" s="2441" t="s">
        <v>2280</v>
      </c>
      <c r="F3" s="2465" t="s">
        <v>2250</v>
      </c>
      <c r="G3" s="2466" t="s">
        <v>2282</v>
      </c>
      <c r="H3" s="799"/>
      <c r="I3" s="799"/>
      <c r="J3" s="799"/>
      <c r="K3" s="799"/>
      <c r="L3" s="799"/>
      <c r="M3" s="799"/>
      <c r="N3" s="799"/>
      <c r="O3" s="799"/>
      <c r="P3" s="799"/>
      <c r="Q3" s="799"/>
      <c r="R3" s="799"/>
    </row>
    <row r="4" spans="1:29" ht="37.200000000000003">
      <c r="A4" s="2441"/>
      <c r="B4" s="323" t="s">
        <v>2251</v>
      </c>
      <c r="C4" s="2467" t="s">
        <v>2252</v>
      </c>
      <c r="D4" s="2464"/>
      <c r="E4" s="2468"/>
      <c r="F4" s="1373" t="s">
        <v>2253</v>
      </c>
      <c r="G4" s="2469" t="s">
        <v>2254</v>
      </c>
      <c r="H4" s="799"/>
      <c r="I4" s="799"/>
      <c r="J4" s="799"/>
      <c r="K4" s="799"/>
      <c r="L4" s="799"/>
      <c r="M4" s="799"/>
      <c r="N4" s="799"/>
      <c r="O4" s="799"/>
      <c r="P4" s="799"/>
      <c r="Q4" s="799"/>
      <c r="R4" s="799"/>
    </row>
    <row r="5" spans="1:29" ht="37.200000000000003">
      <c r="A5" s="2441"/>
      <c r="B5" s="323" t="s">
        <v>2255</v>
      </c>
      <c r="C5" s="2467" t="s">
        <v>2256</v>
      </c>
      <c r="D5" s="2464"/>
      <c r="E5" s="2468"/>
      <c r="F5" s="323" t="s">
        <v>2257</v>
      </c>
      <c r="G5" s="2469" t="s">
        <v>2258</v>
      </c>
      <c r="H5" s="799"/>
      <c r="I5" s="799"/>
      <c r="J5" s="799"/>
      <c r="K5" s="799"/>
      <c r="L5" s="799"/>
      <c r="M5" s="799"/>
      <c r="N5" s="799"/>
      <c r="O5" s="799"/>
      <c r="P5" s="799"/>
      <c r="Q5" s="799"/>
      <c r="R5" s="799"/>
    </row>
    <row r="6" spans="1:29" ht="48">
      <c r="A6" s="2441"/>
      <c r="B6" s="323" t="s">
        <v>2259</v>
      </c>
      <c r="C6" s="2469" t="s">
        <v>2254</v>
      </c>
      <c r="D6" s="2464"/>
      <c r="E6" s="2468"/>
      <c r="F6" s="323" t="s">
        <v>2260</v>
      </c>
      <c r="G6" s="2469" t="s">
        <v>2261</v>
      </c>
      <c r="H6" s="799"/>
      <c r="I6" s="799"/>
      <c r="J6" s="799"/>
      <c r="K6" s="799"/>
      <c r="L6" s="799"/>
      <c r="M6" s="799"/>
      <c r="N6" s="799"/>
      <c r="O6" s="799"/>
      <c r="P6" s="799"/>
      <c r="Q6" s="799"/>
      <c r="R6" s="799"/>
    </row>
    <row r="7" spans="1:29" ht="36.6" thickBot="1">
      <c r="A7" s="2441"/>
      <c r="B7" s="323" t="s">
        <v>2257</v>
      </c>
      <c r="C7" s="2469" t="s">
        <v>2258</v>
      </c>
      <c r="D7" s="2470"/>
      <c r="E7" s="2471"/>
      <c r="F7" s="2472" t="s">
        <v>2262</v>
      </c>
      <c r="G7" s="2473" t="s">
        <v>2263</v>
      </c>
      <c r="H7" s="799"/>
      <c r="I7" s="799"/>
      <c r="J7" s="799"/>
      <c r="K7" s="799"/>
      <c r="L7" s="799"/>
      <c r="M7" s="799"/>
      <c r="N7" s="799"/>
      <c r="O7" s="799"/>
      <c r="P7" s="799"/>
      <c r="Q7" s="799"/>
      <c r="R7" s="799"/>
    </row>
    <row r="8" spans="1:29" ht="24">
      <c r="A8" s="2441"/>
      <c r="B8" s="323" t="s">
        <v>2260</v>
      </c>
      <c r="C8" s="2469" t="s">
        <v>2261</v>
      </c>
      <c r="D8" s="2470"/>
      <c r="E8" s="2470"/>
      <c r="F8" s="2474"/>
      <c r="G8" s="2474"/>
      <c r="H8" s="799"/>
      <c r="I8" s="799"/>
      <c r="J8" s="799"/>
      <c r="K8" s="799"/>
      <c r="L8" s="799"/>
      <c r="M8" s="799"/>
      <c r="N8" s="799"/>
      <c r="O8" s="799"/>
      <c r="P8" s="799"/>
      <c r="Q8" s="799"/>
      <c r="R8" s="799"/>
    </row>
    <row r="9" spans="1:29" ht="24">
      <c r="A9" s="2441"/>
      <c r="B9" s="323" t="s">
        <v>2264</v>
      </c>
      <c r="C9" s="2467" t="s">
        <v>2265</v>
      </c>
      <c r="D9" s="2464"/>
      <c r="E9" s="2470"/>
      <c r="F9" s="2474"/>
      <c r="G9" s="2474"/>
      <c r="H9" s="799"/>
      <c r="I9" s="799"/>
      <c r="J9" s="799"/>
      <c r="K9" s="799"/>
      <c r="L9" s="799"/>
      <c r="M9" s="799"/>
      <c r="N9" s="799"/>
      <c r="O9" s="799"/>
      <c r="P9" s="799"/>
      <c r="Q9" s="799"/>
      <c r="R9" s="799"/>
    </row>
    <row r="10" spans="1:29" s="2480" customFormat="1" ht="14.4" thickBot="1">
      <c r="A10" s="2442"/>
      <c r="B10" s="2475" t="s">
        <v>2266</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2284</v>
      </c>
      <c r="B13" s="2483"/>
      <c r="C13" s="2483"/>
      <c r="D13" s="2481"/>
      <c r="E13" s="2483"/>
      <c r="F13" s="2483"/>
      <c r="G13" s="2483"/>
    </row>
    <row r="14" spans="1:29" ht="14.4" thickBot="1">
      <c r="A14" s="2493"/>
      <c r="B14" s="2493"/>
      <c r="C14" s="2494" t="s">
        <v>2267</v>
      </c>
      <c r="D14" s="2464"/>
      <c r="E14" s="2495"/>
      <c r="F14" s="2495"/>
      <c r="G14" s="2459" t="s">
        <v>2268</v>
      </c>
    </row>
    <row r="15" spans="1:29" ht="52.8">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9.6">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9.6">
      <c r="A17" s="2445"/>
      <c r="B17" s="2499" t="s">
        <v>2255</v>
      </c>
      <c r="C17" s="2500" t="str">
        <f>C5</f>
        <v>估价对象位于XX商圈，周边办公楼项目较多，入驻率高，办公集聚程度较好</v>
      </c>
      <c r="D17" s="2470"/>
      <c r="E17" s="2446"/>
      <c r="F17" s="2501" t="s">
        <v>2272</v>
      </c>
      <c r="G17" s="2503"/>
    </row>
    <row r="18" spans="1:18" ht="52.8">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6.4">
      <c r="A19" s="2445"/>
      <c r="B19" s="2501" t="s">
        <v>2273</v>
      </c>
      <c r="C19" s="2503"/>
      <c r="D19" s="2464"/>
      <c r="E19" s="2446"/>
      <c r="F19" s="323" t="s">
        <v>2257</v>
      </c>
      <c r="G19" s="2502" t="str">
        <f>G5</f>
        <v>估价对象所在区域公共配套设施齐备情况</v>
      </c>
    </row>
    <row r="20" spans="1:18" ht="26.4">
      <c r="A20" s="2445"/>
      <c r="B20" s="2501" t="s">
        <v>2274</v>
      </c>
      <c r="C20" s="2500" t="str">
        <f>C9</f>
        <v>区域自然环境：；人文环境；综合评价环境状况一般</v>
      </c>
      <c r="D20" s="2470"/>
      <c r="E20" s="2446"/>
      <c r="F20" s="323" t="s">
        <v>2260</v>
      </c>
      <c r="G20" s="2502" t="str">
        <f>G6</f>
        <v>估价对象所在区域基础设施水平</v>
      </c>
    </row>
    <row r="21" spans="1:18" ht="26.4">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9" customFormat="1" ht="14.4" thickBot="1">
      <c r="A23" s="2445"/>
      <c r="B23" s="2501" t="s">
        <v>2275</v>
      </c>
      <c r="C23" s="2504"/>
      <c r="D23" s="1741"/>
      <c r="E23" s="2447"/>
      <c r="F23" s="2505" t="s">
        <v>2276</v>
      </c>
      <c r="G23" s="2506"/>
      <c r="H23" s="2490"/>
      <c r="I23" s="2491"/>
      <c r="J23" s="2490"/>
      <c r="K23" s="2490"/>
      <c r="L23" s="2491"/>
      <c r="M23" s="2490"/>
      <c r="N23" s="2490"/>
      <c r="O23" s="2491"/>
      <c r="P23" s="2490"/>
      <c r="Q23" s="2490"/>
      <c r="R23" s="2492"/>
    </row>
    <row r="24" spans="1:18" s="799" customFormat="1" ht="14.4" thickBot="1">
      <c r="A24" s="2448"/>
      <c r="B24" s="2505" t="s">
        <v>2277</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6" sqref="H36"/>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10052.84</v>
      </c>
      <c r="C1" s="2685"/>
      <c r="D1" s="2685"/>
      <c r="E1" s="2685"/>
      <c r="F1" s="2685"/>
      <c r="G1" s="2686"/>
      <c r="H1" s="2687"/>
      <c r="I1" s="2687"/>
      <c r="J1" s="2687"/>
      <c r="K1" s="2687"/>
    </row>
    <row r="2" spans="1:11" ht="16.2">
      <c r="A2" s="2511" t="s">
        <v>653</v>
      </c>
      <c r="B2" s="2511">
        <f>SUM(C14:C23)</f>
        <v>23335</v>
      </c>
      <c r="C2" s="2685"/>
      <c r="D2" s="2685"/>
      <c r="E2" s="2685"/>
      <c r="F2" s="2685"/>
      <c r="G2" s="2686"/>
      <c r="H2" s="2687"/>
      <c r="I2" s="2687"/>
      <c r="J2" s="2687"/>
      <c r="K2" s="2687"/>
    </row>
    <row r="3" spans="1:11" ht="15.6">
      <c r="A3" s="2511" t="s">
        <v>662</v>
      </c>
      <c r="B3" s="2513">
        <f>项目基本情况!D3</f>
        <v>45224</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5319</v>
      </c>
      <c r="C5" s="2511">
        <f ca="1">IF(B5=D14,结果表!H102,ROUND(B5*10000/$B$1,0))</f>
        <v>5291</v>
      </c>
      <c r="D5" s="2511">
        <f ca="1">ROUND(B5*10000/$B$2,0)</f>
        <v>2279</v>
      </c>
      <c r="E5" s="2685"/>
      <c r="F5" s="2686"/>
      <c r="G5" s="2686"/>
      <c r="H5" s="2687"/>
      <c r="I5" s="2687"/>
      <c r="J5" s="2687"/>
      <c r="K5" s="2687"/>
    </row>
    <row r="6" spans="1:11" ht="15.6">
      <c r="A6" s="2511" t="s">
        <v>656</v>
      </c>
      <c r="B6" s="2511">
        <f>SUM(G14:G23)</f>
        <v>0</v>
      </c>
      <c r="C6" s="2511">
        <f ca="1">IF(B6=G14,结果表!H108,ROUND(B6*10000/$B$1,0))</f>
        <v>5291</v>
      </c>
      <c r="D6" s="2511">
        <f>ROUND(B6*10000/$B$2,0)</f>
        <v>0</v>
      </c>
      <c r="E6" s="2685"/>
      <c r="F6" s="2686"/>
      <c r="G6" s="2686"/>
      <c r="H6" s="2687"/>
      <c r="I6" s="2687"/>
      <c r="J6" s="2687"/>
      <c r="K6" s="2687"/>
    </row>
    <row r="7" spans="1:11" ht="15.6">
      <c r="A7" s="2511" t="s">
        <v>664</v>
      </c>
      <c r="B7" s="2511">
        <f>SUM(H14:H23)</f>
        <v>0</v>
      </c>
      <c r="C7" s="2511" t="str">
        <f>IF(B7=H14,结果表!H110,ROUND(B7*10000/$B$1,0))</f>
        <v>——</v>
      </c>
      <c r="D7" s="2511">
        <f>ROUND(B7*10000/$B$2,0)</f>
        <v>0</v>
      </c>
      <c r="E7" s="2685"/>
      <c r="F7" s="2686"/>
      <c r="G7" s="2686"/>
      <c r="H7" s="2687"/>
      <c r="I7" s="2687"/>
      <c r="J7" s="2687"/>
      <c r="K7" s="2687"/>
    </row>
    <row r="8" spans="1:11" ht="15.6">
      <c r="A8" s="2511" t="s">
        <v>587</v>
      </c>
      <c r="B8" s="2511">
        <f>SUM(I14:I23)</f>
        <v>0</v>
      </c>
      <c r="C8" s="2511" t="str">
        <f>IF(B8=I14,结果表!H112,ROUND(B8*10000/$B$1,0))</f>
        <v>——</v>
      </c>
      <c r="D8" s="2511">
        <f>ROUND(B8*10000/$B$2,0)</f>
        <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3359</v>
      </c>
      <c r="D10" s="2511" t="s">
        <v>3360</v>
      </c>
      <c r="E10" s="3440"/>
      <c r="F10" s="3444" t="s">
        <v>3361</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结果表!B118</f>
        <v>10052.84</v>
      </c>
      <c r="C14" s="2517">
        <f>结果表!C118</f>
        <v>23335</v>
      </c>
      <c r="D14" s="2517">
        <f ca="1">结果表!H118</f>
        <v>5319</v>
      </c>
      <c r="E14" s="2517">
        <f ca="1">ROUND(D14*10000/B14,0)</f>
        <v>5291</v>
      </c>
      <c r="F14" s="2517">
        <f ca="1">ROUND(D14*10000/C14,0)</f>
        <v>2279</v>
      </c>
      <c r="G14" s="2517"/>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648</v>
      </c>
      <c r="B16" s="2518"/>
      <c r="C16" s="2518"/>
      <c r="D16" s="2518"/>
      <c r="E16" s="2517" t="e">
        <f t="shared" si="0"/>
        <v>#DIV/0!</v>
      </c>
      <c r="F16" s="2517" t="e">
        <f t="shared" si="1"/>
        <v>#DIV/0!</v>
      </c>
      <c r="G16" s="1331"/>
      <c r="H16" s="1331"/>
      <c r="I16" s="2518"/>
      <c r="J16" s="2687"/>
      <c r="K16" s="2687"/>
    </row>
    <row r="17" spans="1:11" ht="15.6">
      <c r="A17" s="2516" t="s">
        <v>647</v>
      </c>
      <c r="B17" s="2518"/>
      <c r="C17" s="2518"/>
      <c r="D17" s="2518"/>
      <c r="E17" s="2517" t="e">
        <f t="shared" si="0"/>
        <v>#DIV/0!</v>
      </c>
      <c r="F17" s="2517" t="e">
        <f t="shared" si="1"/>
        <v>#DIV/0!</v>
      </c>
      <c r="G17" s="1331"/>
      <c r="H17" s="1331"/>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1" zoomScale="80" zoomScaleNormal="100" zoomScaleSheetLayoutView="80" zoomScalePageLayoutView="80" workbookViewId="0">
      <selection activeCell="G96" sqref="G96"/>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577" t="str">
        <f>项目基本情况!S2</f>
        <v>北京市房地产</v>
      </c>
      <c r="B2" s="3578"/>
      <c r="C2" s="3578"/>
      <c r="D2" s="3578"/>
      <c r="E2" s="3578"/>
      <c r="F2" s="3578"/>
      <c r="G2" s="3578"/>
      <c r="H2" s="3578"/>
      <c r="I2" s="3579"/>
    </row>
    <row r="3" spans="1:12" ht="13.2">
      <c r="A3" s="3581" t="s">
        <v>1263</v>
      </c>
      <c r="B3" s="3582"/>
      <c r="C3" s="3582"/>
      <c r="D3" s="3582"/>
      <c r="E3" s="3582"/>
      <c r="F3" s="3582"/>
      <c r="G3" s="3582"/>
      <c r="H3" s="3582"/>
      <c r="I3" s="3582"/>
    </row>
    <row r="4" spans="1:12" ht="14.4">
      <c r="A4" s="1754" t="s">
        <v>1264</v>
      </c>
      <c r="B4" s="1755" t="s">
        <v>1265</v>
      </c>
      <c r="C4" s="1756" t="s">
        <v>3411</v>
      </c>
      <c r="D4" s="1756" t="s">
        <v>3402</v>
      </c>
      <c r="E4" s="3583" t="s">
        <v>1266</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57" t="s">
        <v>1267</v>
      </c>
      <c r="B5" s="3544">
        <v>25</v>
      </c>
      <c r="C5" s="3560"/>
      <c r="D5" s="3580"/>
      <c r="E5" s="131" t="s">
        <v>1268</v>
      </c>
      <c r="F5" s="1757"/>
      <c r="G5" s="1757"/>
      <c r="H5" s="1757"/>
      <c r="I5" s="1373"/>
    </row>
    <row r="6" spans="1:12" ht="13.2">
      <c r="A6" s="3557"/>
      <c r="B6" s="3544"/>
      <c r="C6" s="3561"/>
      <c r="D6" s="3580"/>
      <c r="E6" s="131" t="s">
        <v>1269</v>
      </c>
      <c r="F6" s="1757"/>
      <c r="G6" s="1757"/>
      <c r="H6" s="1757"/>
      <c r="I6" s="1373"/>
    </row>
    <row r="7" spans="1:12" ht="13.2">
      <c r="A7" s="3557"/>
      <c r="B7" s="3544"/>
      <c r="C7" s="3562"/>
      <c r="D7" s="3580"/>
      <c r="E7" s="131" t="s">
        <v>1270</v>
      </c>
      <c r="F7" s="1757"/>
      <c r="G7" s="1757"/>
      <c r="H7" s="1757"/>
      <c r="I7" s="1373"/>
    </row>
    <row r="8" spans="1:12" ht="13.2">
      <c r="A8" s="3557" t="s">
        <v>1271</v>
      </c>
      <c r="B8" s="3544">
        <v>15</v>
      </c>
      <c r="C8" s="3560"/>
      <c r="D8" s="3580"/>
      <c r="E8" s="131" t="s">
        <v>1272</v>
      </c>
      <c r="F8" s="1757"/>
      <c r="G8" s="1757"/>
      <c r="H8" s="1757"/>
      <c r="I8" s="1373"/>
    </row>
    <row r="9" spans="1:12" ht="13.2">
      <c r="A9" s="3557"/>
      <c r="B9" s="3544"/>
      <c r="C9" s="3562"/>
      <c r="D9" s="3580"/>
      <c r="E9" s="131" t="s">
        <v>1273</v>
      </c>
      <c r="F9" s="1757"/>
      <c r="G9" s="1757"/>
      <c r="H9" s="1757"/>
      <c r="I9" s="1373"/>
    </row>
    <row r="10" spans="1:12" ht="13.2">
      <c r="A10" s="3557" t="s">
        <v>1274</v>
      </c>
      <c r="B10" s="3544">
        <v>15</v>
      </c>
      <c r="C10" s="3560"/>
      <c r="D10" s="3580"/>
      <c r="E10" s="131" t="s">
        <v>1275</v>
      </c>
      <c r="F10" s="1757"/>
      <c r="G10" s="1757"/>
      <c r="H10" s="1757"/>
      <c r="I10" s="1373"/>
    </row>
    <row r="11" spans="1:12" ht="13.2">
      <c r="A11" s="3557"/>
      <c r="B11" s="3544"/>
      <c r="C11" s="3562"/>
      <c r="D11" s="3580"/>
      <c r="E11" s="131" t="s">
        <v>1276</v>
      </c>
      <c r="F11" s="1757"/>
      <c r="G11" s="1757"/>
      <c r="H11" s="1757"/>
      <c r="I11" s="1373"/>
    </row>
    <row r="12" spans="1:12" ht="13.2">
      <c r="A12" s="3557" t="s">
        <v>1277</v>
      </c>
      <c r="B12" s="3544">
        <v>15</v>
      </c>
      <c r="C12" s="3560"/>
      <c r="D12" s="3580"/>
      <c r="E12" s="131" t="s">
        <v>1278</v>
      </c>
      <c r="F12" s="1757"/>
      <c r="G12" s="1757"/>
      <c r="H12" s="1757"/>
      <c r="I12" s="1373"/>
    </row>
    <row r="13" spans="1:12" ht="13.2">
      <c r="A13" s="3557"/>
      <c r="B13" s="3544"/>
      <c r="C13" s="3562"/>
      <c r="D13" s="3580"/>
      <c r="E13" s="131" t="s">
        <v>1279</v>
      </c>
      <c r="F13" s="1757"/>
      <c r="G13" s="1757"/>
      <c r="H13" s="1757"/>
      <c r="I13" s="1373"/>
    </row>
    <row r="14" spans="1:12" ht="13.2">
      <c r="A14" s="3557" t="s">
        <v>1280</v>
      </c>
      <c r="B14" s="3544">
        <v>30</v>
      </c>
      <c r="C14" s="3560">
        <v>5</v>
      </c>
      <c r="D14" s="3580">
        <v>5</v>
      </c>
      <c r="E14" s="131" t="s">
        <v>1281</v>
      </c>
      <c r="F14" s="1757"/>
      <c r="G14" s="1757"/>
      <c r="H14" s="1757"/>
      <c r="I14" s="1373"/>
    </row>
    <row r="15" spans="1:12" ht="13.2">
      <c r="A15" s="3557"/>
      <c r="B15" s="3544"/>
      <c r="C15" s="3561"/>
      <c r="D15" s="3580"/>
      <c r="E15" s="131" t="s">
        <v>1282</v>
      </c>
      <c r="F15" s="1757"/>
      <c r="G15" s="1757"/>
      <c r="H15" s="1757"/>
      <c r="I15" s="1373"/>
    </row>
    <row r="16" spans="1:12" ht="13.2">
      <c r="A16" s="3557"/>
      <c r="B16" s="3544"/>
      <c r="C16" s="3562"/>
      <c r="D16" s="3580"/>
      <c r="E16" s="131" t="s">
        <v>1283</v>
      </c>
      <c r="F16" s="1757"/>
      <c r="G16" s="1757"/>
      <c r="H16" s="1757"/>
      <c r="I16" s="1373"/>
    </row>
    <row r="17" spans="1:36" ht="14.4">
      <c r="A17" s="1758" t="s">
        <v>1284</v>
      </c>
      <c r="B17" s="56"/>
      <c r="C17" s="132">
        <f>SUM(C5:C16)</f>
        <v>5</v>
      </c>
      <c r="D17" s="132">
        <f>SUM(D5:D16)</f>
        <v>5</v>
      </c>
      <c r="E17" s="129"/>
      <c r="F17" s="129"/>
      <c r="G17" s="129"/>
      <c r="H17" s="129"/>
      <c r="I17" s="129"/>
      <c r="K17" s="302"/>
      <c r="L17" s="302" t="s">
        <v>1285</v>
      </c>
      <c r="M17" s="302" t="s">
        <v>1286</v>
      </c>
    </row>
    <row r="18" spans="1:36" ht="31.95" customHeight="1" thickBot="1">
      <c r="A18" s="1759" t="s">
        <v>1287</v>
      </c>
      <c r="B18" s="1760"/>
      <c r="C18" s="133">
        <f>ROUND(C17/SUM(C17:D17),2)</f>
        <v>0.5</v>
      </c>
      <c r="D18" s="133">
        <f>1-C18</f>
        <v>0.5</v>
      </c>
      <c r="E18" s="3567" t="s">
        <v>2129</v>
      </c>
      <c r="F18" s="3568"/>
      <c r="G18" s="3568"/>
      <c r="H18" s="3568"/>
      <c r="I18" s="3568"/>
      <c r="K18" s="302" t="s">
        <v>1288</v>
      </c>
      <c r="L18" s="302">
        <f>IF(C1="",'数据-汇总表'!E3,SUMIF(项目类型,C1,'数据-汇总表'!E17:E26)+SUMIF(项目类型,C1,'数据-汇总表'!I17:I26))</f>
        <v>10052.84</v>
      </c>
      <c r="M18" s="302">
        <f>IF(C1="",'数据-汇总表'!E3,SUMIF(项目类型,C1,'数据-汇总表'!E17:E26))</f>
        <v>10052.84</v>
      </c>
    </row>
    <row r="19" spans="1:36" ht="14.4">
      <c r="A19" s="1761" t="s">
        <v>1289</v>
      </c>
      <c r="B19" s="1762" t="s">
        <v>1290</v>
      </c>
      <c r="C19" s="134">
        <f ca="1">SUMIF(INDIRECT("'"&amp;C4&amp;"'"&amp;"!A:A"),结果表!B19,INDIRECT("'"&amp;C4&amp;"'"&amp;"!B:B"))</f>
        <v>5549</v>
      </c>
      <c r="D19" s="135">
        <f ca="1">SUMIF(INDIRECT("'"&amp;D4&amp;"'"&amp;"!A:A"),结果表!B19,INDIRECT("'"&amp;D4&amp;"'"&amp;"!B:B"))</f>
        <v>5088</v>
      </c>
      <c r="E19" s="1761" t="s">
        <v>1291</v>
      </c>
      <c r="F19" s="1762" t="s">
        <v>1290</v>
      </c>
      <c r="G19" s="136">
        <f ca="1">ROUND(C19*$C$18+D19*$D$18,0)</f>
        <v>5319</v>
      </c>
      <c r="H19" s="1763" t="s">
        <v>1292</v>
      </c>
      <c r="I19" s="129"/>
      <c r="K19" s="302" t="s">
        <v>1293</v>
      </c>
      <c r="L19" s="302">
        <f>IF(C1="",'数据-汇总表'!D3,SUMIF(项目类型,C1,'数据-汇总表'!D17:D26)+SUMIF(项目类型,C1,'数据-汇总表'!H17:H27))</f>
        <v>23335</v>
      </c>
      <c r="M19" s="302">
        <f>IF(C1="",'数据-汇总表'!D3,SUMIF(项目类型,C1,'数据-汇总表'!D17:D26))</f>
        <v>23335</v>
      </c>
    </row>
    <row r="20" spans="1:36" ht="14.4">
      <c r="A20" s="1764"/>
      <c r="B20" s="1026" t="s">
        <v>1294</v>
      </c>
      <c r="C20" s="137">
        <f ca="1">SUMIF(INDIRECT("'"&amp;C4&amp;"'"&amp;"!A:A"),结果表!B20,INDIRECT("'"&amp;C4&amp;"'"&amp;"!B:B"))</f>
        <v>5520</v>
      </c>
      <c r="D20" s="138">
        <f ca="1">SUMIF(INDIRECT("'"&amp;D4&amp;"'"&amp;"!A:A"),结果表!B20,INDIRECT("'"&amp;D4&amp;"'"&amp;"!B:B"))</f>
        <v>5165</v>
      </c>
      <c r="E20" s="1764"/>
      <c r="F20" s="1026" t="s">
        <v>1294</v>
      </c>
      <c r="G20" s="139">
        <f ca="1">ROUND(C20*$C$18+D20*$D$18,0)</f>
        <v>5343</v>
      </c>
      <c r="H20" s="808" t="s">
        <v>1295</v>
      </c>
      <c r="I20" s="129"/>
    </row>
    <row r="21" spans="1:36" ht="15" customHeight="1" thickBot="1">
      <c r="A21" s="828"/>
      <c r="B21" s="1765" t="s">
        <v>1296</v>
      </c>
      <c r="C21" s="719">
        <f ca="1">ROUND(C19*10000/L19,0)</f>
        <v>2378</v>
      </c>
      <c r="D21" s="720">
        <f ca="1">ROUND(D19*10000/L19,0)</f>
        <v>2180</v>
      </c>
      <c r="E21" s="828"/>
      <c r="F21" s="1765" t="s">
        <v>1296</v>
      </c>
      <c r="G21" s="140">
        <f ca="1">ROUND(G19*10000/L19,0)</f>
        <v>2279</v>
      </c>
      <c r="H21" s="1766" t="s">
        <v>1295</v>
      </c>
      <c r="I21" s="129"/>
    </row>
    <row r="22" spans="1:36" ht="15" thickBot="1">
      <c r="A22" s="1688" t="s">
        <v>1297</v>
      </c>
      <c r="B22" s="1767"/>
      <c r="C22" s="1768"/>
      <c r="D22" s="721">
        <f ca="1">IF(C19&lt;D19,D19/C19-1,C19/D19-1)</f>
        <v>9.0605345911949575E-2</v>
      </c>
      <c r="E22" s="129"/>
      <c r="F22" s="129"/>
      <c r="G22" s="129"/>
      <c r="H22" s="129"/>
      <c r="I22" s="129"/>
    </row>
    <row r="23" spans="1:36" ht="13.8" thickBot="1">
      <c r="A23" s="1747"/>
      <c r="B23" s="1747"/>
      <c r="C23" s="1747"/>
      <c r="D23" s="1747"/>
      <c r="E23" s="129"/>
      <c r="F23" s="129"/>
      <c r="G23" s="129"/>
      <c r="H23" s="129"/>
      <c r="I23" s="129"/>
    </row>
    <row r="24" spans="1:36" ht="14.4">
      <c r="A24" s="3551" t="s">
        <v>1298</v>
      </c>
      <c r="B24" s="1762" t="s">
        <v>1290</v>
      </c>
      <c r="C24" s="136">
        <f>IF(B30=0,0,D30)</f>
        <v>0</v>
      </c>
      <c r="D24" s="1769"/>
      <c r="E24" s="129"/>
      <c r="F24" s="129"/>
      <c r="G24" s="129"/>
      <c r="H24" s="129"/>
      <c r="I24" s="129"/>
    </row>
    <row r="25" spans="1:36" ht="14.4">
      <c r="A25" s="3552"/>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1303</v>
      </c>
      <c r="B30" s="142"/>
      <c r="C30" s="142"/>
      <c r="D30" s="142"/>
      <c r="E30" s="2303" t="s">
        <v>2130</v>
      </c>
      <c r="F30" s="129"/>
      <c r="G30" s="129"/>
      <c r="H30" s="129"/>
      <c r="I30" s="129"/>
    </row>
    <row r="31" spans="1:36" s="2309" customFormat="1" ht="26.4" customHeight="1" thickTop="1" thickBot="1">
      <c r="A31" s="2304"/>
      <c r="B31" s="2305"/>
      <c r="C31" s="2305"/>
      <c r="D31" s="2305"/>
      <c r="E31" s="2305"/>
      <c r="F31" s="2305"/>
      <c r="G31" s="2305"/>
      <c r="H31" s="2305"/>
      <c r="I31" s="2306" t="s">
        <v>2131</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1304</v>
      </c>
      <c r="B32" s="1774"/>
      <c r="C32" s="144">
        <f ca="1">IF(D32="总价",G19-C24,G20-C25)</f>
        <v>5319</v>
      </c>
      <c r="D32" s="1775" t="s">
        <v>3431</v>
      </c>
      <c r="E32" s="129"/>
      <c r="F32" s="129"/>
      <c r="G32" s="129"/>
      <c r="H32" s="129"/>
      <c r="I32" s="129"/>
    </row>
    <row r="33" spans="1:15" ht="14.4">
      <c r="A33" s="786" t="s">
        <v>1305</v>
      </c>
      <c r="B33" s="1776"/>
      <c r="C33" s="1777" t="s">
        <v>3416</v>
      </c>
      <c r="D33" s="1778" t="s">
        <v>3411</v>
      </c>
      <c r="E33" s="1779" t="s">
        <v>1306</v>
      </c>
      <c r="F33" s="1780" t="str">
        <f>IF(D32="楼面单价","取值（单价）","取值（总价）")</f>
        <v>取值（总价）</v>
      </c>
      <c r="G33" s="129"/>
      <c r="H33" s="129"/>
      <c r="I33" s="129"/>
    </row>
    <row r="34" spans="1:15" ht="14.4">
      <c r="A34" s="1781"/>
      <c r="B34" s="1782" t="s">
        <v>1307</v>
      </c>
      <c r="C34" s="148">
        <f ca="1">IF(C33="自定义",F34,C32-C35)</f>
        <v>2675</v>
      </c>
      <c r="D34" s="861">
        <f ca="1">IF(C33="自定义",ROUND(C34/C32,3),IF(C33="收益比率",SUMIF(INDIRECT("'"&amp;D33&amp;"'"&amp;"!b:b"),"土地收益比率",INDIRECT("'"&amp;D33&amp;"'"&amp;"!c:c")),SUMIF(INDIRECT("'"&amp;D33&amp;"'"&amp;"!b:b"),"土地成本比率",INDIRECT("'"&amp;D33&amp;"'"&amp;"!c:c"))))</f>
        <v>0.503</v>
      </c>
      <c r="E34" s="1783" t="s">
        <v>1308</v>
      </c>
      <c r="F34" s="1330"/>
      <c r="G34" s="129"/>
      <c r="H34" s="129"/>
      <c r="I34" s="129"/>
    </row>
    <row r="35" spans="1:15" ht="15" thickBot="1">
      <c r="A35" s="1784"/>
      <c r="B35" s="1785" t="s">
        <v>1309</v>
      </c>
      <c r="C35" s="1170">
        <f ca="1">IF(C33="自定义",F35,ROUND(C32*D35,0))</f>
        <v>2644</v>
      </c>
      <c r="D35" s="1171">
        <f ca="1">IF(C33="自定义",ROUND(C35/C32,3),IF(C33="收益比率",SUMIF(INDIRECT("'"&amp;D33&amp;"'"&amp;"!b:b"),"建筑物收益比率",INDIRECT("'"&amp;D33&amp;"'"&amp;"!c:c")),SUMIF(INDIRECT("'"&amp;D33&amp;"'"&amp;"!b:b"),"建筑物成本比率",INDIRECT("'"&amp;D33&amp;"'"&amp;"!c:c"))))</f>
        <v>0.497</v>
      </c>
      <c r="E35" s="1786" t="s">
        <v>1310</v>
      </c>
      <c r="F35" s="154"/>
      <c r="G35" s="129"/>
      <c r="H35" s="129"/>
      <c r="I35" s="129"/>
    </row>
    <row r="36" spans="1:15" ht="15" thickBot="1">
      <c r="A36" s="3571" t="s">
        <v>1311</v>
      </c>
      <c r="B36" s="1787" t="s">
        <v>1312</v>
      </c>
      <c r="C36" s="145"/>
      <c r="D36" s="1788"/>
      <c r="E36" s="1789"/>
      <c r="F36" s="1790"/>
      <c r="G36" s="129"/>
      <c r="H36" s="129"/>
      <c r="I36" s="129"/>
    </row>
    <row r="37" spans="1:15" ht="15" thickBot="1">
      <c r="A37" s="3572"/>
      <c r="B37" s="1674" t="s">
        <v>1313</v>
      </c>
      <c r="C37" s="147"/>
      <c r="D37" s="1139"/>
      <c r="E37" s="1139"/>
      <c r="F37" s="1790"/>
      <c r="G37" s="129"/>
      <c r="H37" s="129"/>
      <c r="I37" s="129"/>
    </row>
    <row r="38" spans="1:15" ht="15" thickBot="1">
      <c r="A38" s="3573"/>
      <c r="B38" s="1791" t="s">
        <v>1314</v>
      </c>
      <c r="C38" s="674"/>
      <c r="D38" s="1792" t="s">
        <v>1315</v>
      </c>
      <c r="E38" s="1139"/>
      <c r="F38" s="1790"/>
      <c r="G38" s="129"/>
      <c r="H38" s="129"/>
      <c r="I38" s="129"/>
    </row>
    <row r="39" spans="1:15" ht="14.4">
      <c r="A39" s="1764" t="s">
        <v>1316</v>
      </c>
      <c r="B39" s="1793" t="s">
        <v>1317</v>
      </c>
      <c r="C39" s="1794" t="s">
        <v>1318</v>
      </c>
      <c r="D39" s="1794" t="s">
        <v>1319</v>
      </c>
      <c r="E39" s="1795" t="s">
        <v>1320</v>
      </c>
      <c r="F39" s="1790"/>
      <c r="G39" s="129"/>
      <c r="H39" s="129"/>
      <c r="I39" s="129"/>
    </row>
    <row r="40" spans="1:15" ht="13.8">
      <c r="A40" s="1796" t="s">
        <v>1321</v>
      </c>
      <c r="B40" s="149"/>
      <c r="C40" s="150"/>
      <c r="D40" s="150"/>
      <c r="E40" s="151"/>
      <c r="F40" s="1790"/>
      <c r="G40" s="129"/>
      <c r="H40" s="129"/>
      <c r="I40" s="129"/>
    </row>
    <row r="41" spans="1:15" ht="13.8">
      <c r="A41" s="1796" t="s">
        <v>1322</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48" t="s">
        <v>1325</v>
      </c>
      <c r="B45" s="3549"/>
      <c r="C45" s="3550"/>
      <c r="D45" s="155">
        <f ca="1">ROUND(H101*F45,0)</f>
        <v>5319</v>
      </c>
      <c r="E45" s="156" t="s">
        <v>1326</v>
      </c>
      <c r="F45" s="157">
        <v>1</v>
      </c>
      <c r="G45" s="158" t="s">
        <v>1327</v>
      </c>
      <c r="H45" s="129"/>
      <c r="I45" s="129"/>
      <c r="J45" s="3626" t="s">
        <v>1328</v>
      </c>
      <c r="K45" s="3626"/>
      <c r="L45" s="3626"/>
      <c r="M45" s="3626"/>
      <c r="N45" s="3626"/>
      <c r="O45" s="3626"/>
    </row>
    <row r="46" spans="1:15" ht="14.25" customHeight="1">
      <c r="A46" s="3545" t="s">
        <v>1329</v>
      </c>
      <c r="B46" s="3546"/>
      <c r="C46" s="3546"/>
      <c r="D46" s="3546"/>
      <c r="E46" s="3546"/>
      <c r="F46" s="3546"/>
      <c r="G46" s="3547"/>
      <c r="H46" s="1806"/>
      <c r="I46" s="159"/>
      <c r="J46" s="2522">
        <v>1</v>
      </c>
      <c r="K46" s="3607" t="s">
        <v>1330</v>
      </c>
      <c r="L46" s="3607"/>
      <c r="M46" s="3627"/>
      <c r="N46" s="3627"/>
      <c r="O46" s="3627"/>
    </row>
    <row r="47" spans="1:15" ht="12" customHeight="1">
      <c r="A47" s="160" t="s">
        <v>1331</v>
      </c>
      <c r="B47" s="161"/>
      <c r="C47" s="162"/>
      <c r="D47" s="1087" t="s">
        <v>1332</v>
      </c>
      <c r="E47" s="302" t="s">
        <v>1333</v>
      </c>
      <c r="F47" s="163" t="s">
        <v>1334</v>
      </c>
      <c r="G47" s="2545" t="s">
        <v>1335</v>
      </c>
      <c r="H47" s="2546"/>
      <c r="I47" s="159"/>
      <c r="J47" s="2522">
        <v>2</v>
      </c>
      <c r="K47" s="3607" t="s">
        <v>1336</v>
      </c>
      <c r="L47" s="3607"/>
      <c r="M47" s="3628">
        <f>'数据-取费表'!B2</f>
        <v>45224</v>
      </c>
      <c r="N47" s="3628"/>
      <c r="O47" s="3628"/>
    </row>
    <row r="48" spans="1:15" ht="26.4">
      <c r="A48" s="3576" t="s">
        <v>1337</v>
      </c>
      <c r="B48" s="3559"/>
      <c r="C48" s="3559"/>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1338</v>
      </c>
      <c r="H48" s="2549"/>
      <c r="I48" s="1806"/>
      <c r="J48" s="2522">
        <v>3</v>
      </c>
      <c r="K48" s="3607" t="s">
        <v>1339</v>
      </c>
      <c r="L48" s="3607"/>
      <c r="M48" s="3629">
        <f ca="1">H101</f>
        <v>5319</v>
      </c>
      <c r="N48" s="3629"/>
      <c r="O48" s="3629"/>
    </row>
    <row r="49" spans="1:35" ht="25.5" customHeight="1">
      <c r="A49" s="2333" t="s">
        <v>1340</v>
      </c>
      <c r="B49" s="3543" t="s">
        <v>1341</v>
      </c>
      <c r="C49" s="3543"/>
      <c r="D49" s="1590">
        <v>0</v>
      </c>
      <c r="E49" s="324" t="s">
        <v>1342</v>
      </c>
      <c r="F49" s="2423" t="s">
        <v>28</v>
      </c>
      <c r="G49" s="3613"/>
      <c r="H49" s="2310" t="s">
        <v>2132</v>
      </c>
      <c r="I49" s="2311"/>
      <c r="J49" s="2522">
        <v>4</v>
      </c>
      <c r="K49" s="3607" t="str">
        <f>IF(项目基本情况!E8="房地产抵押价值","房地产抵押价值","抵押担保权已注销时的房地产抵押价值")</f>
        <v>房地产抵押价值</v>
      </c>
      <c r="L49" s="3607"/>
      <c r="M49" s="3629">
        <f ca="1">IF(项目基本情况!E8="房地产抵押价值",H107,H109)</f>
        <v>5319</v>
      </c>
      <c r="N49" s="3629"/>
      <c r="O49" s="3629"/>
    </row>
    <row r="50" spans="1:35" ht="25.5" customHeight="1">
      <c r="A50" s="2550"/>
      <c r="B50" s="3543" t="s">
        <v>1343</v>
      </c>
      <c r="C50" s="3543"/>
      <c r="D50" s="2551"/>
      <c r="E50" s="332"/>
      <c r="F50" s="2423"/>
      <c r="G50" s="3614"/>
      <c r="H50" s="2312" t="s">
        <v>2133</v>
      </c>
      <c r="I50" s="2311"/>
      <c r="J50" s="3626" t="s">
        <v>1344</v>
      </c>
      <c r="K50" s="3626"/>
      <c r="L50" s="3626"/>
      <c r="M50" s="3626"/>
      <c r="N50" s="3626"/>
      <c r="O50" s="3626"/>
    </row>
    <row r="51" spans="1:35" ht="20.399999999999999" customHeight="1">
      <c r="A51" s="2552"/>
      <c r="B51" s="3543" t="s">
        <v>1345</v>
      </c>
      <c r="C51" s="3543"/>
      <c r="D51" s="1087"/>
      <c r="E51" s="327"/>
      <c r="F51" s="2423"/>
      <c r="G51" s="3615"/>
      <c r="H51" s="2312" t="s">
        <v>2134</v>
      </c>
      <c r="I51" s="2311"/>
      <c r="J51" s="2523" t="s">
        <v>1346</v>
      </c>
      <c r="K51" s="3607" t="s">
        <v>1347</v>
      </c>
      <c r="L51" s="3607"/>
      <c r="M51" s="2523" t="s">
        <v>1348</v>
      </c>
      <c r="N51" s="2523" t="s">
        <v>1349</v>
      </c>
      <c r="O51" s="2523" t="s">
        <v>1350</v>
      </c>
    </row>
    <row r="52" spans="1:35" ht="24" customHeight="1">
      <c r="A52" s="2335" t="s">
        <v>1351</v>
      </c>
      <c r="B52" s="3543" t="s">
        <v>1352</v>
      </c>
      <c r="C52" s="3543"/>
      <c r="D52" s="1087">
        <f ca="1">ROUND(D45*'数据-取费表'!B41/(1+'数据-取费表'!C42),0)</f>
        <v>279</v>
      </c>
      <c r="E52" s="2334" t="s">
        <v>1353</v>
      </c>
      <c r="F52" s="2553">
        <f>'数据-取费表'!B41</f>
        <v>5.5000000000000007E-2</v>
      </c>
      <c r="G52" s="2554"/>
      <c r="H52" s="2543"/>
      <c r="I52" s="1807"/>
      <c r="J52" s="2522">
        <v>1</v>
      </c>
      <c r="K52" s="3608" t="s">
        <v>1354</v>
      </c>
      <c r="L52" s="3608"/>
      <c r="M52" s="2524" t="b">
        <f>D48</f>
        <v>0</v>
      </c>
      <c r="N52" s="2522" t="str">
        <f>E48</f>
        <v>销售额×税（费）率</v>
      </c>
      <c r="O52" s="2525">
        <f>F48</f>
        <v>5.5000000000000007E-2</v>
      </c>
    </row>
    <row r="53" spans="1:35" ht="12" customHeight="1">
      <c r="A53" s="2335" t="s">
        <v>1355</v>
      </c>
      <c r="B53" s="3569" t="s">
        <v>2288</v>
      </c>
      <c r="C53" s="3570"/>
      <c r="D53" s="1087">
        <f ca="1">ROUND(D45*'数据-取费表'!B41/(1+'数据-取费表'!C42),0)</f>
        <v>279</v>
      </c>
      <c r="E53" s="2334" t="s">
        <v>1353</v>
      </c>
      <c r="F53" s="2553">
        <f>'数据-取费表'!B41</f>
        <v>5.5000000000000007E-2</v>
      </c>
      <c r="G53" s="2554"/>
      <c r="H53" s="2543"/>
      <c r="I53" s="1807"/>
      <c r="J53" s="2522">
        <v>2</v>
      </c>
      <c r="K53" s="3608" t="s">
        <v>1356</v>
      </c>
      <c r="L53" s="3608"/>
      <c r="M53" s="2524">
        <f t="shared" ref="M53:O54" ca="1" si="0">D55</f>
        <v>3</v>
      </c>
      <c r="N53" s="2522" t="str">
        <f t="shared" si="0"/>
        <v>销售额×税（费）率</v>
      </c>
      <c r="O53" s="2525" t="str">
        <f t="shared" si="0"/>
        <v>免征</v>
      </c>
    </row>
    <row r="54" spans="1:35" ht="12" customHeight="1">
      <c r="A54" s="2335" t="s">
        <v>1357</v>
      </c>
      <c r="B54" s="3569" t="s">
        <v>2289</v>
      </c>
      <c r="C54" s="3570"/>
      <c r="D54" s="1087">
        <f ca="1">C68</f>
        <v>279</v>
      </c>
      <c r="E54" s="327" t="s">
        <v>1358</v>
      </c>
      <c r="F54" s="2553">
        <f>'数据-取费表'!B41</f>
        <v>5.5000000000000007E-2</v>
      </c>
      <c r="G54" s="2554"/>
      <c r="H54" s="2555"/>
      <c r="I54" s="1807"/>
      <c r="J54" s="2522">
        <v>3</v>
      </c>
      <c r="K54" s="3608" t="s">
        <v>1359</v>
      </c>
      <c r="L54" s="3608"/>
      <c r="M54" s="2524">
        <f t="shared" ca="1" si="0"/>
        <v>3016</v>
      </c>
      <c r="N54" s="2522" t="str">
        <f t="shared" si="0"/>
        <v>增值额×税（费）率</v>
      </c>
      <c r="O54" s="2526" t="str">
        <f t="shared" si="0"/>
        <v>免征</v>
      </c>
    </row>
    <row r="55" spans="1:35" ht="24" customHeight="1">
      <c r="A55" s="3558" t="s">
        <v>1360</v>
      </c>
      <c r="B55" s="3559"/>
      <c r="C55" s="3559"/>
      <c r="D55" s="2324">
        <f ca="1">IF(H55="个人住宅",0,ROUND(D45*I55,0))</f>
        <v>3</v>
      </c>
      <c r="E55" s="2334" t="s">
        <v>1361</v>
      </c>
      <c r="F55" s="2553" t="str">
        <f>IF(H55="正常",I55,"免征")</f>
        <v>免征</v>
      </c>
      <c r="G55" s="2554"/>
      <c r="H55" s="2549"/>
      <c r="I55" s="165">
        <f>'数据-取费表'!B49</f>
        <v>5.0000000000000001E-4</v>
      </c>
      <c r="J55" s="2522">
        <f>IF(H59="非个人房产","",4)</f>
        <v>4</v>
      </c>
      <c r="K55" s="3608" t="str">
        <f>IF(H59="非个人房产","——","个人所得税")</f>
        <v>个人所得税</v>
      </c>
      <c r="L55" s="3608"/>
      <c r="M55" s="2527">
        <f ca="1">D59</f>
        <v>51</v>
      </c>
      <c r="N55" s="2040" t="str">
        <f>E59</f>
        <v>差额计税</v>
      </c>
      <c r="O55" s="2528">
        <f>F59</f>
        <v>0.01</v>
      </c>
    </row>
    <row r="56" spans="1:35" ht="25.2">
      <c r="A56" s="3558" t="s">
        <v>1362</v>
      </c>
      <c r="B56" s="3559"/>
      <c r="C56" s="3559"/>
      <c r="D56" s="2324">
        <f ca="1">IF(H56="个人住宅",D57,D58)</f>
        <v>3016</v>
      </c>
      <c r="E56" s="2334" t="s">
        <v>1363</v>
      </c>
      <c r="F56" s="2553" t="str">
        <f>IF(H56="正常",F58,"免征")</f>
        <v>免征</v>
      </c>
      <c r="G56" s="2556" t="s">
        <v>1364</v>
      </c>
      <c r="H56" s="2557"/>
      <c r="I56" s="1808"/>
      <c r="J56" s="2522" t="str">
        <f>IF(项目基本情况!K6="上海银行",IF(J55="",4,J55+1),"")</f>
        <v/>
      </c>
      <c r="K56" s="3631" t="str">
        <f>IF(项目基本情况!K6="上海银行","其他处置费用","")</f>
        <v/>
      </c>
      <c r="L56" s="3632"/>
      <c r="M56" s="2524" t="str">
        <f>IF(项目基本情况!K6="上海银行",M69,"")</f>
        <v/>
      </c>
      <c r="N56" s="3631" t="str">
        <f>IF(项目基本情况!K6="上海银行","包含处置中涉及的律师、诉讼、拍卖、评估等费用","")</f>
        <v/>
      </c>
      <c r="O56" s="3634"/>
    </row>
    <row r="57" spans="1:35" ht="13.2">
      <c r="A57" s="2335" t="s">
        <v>1340</v>
      </c>
      <c r="B57" s="3569" t="s">
        <v>1365</v>
      </c>
      <c r="C57" s="3570"/>
      <c r="D57" s="1590">
        <v>0</v>
      </c>
      <c r="E57" s="324" t="s">
        <v>1342</v>
      </c>
      <c r="F57" s="302"/>
      <c r="G57" s="2554"/>
      <c r="H57" s="2558"/>
      <c r="I57" s="1808"/>
      <c r="J57" s="3608">
        <f>IF(AND(J55="",J56=""),4,IF(项目基本情况!K6="上海银行",结果表!J56+1,结果表!J55+1))</f>
        <v>5</v>
      </c>
      <c r="K57" s="3608" t="s">
        <v>1366</v>
      </c>
      <c r="L57" s="2529" t="s">
        <v>1367</v>
      </c>
      <c r="M57" s="2530"/>
      <c r="N57" s="2531">
        <f ca="1">SUMIF(M52:M56,"&lt;9e307")</f>
        <v>3070</v>
      </c>
      <c r="O57" s="2532"/>
      <c r="P57" s="2689">
        <f ca="1">N57/M49</f>
        <v>0.57717616093250612</v>
      </c>
    </row>
    <row r="58" spans="1:35" ht="25.2">
      <c r="A58" s="2335" t="s">
        <v>1351</v>
      </c>
      <c r="B58" s="3569" t="s">
        <v>1368</v>
      </c>
      <c r="C58" s="3543"/>
      <c r="D58" s="2324">
        <f ca="1">IF(H58="转让取得",C81,C97)</f>
        <v>3016</v>
      </c>
      <c r="E58" s="2334" t="s">
        <v>1363</v>
      </c>
      <c r="F58" s="302" t="s">
        <v>28</v>
      </c>
      <c r="G58" s="2554"/>
      <c r="H58" s="2557"/>
      <c r="I58" s="1808"/>
      <c r="J58" s="3608"/>
      <c r="K58" s="3608"/>
      <c r="L58" s="2529" t="s">
        <v>1369</v>
      </c>
      <c r="M58" s="2533"/>
      <c r="N58" s="2534" t="str">
        <f ca="1">NUMBERSTRING(INT(N57*10000),2)&amp;"元整"</f>
        <v>叁仟零柒拾万元整</v>
      </c>
      <c r="O58" s="2535"/>
    </row>
    <row r="59" spans="1:35" ht="24.6" thickBot="1">
      <c r="A59" s="3611" t="s">
        <v>1370</v>
      </c>
      <c r="B59" s="3612"/>
      <c r="C59" s="3612"/>
      <c r="D59" s="2559">
        <f ca="1">IF(H59="非个人房产","——",IF(H59="个人住宅（满五唯一有凭证）",0,IF(H59="个人其他（无凭证）",ROUND(D45*F59,0),ROUND(C67*F59,0))))</f>
        <v>51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4"/>
      <c r="I59" s="2313" t="s">
        <v>2135</v>
      </c>
      <c r="J59" s="3609">
        <f>J57+1</f>
        <v>6</v>
      </c>
      <c r="K59" s="3608" t="s">
        <v>1371</v>
      </c>
      <c r="L59" s="2522" t="s">
        <v>1367</v>
      </c>
      <c r="M59" s="2536"/>
      <c r="N59" s="2537">
        <f ca="1">M49-N57</f>
        <v>2249</v>
      </c>
      <c r="O59" s="2538"/>
    </row>
    <row r="60" spans="1:35" ht="12" customHeight="1">
      <c r="A60" s="1809"/>
      <c r="B60" s="1747"/>
      <c r="C60" s="1747"/>
      <c r="D60" s="1747"/>
      <c r="E60" s="1578"/>
      <c r="F60" s="1808"/>
      <c r="G60" s="1808"/>
      <c r="H60" s="1810"/>
      <c r="I60" s="129"/>
      <c r="J60" s="3610"/>
      <c r="K60" s="3608"/>
      <c r="L60" s="2529" t="s">
        <v>1369</v>
      </c>
      <c r="M60" s="2533"/>
      <c r="N60" s="2534" t="str">
        <f ca="1">NUMBERSTRING(INT(N59*10000),2)&amp;"元整"</f>
        <v>贰仟贰佰肆拾玖万元整</v>
      </c>
      <c r="O60" s="2535"/>
    </row>
    <row r="61" spans="1:35" ht="13.8" thickBot="1">
      <c r="A61" s="3556" t="s">
        <v>1372</v>
      </c>
      <c r="B61" s="3556"/>
      <c r="C61" s="3556"/>
      <c r="D61" s="3556"/>
      <c r="E61" s="3556"/>
      <c r="F61" s="1808"/>
      <c r="G61" s="1808"/>
      <c r="H61" s="1810"/>
      <c r="I61" s="129"/>
      <c r="J61" s="2522">
        <f>J59+1</f>
        <v>7</v>
      </c>
      <c r="K61" s="3608" t="s">
        <v>1373</v>
      </c>
      <c r="L61" s="3608"/>
      <c r="M61" s="2539"/>
      <c r="N61" s="2540">
        <f ca="1">ROUND(N59*10000/'数据-汇总表'!E3,0)</f>
        <v>2237</v>
      </c>
      <c r="O61" s="2541"/>
    </row>
    <row r="62" spans="1:35" ht="13.2">
      <c r="A62" s="3574" t="s">
        <v>1374</v>
      </c>
      <c r="B62" s="3575"/>
      <c r="C62" s="2021"/>
      <c r="D62" s="2021" t="s">
        <v>1375</v>
      </c>
      <c r="E62" s="166" t="s">
        <v>1376</v>
      </c>
      <c r="F62" s="1808"/>
      <c r="G62" s="1808"/>
      <c r="H62" s="1810"/>
      <c r="I62" s="129"/>
    </row>
    <row r="63" spans="1:35" ht="13.2">
      <c r="A63" s="173" t="s">
        <v>330</v>
      </c>
      <c r="B63" s="167" t="s">
        <v>1377</v>
      </c>
      <c r="C63" s="2563">
        <f ca="1">ROUND((C64+C65)/(1+'数据-取费表'!C42),0)</f>
        <v>5066</v>
      </c>
      <c r="D63" s="167"/>
      <c r="E63" s="168"/>
      <c r="F63" s="1808"/>
      <c r="G63" s="1808"/>
      <c r="H63" s="1810"/>
      <c r="I63" s="129"/>
      <c r="J63" s="3633" t="s">
        <v>1378</v>
      </c>
      <c r="K63" s="1332" t="s">
        <v>1379</v>
      </c>
      <c r="L63" s="1332">
        <f ca="1">IF(M49&gt;10000,M49*0.5%,IF(AND(M49&gt;1000,M49&lt;=10000),M49*1%,IF(AND(M49&gt;100,M49&lt;=1000),M49*3%,IF(AND(M49&gt;10,M49&lt;=100),M49*5%,M49*8%))))</f>
        <v>53.19</v>
      </c>
      <c r="M63" s="302">
        <f ca="1">ROUND(L63,1)</f>
        <v>53.2</v>
      </c>
      <c r="N63" s="2542"/>
      <c r="Z63" s="1752"/>
      <c r="AI63" s="1753"/>
    </row>
    <row r="64" spans="1:35" ht="14.25" customHeight="1">
      <c r="A64" s="169" t="s">
        <v>325</v>
      </c>
      <c r="B64" s="170" t="s">
        <v>1380</v>
      </c>
      <c r="C64" s="2564">
        <f ca="1">D45</f>
        <v>5319</v>
      </c>
      <c r="D64" s="170" t="s">
        <v>26</v>
      </c>
      <c r="E64" s="172"/>
      <c r="F64" s="1808"/>
      <c r="G64" s="1808"/>
      <c r="H64" s="1810"/>
      <c r="I64" s="129"/>
      <c r="J64" s="3633"/>
      <c r="K64" s="1332" t="s">
        <v>1381</v>
      </c>
      <c r="L64" s="1332">
        <f ca="1">IF(M49&gt;2000,M49*0.5%,IF(AND(M49&gt;1000,M49&lt;=2000),M49*0.6%,IF(AND(M49&gt;500,M49&lt;=1000),M49*0.7%,IF(AND(M49&gt;200,M49&lt;=500),M49*0.8%,IF(AND(M49&gt;100,M49&lt;=200),M49*0.9%,IF(AND(M49&gt;50,M49&lt;=100),M49*1%,IF(AND(M49&gt;20,M49&lt;=50),M49*1.5%,IF(AND(M49&gt;10,M49&lt;=20),M49*2%,IF(AND(M49&gt;1,M49&lt;=10),M49*2.5%)))))))))</f>
        <v>26.594999999999999</v>
      </c>
      <c r="M64" s="302">
        <f t="shared" ref="M64:M65" ca="1" si="1">ROUND(L64,1)</f>
        <v>26.6</v>
      </c>
      <c r="N64" s="2543" t="s">
        <v>1382</v>
      </c>
      <c r="Z64" s="1752"/>
      <c r="AI64" s="1753"/>
    </row>
    <row r="65" spans="1:35" ht="14.25" customHeight="1">
      <c r="A65" s="169" t="s">
        <v>326</v>
      </c>
      <c r="B65" s="170" t="s">
        <v>1383</v>
      </c>
      <c r="C65" s="2565"/>
      <c r="D65" s="170"/>
      <c r="E65" s="172"/>
      <c r="F65" s="1808"/>
      <c r="G65" s="1808"/>
      <c r="H65" s="1810"/>
      <c r="I65" s="129"/>
      <c r="J65" s="3633"/>
      <c r="K65" s="1332" t="s">
        <v>1384</v>
      </c>
      <c r="L65" s="1332">
        <f ca="1">IF(M49&gt;1000,M49*0.1%,IF(AND(M49&gt;500,M49&lt;=1000),M49*0.5%,IF(AND(M49&gt;50,M49&lt;=500),M49*1%,IF(AND(M49&gt;1,M49&lt;=50),M49*1.5%))))</f>
        <v>5.319</v>
      </c>
      <c r="M65" s="302">
        <f t="shared" ca="1" si="1"/>
        <v>5.3</v>
      </c>
      <c r="N65" s="2543" t="s">
        <v>1382</v>
      </c>
      <c r="Z65" s="1752"/>
      <c r="AI65" s="1753"/>
    </row>
    <row r="66" spans="1:35" ht="14.25" customHeight="1">
      <c r="A66" s="173" t="s">
        <v>327</v>
      </c>
      <c r="B66" s="174" t="s">
        <v>1385</v>
      </c>
      <c r="C66" s="2566"/>
      <c r="D66" s="174" t="s">
        <v>26</v>
      </c>
      <c r="E66" s="1338" t="s">
        <v>671</v>
      </c>
      <c r="F66" s="1808"/>
      <c r="G66" s="1808"/>
      <c r="H66" s="1810"/>
      <c r="I66" s="129"/>
      <c r="J66" s="3633"/>
      <c r="K66" s="1332" t="s">
        <v>1386</v>
      </c>
      <c r="L66" s="1332">
        <f ca="1">M49*0.5%</f>
        <v>26.594999999999999</v>
      </c>
      <c r="M66" s="302">
        <f ca="1">IF(L66&gt;0.5,0.5,ROUND(L66,0))</f>
        <v>0.5</v>
      </c>
      <c r="N66" s="2543" t="s">
        <v>1387</v>
      </c>
      <c r="Z66" s="1752"/>
      <c r="AI66" s="1753"/>
    </row>
    <row r="67" spans="1:35" ht="14.25" customHeight="1">
      <c r="A67" s="173" t="s">
        <v>328</v>
      </c>
      <c r="B67" s="174" t="s">
        <v>1388</v>
      </c>
      <c r="C67" s="2567">
        <f ca="1">C63-C66</f>
        <v>5066</v>
      </c>
      <c r="D67" s="170" t="s">
        <v>26</v>
      </c>
      <c r="E67" s="172"/>
      <c r="F67" s="1808"/>
      <c r="G67" s="1808"/>
      <c r="H67" s="1810"/>
      <c r="I67" s="129"/>
      <c r="J67" s="3633"/>
      <c r="K67" s="1332" t="s">
        <v>1389</v>
      </c>
      <c r="L67" s="1332">
        <f ca="1">IF(M49&gt;=10000,(8.25+(M49-10000)*0.01%),IF(AND(M49&gt;=8000,M49&lt;10000),(7.85+(M49-8000)*0.02%),IF(AND(M49&gt;=5000,M49&lt;8000),(6.65+(M49-5000)*0.04%),IF(AND(M49&gt;=2000,M49&lt;5000),(4.25+(PM49-2000)*0.08%),IF(AND(M49&gt;=1000,M49&lt;2000),(2.75+(M49-1000)*0.15%),IF(AND(M49&gt;=100,M49&lt;1000),(0.5+(M49-100)*0.25%),IF(AND(M49&gt;0,M49&lt;100),M49*0.5%)))))))</f>
        <v>6.7776000000000005</v>
      </c>
      <c r="M67" s="302">
        <f ca="1">ROUND(L67*0.9,1)</f>
        <v>6.1</v>
      </c>
      <c r="N67" s="2542"/>
      <c r="Z67" s="1752"/>
      <c r="AI67" s="1753"/>
    </row>
    <row r="68" spans="1:35" ht="14.25" customHeight="1" thickBot="1">
      <c r="A68" s="176" t="s">
        <v>329</v>
      </c>
      <c r="B68" s="177" t="s">
        <v>1390</v>
      </c>
      <c r="C68" s="2568">
        <f ca="1">IF(C67&lt;=0,0,ROUND(C67*D68,0))</f>
        <v>279</v>
      </c>
      <c r="D68" s="2569">
        <f>'数据-取费表'!B41</f>
        <v>5.5000000000000007E-2</v>
      </c>
      <c r="E68" s="178"/>
      <c r="F68" s="1808"/>
      <c r="G68" s="1808"/>
      <c r="H68" s="1810"/>
      <c r="I68" s="129"/>
      <c r="J68" s="3633"/>
      <c r="K68" s="1332" t="s">
        <v>1391</v>
      </c>
      <c r="L68" s="1332">
        <f ca="1">IF(M49&gt;10000,M49*0.5%,IF(AND(M49&gt;5000,M49&lt;=10000),M49*1%,IF(AND(M49&gt;1000,M49&lt;=5000),M49*2%,IF(AND(M49&gt;200,M49&lt;=1000),M49*3%,M49*5%))))</f>
        <v>53.19</v>
      </c>
      <c r="M68" s="302">
        <f ca="1">ROUND(L68,1)</f>
        <v>53.2</v>
      </c>
      <c r="N68" s="2542"/>
      <c r="Z68" s="1752"/>
      <c r="AI68" s="1753"/>
    </row>
    <row r="69" spans="1:35" s="1772" customFormat="1" ht="16.5" customHeight="1">
      <c r="A69" s="1811"/>
      <c r="B69" s="1812"/>
      <c r="C69" s="1813"/>
      <c r="D69" s="1814"/>
      <c r="E69" s="1815"/>
      <c r="F69" s="1578"/>
      <c r="G69" s="1578"/>
      <c r="H69" s="1577"/>
      <c r="I69" s="1747"/>
      <c r="J69" s="3633"/>
      <c r="K69" s="1332" t="s">
        <v>1392</v>
      </c>
      <c r="L69" s="1332"/>
      <c r="M69" s="302">
        <f ca="1">ROUND(SUM(M63:M68),0)</f>
        <v>145</v>
      </c>
      <c r="N69" s="2544">
        <f ca="1">M69/M49</f>
        <v>2.7260763301372438E-2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595" t="s">
        <v>1393</v>
      </c>
      <c r="B70" s="3596"/>
      <c r="C70" s="3596"/>
      <c r="D70" s="3596"/>
      <c r="E70" s="3596"/>
      <c r="F70" s="3596"/>
      <c r="G70" s="3596"/>
      <c r="H70" s="3596"/>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74" t="s">
        <v>1374</v>
      </c>
      <c r="B71" s="3575"/>
      <c r="C71" s="2021"/>
      <c r="D71" s="2021" t="s">
        <v>1375</v>
      </c>
      <c r="E71" s="179" t="s">
        <v>1376</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1394</v>
      </c>
      <c r="C72" s="2567">
        <f ca="1">ROUND(D45/(1+'数据-取费表'!C42),0)</f>
        <v>5066</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1395</v>
      </c>
      <c r="C73" s="2567">
        <f ca="1">C74+C78</f>
        <v>25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569" t="s">
        <v>1401</v>
      </c>
      <c r="F76" s="3543"/>
      <c r="G76" s="3543"/>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f ca="1">ROUND(D45*D78/(1+'数据-取费表'!C42),0)</f>
        <v>25</v>
      </c>
      <c r="D78" s="2576">
        <f>'数据-取费表'!B43</f>
        <v>5.000000000000001E-3</v>
      </c>
      <c r="E78" s="3553" t="s">
        <v>1405</v>
      </c>
      <c r="F78" s="3554"/>
      <c r="G78" s="3554"/>
      <c r="H78" s="356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1406</v>
      </c>
      <c r="C79" s="2567">
        <f ca="1">C72-C73</f>
        <v>5041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f ca="1">IF(C79&lt;=0,0,C79/C73)</f>
        <v>201.64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1408</v>
      </c>
      <c r="C81" s="2578">
        <f ca="1">ROUND(IF(C79&lt;=0,0,IF(C80&gt;=200%,C79*60%-C73*35%,IF(C80&gt;=100%,C79*50%-C73*15%,IF(C80&gt;=50%,C79*40%-C73*5%,IF(C80&lt;50%,C79*30%,0))))),0)</f>
        <v>3016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595" t="s">
        <v>1409</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74" t="s">
        <v>1374</v>
      </c>
      <c r="B84" s="3575"/>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1394</v>
      </c>
      <c r="C85" s="2567">
        <f ca="1">ROUND(D45/(1+'数据-取费表'!C42),0)</f>
        <v>5066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1395</v>
      </c>
      <c r="C86" s="2567">
        <f ca="1">IF(H88="仅含出让金",C87+C90+C91+C92+C93+C94,C87+C91+C92+C93+C94)</f>
        <v>25</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1410</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1411</v>
      </c>
      <c r="C88" s="2581"/>
      <c r="D88" s="2576"/>
      <c r="E88" s="193" t="s">
        <v>1412</v>
      </c>
      <c r="F88" s="2327"/>
      <c r="G88" s="194" t="s">
        <v>1413</v>
      </c>
      <c r="H88" s="1824"/>
      <c r="I88" s="1821"/>
      <c r="J88" s="2520"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1402</v>
      </c>
      <c r="C89" s="2575">
        <f>ROUND(C88*D89,0)</f>
        <v>0</v>
      </c>
      <c r="D89" s="2576">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1415</v>
      </c>
      <c r="C90" s="2581"/>
      <c r="D90" s="2576"/>
      <c r="E90" s="193" t="str">
        <f>IF(H88="-","土地取得成本中已包含该笔费用"," ")</f>
        <v xml:space="preserve"> </v>
      </c>
      <c r="F90" s="2327"/>
      <c r="G90" s="3635" t="s">
        <v>2127</v>
      </c>
      <c r="H90" s="3636"/>
      <c r="I90" s="1821"/>
      <c r="J90" s="2520"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553" t="s">
        <v>1418</v>
      </c>
      <c r="F91" s="3554"/>
      <c r="G91" s="355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553" t="s">
        <v>1421</v>
      </c>
      <c r="F92" s="3554"/>
      <c r="G92" s="3554"/>
      <c r="H92" s="3563"/>
      <c r="I92" s="1821"/>
      <c r="J92" s="2521"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f ca="1">ROUND(D45*D93/(1+'数据-取费表'!C42),0)</f>
        <v>25</v>
      </c>
      <c r="D93" s="2576">
        <f>'数据-取费表'!B43</f>
        <v>5.000000000000001E-3</v>
      </c>
      <c r="E93" s="3553" t="s">
        <v>1405</v>
      </c>
      <c r="F93" s="3554"/>
      <c r="G93" s="3554"/>
      <c r="H93" s="356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564" t="s">
        <v>1425</v>
      </c>
      <c r="F94" s="3565"/>
      <c r="G94" s="3565"/>
      <c r="H94" s="356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1406</v>
      </c>
      <c r="C95" s="2567">
        <f ca="1">ROUND(C85-C86,0)</f>
        <v>5041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f ca="1">IF(C95&lt;=0,0,C95/C86)</f>
        <v>201.64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1408</v>
      </c>
      <c r="C97" s="2578">
        <f ca="1">ROUND(IF(C95&lt;=0,0,IF(C96&gt;=200%,C95*60%-C86*35%,IF(C96&gt;=100%,C95*50%-C86*15%,IF(C96&gt;=50%,C95*40%-C86*5%,IF(C96&lt;50%,C95*30%,0))))),0)</f>
        <v>3016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37" t="s">
        <v>1427</v>
      </c>
      <c r="B100" s="3538"/>
      <c r="C100" s="3538"/>
      <c r="D100" s="3555"/>
      <c r="E100" s="3538" t="s">
        <v>1428</v>
      </c>
      <c r="F100" s="3538"/>
      <c r="G100" s="3538"/>
      <c r="H100" s="3555"/>
      <c r="I100" s="129"/>
    </row>
    <row r="101" spans="1:35" ht="18.75" customHeight="1">
      <c r="A101" s="3616" t="s">
        <v>1429</v>
      </c>
      <c r="B101" s="3617"/>
      <c r="C101" s="2584" t="str">
        <f>C4</f>
        <v>成本法</v>
      </c>
      <c r="D101" s="2585" t="str">
        <f>D4</f>
        <v>收益法</v>
      </c>
      <c r="E101" s="3630" t="s">
        <v>1430</v>
      </c>
      <c r="F101" s="3587"/>
      <c r="G101" s="1827" t="s">
        <v>1431</v>
      </c>
      <c r="H101" s="2594">
        <f ca="1">H118</f>
        <v>5319</v>
      </c>
      <c r="I101" s="129"/>
      <c r="L101" s="2542" t="s">
        <v>3411</v>
      </c>
      <c r="M101" s="2542" t="s">
        <v>3402</v>
      </c>
    </row>
    <row r="102" spans="1:35" ht="18.75" customHeight="1">
      <c r="A102" s="3589" t="s">
        <v>1432</v>
      </c>
      <c r="B102" s="2583" t="s">
        <v>1431</v>
      </c>
      <c r="C102" s="2584">
        <f ca="1">IF(D32="楼面单价",ROUND(C19,0),C19)</f>
        <v>5549</v>
      </c>
      <c r="D102" s="2585">
        <f ca="1">IF(D32="楼面单价",ROUND(D19,0),D19)</f>
        <v>5088</v>
      </c>
      <c r="E102" s="3630"/>
      <c r="F102" s="3587"/>
      <c r="G102" s="1827" t="s">
        <v>1433</v>
      </c>
      <c r="H102" s="2554">
        <f ca="1">I118</f>
        <v>5291</v>
      </c>
      <c r="I102" s="129"/>
      <c r="L102" s="2542">
        <v>5333</v>
      </c>
      <c r="M102" s="2542">
        <v>5437</v>
      </c>
    </row>
    <row r="103" spans="1:35" ht="42.75" customHeight="1">
      <c r="A103" s="3589"/>
      <c r="B103" s="2583" t="s">
        <v>1433</v>
      </c>
      <c r="C103" s="2586">
        <f ca="1">C20</f>
        <v>5520</v>
      </c>
      <c r="D103" s="2587">
        <f ca="1">D20</f>
        <v>5165</v>
      </c>
      <c r="E103" s="3624" t="s">
        <v>1434</v>
      </c>
      <c r="F103" s="3625"/>
      <c r="G103" s="1828" t="s">
        <v>1435</v>
      </c>
      <c r="H103" s="2594">
        <f>IF(D36="正常操作",H104+H105+H106,H105+H106)</f>
        <v>0</v>
      </c>
      <c r="I103" s="129"/>
      <c r="L103" s="2542">
        <v>5305</v>
      </c>
      <c r="M103" s="2542">
        <v>5408</v>
      </c>
    </row>
    <row r="104" spans="1:35" ht="18.75" customHeight="1">
      <c r="A104" s="3589" t="s">
        <v>1436</v>
      </c>
      <c r="B104" s="2588" t="s">
        <v>1431</v>
      </c>
      <c r="C104" s="2589">
        <f ca="1">H118</f>
        <v>5319</v>
      </c>
      <c r="D104" s="2590"/>
      <c r="E104" s="1674" t="s">
        <v>1437</v>
      </c>
      <c r="F104" s="1666"/>
      <c r="G104" s="1828" t="s">
        <v>1435</v>
      </c>
      <c r="H104" s="2595">
        <f>IF(D36="同一抵押权人同一抵押物续贷",C36&amp;"（续贷，未扣减，详见特别提示）",C36)</f>
        <v>0</v>
      </c>
      <c r="I104" s="129"/>
      <c r="L104" s="2542">
        <v>5385</v>
      </c>
      <c r="M104" s="2542"/>
    </row>
    <row r="105" spans="1:35" ht="18.75" customHeight="1" thickBot="1">
      <c r="A105" s="3590"/>
      <c r="B105" s="2591" t="s">
        <v>1433</v>
      </c>
      <c r="C105" s="2592">
        <f ca="1">I118</f>
        <v>5291</v>
      </c>
      <c r="D105" s="2593"/>
      <c r="E105" s="1674" t="s">
        <v>1438</v>
      </c>
      <c r="F105" s="1666"/>
      <c r="G105" s="1828" t="s">
        <v>1435</v>
      </c>
      <c r="H105" s="2596">
        <f>C37</f>
        <v>0</v>
      </c>
      <c r="I105" s="129"/>
      <c r="L105" s="2542">
        <v>5357</v>
      </c>
      <c r="M105" s="2542"/>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586" t="str">
        <f>IF(项目基本情况!E8="已注销","——","3.房地产抵押价值")</f>
        <v>3.房地产抵押价值</v>
      </c>
      <c r="F107" s="3587"/>
      <c r="G107" s="1827" t="s">
        <v>1431</v>
      </c>
      <c r="H107" s="2594">
        <f ca="1">IF(E107="——","——",H101-H103)</f>
        <v>5319</v>
      </c>
      <c r="I107" s="129"/>
    </row>
    <row r="108" spans="1:35" ht="18.75" customHeight="1">
      <c r="A108" s="129"/>
      <c r="B108" s="129"/>
      <c r="C108" s="129"/>
      <c r="D108" s="129"/>
      <c r="E108" s="3586"/>
      <c r="F108" s="3587"/>
      <c r="G108" s="1827" t="s">
        <v>1433</v>
      </c>
      <c r="H108" s="2554">
        <f ca="1">IF(H107=H101,H102,ROUND(H107*10000/'数据-汇总表'!E3,0))</f>
        <v>5291</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7" t="s">
        <v>1431</v>
      </c>
      <c r="H109" s="2597" t="str">
        <f>IF(E109="——","——",H101-H105-H106)</f>
        <v>——</v>
      </c>
      <c r="I109" s="129"/>
    </row>
    <row r="110" spans="1:35" ht="18.75" customHeight="1">
      <c r="A110" s="129"/>
      <c r="B110" s="129"/>
      <c r="C110" s="129"/>
      <c r="D110" s="129"/>
      <c r="E110" s="3586"/>
      <c r="F110" s="3587"/>
      <c r="G110" s="1827" t="s">
        <v>1433</v>
      </c>
      <c r="H110" s="2554"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588"/>
      <c r="G111" s="1827" t="s">
        <v>1431</v>
      </c>
      <c r="H111" s="2594" t="str">
        <f>IF(E111="——","——",N59)</f>
        <v>——</v>
      </c>
      <c r="I111" s="129"/>
    </row>
    <row r="112" spans="1:35" ht="18.75" customHeight="1" thickBot="1">
      <c r="A112" s="129"/>
      <c r="B112" s="129"/>
      <c r="C112" s="129"/>
      <c r="D112" s="129"/>
      <c r="E112" s="3619"/>
      <c r="F112" s="3620"/>
      <c r="G112" s="1830" t="s">
        <v>1433</v>
      </c>
      <c r="H112" s="2598" t="str">
        <f>IF(E111="——","——",N61)</f>
        <v>——</v>
      </c>
      <c r="I112" s="129"/>
    </row>
    <row r="113" spans="1:27" ht="18.75" customHeight="1">
      <c r="A113" s="129"/>
      <c r="B113" s="129"/>
      <c r="C113" s="129"/>
      <c r="D113" s="129"/>
      <c r="E113" s="3591" t="s">
        <v>1439</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601" t="s">
        <v>1441</v>
      </c>
      <c r="B115" s="3602"/>
      <c r="C115" s="3602"/>
      <c r="D115" s="3602"/>
      <c r="E115" s="3602"/>
      <c r="F115" s="3602"/>
      <c r="G115" s="3602"/>
      <c r="H115" s="3602"/>
      <c r="I115" s="3603"/>
    </row>
    <row r="116" spans="1:27" ht="27" customHeight="1">
      <c r="A116" s="3557" t="s">
        <v>1442</v>
      </c>
      <c r="B116" s="3592" t="s">
        <v>1443</v>
      </c>
      <c r="C116" s="3592" t="s">
        <v>1444</v>
      </c>
      <c r="D116" s="3605" t="s">
        <v>1445</v>
      </c>
      <c r="E116" s="3606"/>
      <c r="F116" s="3600" t="s">
        <v>3428</v>
      </c>
      <c r="G116" s="3600"/>
      <c r="H116" s="3557" t="s">
        <v>1446</v>
      </c>
      <c r="I116" s="3557"/>
      <c r="L116" s="2542" t="s">
        <v>3427</v>
      </c>
      <c r="M116" s="2542"/>
      <c r="N116" s="2542" t="s">
        <v>3428</v>
      </c>
      <c r="O116" s="2542"/>
      <c r="P116" s="2542" t="s">
        <v>3429</v>
      </c>
      <c r="Q116" s="2542"/>
    </row>
    <row r="117" spans="1:27" ht="18.75" customHeight="1">
      <c r="A117" s="3557"/>
      <c r="B117" s="3593"/>
      <c r="C117" s="3593"/>
      <c r="D117" s="2329" t="s">
        <v>1447</v>
      </c>
      <c r="E117" s="2329" t="s">
        <v>1448</v>
      </c>
      <c r="F117" s="2329" t="s">
        <v>1447</v>
      </c>
      <c r="G117" s="2329" t="s">
        <v>1449</v>
      </c>
      <c r="H117" s="2329" t="s">
        <v>1447</v>
      </c>
      <c r="I117" s="2329" t="s">
        <v>1449</v>
      </c>
      <c r="L117" s="2542" t="s">
        <v>3430</v>
      </c>
      <c r="M117" s="2542" t="s">
        <v>3415</v>
      </c>
      <c r="N117" s="2542" t="s">
        <v>3430</v>
      </c>
      <c r="O117" s="2542" t="s">
        <v>3415</v>
      </c>
      <c r="P117" s="2542" t="s">
        <v>3430</v>
      </c>
      <c r="Q117" s="2542" t="s">
        <v>3415</v>
      </c>
    </row>
    <row r="118" spans="1:27" ht="24.75" customHeight="1">
      <c r="A118" s="2599" t="str">
        <f>项目基本情况!S2</f>
        <v>北京市房地产</v>
      </c>
      <c r="B118" s="2329">
        <f>M18</f>
        <v>10052.84</v>
      </c>
      <c r="C118" s="2329">
        <f>M19</f>
        <v>23335</v>
      </c>
      <c r="D118" s="2329">
        <f ca="1">ROUND(IF(D32="总价",C34,E118*B118/10000),0)</f>
        <v>2675</v>
      </c>
      <c r="E118" s="2329">
        <f ca="1">ROUND(IF(C33="自定义",IF(D32="楼面单价",C34,D118*10000/B118),I118-G118),0)</f>
        <v>2661</v>
      </c>
      <c r="F118" s="2329">
        <f ca="1">ROUND(IF(D32="总价",C35,G118*B118/10000),0)</f>
        <v>2644</v>
      </c>
      <c r="G118" s="2329">
        <f ca="1">ROUND(IF(D32="楼面单价",C35,F118*10000/B118),0)</f>
        <v>2630</v>
      </c>
      <c r="H118" s="2329">
        <f ca="1">ROUND(IF(D32="总价",C32,I118*B118/10000),0)</f>
        <v>5319</v>
      </c>
      <c r="I118" s="2329">
        <f ca="1">ROUND(IF(D32="楼面单价",C32,H118*10000/B118),0)</f>
        <v>5291</v>
      </c>
      <c r="L118" s="2542">
        <v>2671</v>
      </c>
      <c r="M118" s="2542">
        <v>2657</v>
      </c>
      <c r="N118" s="2542">
        <v>2714</v>
      </c>
      <c r="O118" s="2542">
        <v>2700</v>
      </c>
      <c r="P118" s="2542">
        <v>5385</v>
      </c>
      <c r="Q118" s="2542">
        <v>5357</v>
      </c>
    </row>
    <row r="119" spans="1:27" ht="18.75" customHeight="1">
      <c r="A119" s="3557" t="s">
        <v>1450</v>
      </c>
      <c r="B119" s="3557"/>
      <c r="C119" s="3557"/>
      <c r="D119" s="3597" t="str">
        <f ca="1">NUMBERSTRING(INT(D118*10000),2)&amp;"元整"</f>
        <v>贰仟陆佰柒拾伍万元整</v>
      </c>
      <c r="E119" s="3599"/>
      <c r="F119" s="3597" t="str">
        <f ca="1">NUMBERSTRING(INT(F118*10000),2)&amp;"元整"</f>
        <v>贰仟陆佰肆拾肆万元整</v>
      </c>
      <c r="G119" s="3599"/>
      <c r="H119" s="3597" t="str">
        <f ca="1">NUMBERSTRING(INT(H118*10000),2)&amp;"元整"</f>
        <v>伍仟叁佰壹拾玖万元整</v>
      </c>
      <c r="I119" s="3599"/>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7" t="s">
        <v>1450</v>
      </c>
      <c r="B121" s="3598"/>
      <c r="C121" s="3599"/>
      <c r="D121" s="3597" t="str">
        <f>IF(D120=0,"零元整",NUMBERSTRING(INT(D120*10000),2)&amp;"元整")</f>
        <v>零元整</v>
      </c>
      <c r="E121" s="3598"/>
      <c r="F121" s="3598"/>
      <c r="G121" s="3598"/>
      <c r="H121" s="3598"/>
      <c r="I121" s="3599"/>
      <c r="AA121" s="725"/>
    </row>
    <row r="122" spans="1:27" ht="18.75" customHeight="1">
      <c r="A122" s="3588" t="str">
        <f>IF(项目基本情况!B9="房地产市场价值","",MID(E107,3,LEN(E107)-2))</f>
        <v>房地产抵押价值</v>
      </c>
      <c r="B122" s="3588"/>
      <c r="C122" s="3588"/>
      <c r="D122" s="3621">
        <f ca="1">H107</f>
        <v>5319</v>
      </c>
      <c r="E122" s="3622"/>
      <c r="F122" s="3622"/>
      <c r="G122" s="3622"/>
      <c r="H122" s="3622"/>
      <c r="I122" s="3623"/>
      <c r="AA122" s="725"/>
    </row>
    <row r="123" spans="1:27" ht="18.75" customHeight="1">
      <c r="A123" s="3557" t="s">
        <v>1450</v>
      </c>
      <c r="B123" s="3557"/>
      <c r="C123" s="3557"/>
      <c r="D123" s="3597" t="str">
        <f ca="1">NUMBERSTRING(INT(D122*10000),2)&amp;"元整"</f>
        <v>伍仟叁佰壹拾玖万元整</v>
      </c>
      <c r="E123" s="3598"/>
      <c r="F123" s="3598"/>
      <c r="G123" s="3598"/>
      <c r="H123" s="3598"/>
      <c r="I123" s="3599"/>
      <c r="AA123" s="725"/>
    </row>
    <row r="124" spans="1:27" ht="18.75" customHeight="1">
      <c r="A124" s="3588" t="str">
        <f>IF(项目基本情况!B9="房地产市场价值","",MID(E109,3,LEN(E109)-2))</f>
        <v/>
      </c>
      <c r="B124" s="3588"/>
      <c r="C124" s="3588"/>
      <c r="D124" s="3621" t="str">
        <f>H109</f>
        <v>——</v>
      </c>
      <c r="E124" s="3622"/>
      <c r="F124" s="3622"/>
      <c r="G124" s="3622"/>
      <c r="H124" s="3622"/>
      <c r="I124" s="3623"/>
      <c r="AA124" s="725"/>
    </row>
    <row r="125" spans="1:27" ht="18.75" customHeight="1">
      <c r="A125" s="3557" t="s">
        <v>1450</v>
      </c>
      <c r="B125" s="3557"/>
      <c r="C125" s="3557"/>
      <c r="D125" s="3597" t="e">
        <f>NUMBERSTRING(INT(D124*10000),2)&amp;"元整"</f>
        <v>#VALUE!</v>
      </c>
      <c r="E125" s="3598"/>
      <c r="F125" s="3598"/>
      <c r="G125" s="3598"/>
      <c r="H125" s="3598"/>
      <c r="I125" s="3599"/>
      <c r="AA125" s="725"/>
    </row>
    <row r="126" spans="1:27" ht="18.75" customHeight="1">
      <c r="A126" s="3588" t="str">
        <f>IF(项目基本情况!B9="房地产市场价值","",MID(E111,3,LEN(E111)-2))</f>
        <v/>
      </c>
      <c r="B126" s="3588"/>
      <c r="C126" s="3588"/>
      <c r="D126" s="3621" t="str">
        <f>H111</f>
        <v>——</v>
      </c>
      <c r="E126" s="3622"/>
      <c r="F126" s="3622"/>
      <c r="G126" s="3622"/>
      <c r="H126" s="3622"/>
      <c r="I126" s="3623"/>
      <c r="AA126" s="725"/>
    </row>
    <row r="127" spans="1:27" ht="18.75" customHeight="1">
      <c r="A127" s="3557" t="s">
        <v>1450</v>
      </c>
      <c r="B127" s="3557"/>
      <c r="C127" s="3557"/>
      <c r="D127" s="3597" t="e">
        <f>NUMBERSTRING(INT(D126*10000),2)&amp;"元整"</f>
        <v>#VALUE!</v>
      </c>
      <c r="E127" s="3598"/>
      <c r="F127" s="3598"/>
      <c r="G127" s="3598"/>
      <c r="H127" s="3598"/>
      <c r="I127" s="3599"/>
      <c r="AA127" s="725"/>
    </row>
    <row r="128" spans="1:27" ht="21.75" customHeight="1">
      <c r="A128" s="3604" t="s">
        <v>1451</v>
      </c>
      <c r="B128" s="3604"/>
      <c r="C128" s="3604"/>
      <c r="D128" s="3604"/>
      <c r="E128" s="3604"/>
      <c r="F128" s="3604"/>
      <c r="G128" s="3604"/>
      <c r="H128" s="3604"/>
      <c r="I128" s="3604"/>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54" sqref="E54"/>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1459</v>
      </c>
      <c r="B1" s="1470"/>
      <c r="C1" s="198"/>
      <c r="D1" s="198"/>
      <c r="E1" s="198"/>
      <c r="F1" s="198"/>
      <c r="G1" s="1126">
        <f>MATCH(B1,'数据-取费表'!A6:A16,0)+5</f>
        <v>7</v>
      </c>
    </row>
    <row r="2" spans="1:9" s="200" customFormat="1" ht="18" customHeight="1">
      <c r="A2" s="201" t="s">
        <v>1460</v>
      </c>
      <c r="B2" s="202">
        <f ca="1">IF(D2="——",C52,C52-E2)</f>
        <v>5549</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5520</v>
      </c>
      <c r="C3" s="199" t="s">
        <v>1463</v>
      </c>
      <c r="D3" s="199"/>
      <c r="E3" s="199"/>
      <c r="F3" s="199"/>
      <c r="G3" s="199"/>
    </row>
    <row r="4" spans="1:9" s="208" customFormat="1" ht="16.2">
      <c r="A4" s="205" t="s">
        <v>1464</v>
      </c>
      <c r="B4" s="206"/>
      <c r="C4" s="206"/>
      <c r="D4" s="206"/>
      <c r="E4" s="206"/>
      <c r="F4" s="206"/>
      <c r="G4" s="207"/>
    </row>
    <row r="5" spans="1:9" s="214" customFormat="1" ht="13.5" customHeight="1">
      <c r="A5" s="255" t="s">
        <v>1465</v>
      </c>
      <c r="B5" s="210" t="s">
        <v>1466</v>
      </c>
      <c r="C5" s="211">
        <f ca="1">C6+C7+C8</f>
        <v>2230</v>
      </c>
      <c r="D5" s="211" t="s">
        <v>1467</v>
      </c>
      <c r="E5" s="212" t="s">
        <v>1468</v>
      </c>
      <c r="F5" s="212" t="s">
        <v>1469</v>
      </c>
      <c r="G5" s="213"/>
    </row>
    <row r="6" spans="1:9" s="214" customFormat="1" ht="13.5" customHeight="1">
      <c r="A6" s="778" t="s">
        <v>1470</v>
      </c>
      <c r="B6" s="215" t="s">
        <v>1471</v>
      </c>
      <c r="C6" s="216">
        <f>基准地价修正!B2</f>
        <v>1969</v>
      </c>
      <c r="D6" s="217"/>
      <c r="E6" s="218"/>
      <c r="F6" s="218"/>
      <c r="G6" s="219"/>
    </row>
    <row r="7" spans="1:9" s="214" customFormat="1" ht="13.5" customHeight="1">
      <c r="A7" s="778" t="s">
        <v>1472</v>
      </c>
      <c r="B7" s="215" t="s">
        <v>1473</v>
      </c>
      <c r="C7" s="220">
        <f>ROUND(C6*F7,0)</f>
        <v>60</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201</v>
      </c>
      <c r="D8" s="222"/>
      <c r="E8" s="220"/>
      <c r="F8" s="221"/>
      <c r="G8" s="1856" t="s">
        <v>3408</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0</v>
      </c>
      <c r="F9" s="221"/>
      <c r="G9" s="1857" t="s">
        <v>3409</v>
      </c>
      <c r="H9" s="1137"/>
      <c r="I9" s="1858" t="s">
        <v>1477</v>
      </c>
    </row>
    <row r="10" spans="1:9" s="214" customFormat="1" ht="13.5" customHeight="1">
      <c r="A10" s="779" t="s">
        <v>356</v>
      </c>
      <c r="B10" s="224" t="s">
        <v>1478</v>
      </c>
      <c r="C10" s="225">
        <f ca="1">ROUND(D10*E10/10000,0)</f>
        <v>201</v>
      </c>
      <c r="D10" s="845">
        <f ca="1">IF(B1="",'数据-汇总表'!E6,IF(INDIRECT("'数据-取费表'!c"&amp;$G$1)="住宅",INDIRECT("'数据-取费表'!s"&amp;$G$1),INDIRECT("'数据-取费表'!k"&amp;$G$1)+INDIRECT("'数据-取费表'!s"&amp;$G$1)))</f>
        <v>10052.84</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10052.84</v>
      </c>
      <c r="E19" s="211">
        <f>'数据-取费表'!B31</f>
        <v>200</v>
      </c>
      <c r="F19" s="231"/>
      <c r="G19" s="1856" t="s">
        <v>3410</v>
      </c>
    </row>
    <row r="20" spans="1:7" s="214" customFormat="1" ht="13.5" customHeight="1">
      <c r="A20" s="255" t="s">
        <v>1491</v>
      </c>
      <c r="B20" s="210" t="s">
        <v>1492</v>
      </c>
      <c r="C20" s="232">
        <f ca="1">ROUND((C5+C19)*F20,0)</f>
        <v>45</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78</v>
      </c>
      <c r="D22" s="235">
        <f ca="1">C26</f>
        <v>2.9999999999999997E-4</v>
      </c>
      <c r="E22" s="236" t="s">
        <v>1496</v>
      </c>
      <c r="F22" s="237">
        <f ca="1">'数据-取费表'!B40</f>
        <v>3.4500000000000003E-2</v>
      </c>
      <c r="G22" s="234" t="str">
        <f>IF('数据-取费表'!B22&lt;=1,"单利计息","复利计息")</f>
        <v>单利计息</v>
      </c>
    </row>
    <row r="23" spans="1:7" s="214" customFormat="1" ht="13.5" customHeight="1">
      <c r="A23" s="780" t="s">
        <v>1500</v>
      </c>
      <c r="B23" s="215" t="s">
        <v>1501</v>
      </c>
      <c r="C23" s="1105">
        <f ca="1">ROUND(IF('数据-取费表'!B22&lt;=1,C5*F22*'数据-取费表'!B23,C5*(POWER((1+F22),'数据-取费表'!B23)-1)),0)</f>
        <v>77</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1</v>
      </c>
      <c r="D25" s="238"/>
      <c r="E25" s="241"/>
      <c r="F25" s="239"/>
      <c r="G25" s="242" t="s">
        <v>1508</v>
      </c>
    </row>
    <row r="26" spans="1:7" s="214" customFormat="1">
      <c r="A26" s="780" t="s">
        <v>350</v>
      </c>
      <c r="B26" s="215" t="s">
        <v>1509</v>
      </c>
      <c r="C26" s="238">
        <f ca="1">ROUND(IF('数据-取费表'!B22&lt;=1,F21*F22*'数据-取费表'!B23/2,F21*(POWER((1+F22),'数据-取费表'!B23/2)-1)),4)</f>
        <v>2.9999999999999997E-4</v>
      </c>
      <c r="D26" s="238"/>
      <c r="E26" s="241"/>
      <c r="F26" s="239"/>
      <c r="G26" s="243"/>
    </row>
    <row r="27" spans="1:7" s="214" customFormat="1" ht="26.4">
      <c r="A27" s="255" t="s">
        <v>1510</v>
      </c>
      <c r="B27" s="244" t="s">
        <v>1511</v>
      </c>
      <c r="C27" s="245">
        <f ca="1">C28</f>
        <v>228</v>
      </c>
      <c r="D27" s="235">
        <f ca="1">C29</f>
        <v>2E-3</v>
      </c>
      <c r="E27" s="236" t="s">
        <v>1512</v>
      </c>
      <c r="F27" s="246">
        <f ca="1">IF(B1="",'数据-取费表'!Q16,INDIRECT("'数据-取费表'!q"&amp;$G$1))</f>
        <v>0.1</v>
      </c>
      <c r="G27" s="247" t="s">
        <v>1513</v>
      </c>
    </row>
    <row r="28" spans="1:7" s="214" customFormat="1" ht="13.5" customHeight="1">
      <c r="A28" s="780" t="s">
        <v>346</v>
      </c>
      <c r="B28" s="248" t="s">
        <v>1514</v>
      </c>
      <c r="C28" s="249">
        <f ca="1">ROUND((C5+C19+C20)*F27*'数据-取费表'!B21/'数据-取费表'!B20,0)</f>
        <v>228</v>
      </c>
      <c r="D28" s="235"/>
      <c r="E28" s="236"/>
      <c r="F28" s="246"/>
      <c r="G28" s="247"/>
    </row>
    <row r="29" spans="1:7" s="214" customFormat="1" ht="13.5" customHeight="1">
      <c r="A29" s="780" t="s">
        <v>347</v>
      </c>
      <c r="B29" s="248" t="s">
        <v>1515</v>
      </c>
      <c r="C29" s="238">
        <f ca="1">ROUND(C21*F27*'数据-取费表'!B21/'数据-取费表'!B20,4)</f>
        <v>2E-3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2789</v>
      </c>
      <c r="D31" s="230"/>
      <c r="E31" s="211"/>
      <c r="F31" s="250"/>
      <c r="G31" s="234" t="s">
        <v>1520</v>
      </c>
    </row>
    <row r="32" spans="1:7" s="208" customFormat="1" ht="16.2">
      <c r="A32" s="252" t="s">
        <v>1521</v>
      </c>
      <c r="B32" s="253"/>
      <c r="C32" s="253"/>
      <c r="D32" s="253"/>
      <c r="E32" s="253"/>
      <c r="F32" s="253"/>
      <c r="G32" s="254"/>
    </row>
    <row r="33" spans="1:7" s="214" customFormat="1" ht="13.5" customHeight="1">
      <c r="A33" s="255" t="s">
        <v>337</v>
      </c>
      <c r="B33" s="210" t="s">
        <v>1522</v>
      </c>
      <c r="C33" s="256">
        <f ca="1">SUM(C34:C38)</f>
        <v>3028</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2705</v>
      </c>
      <c r="D34" s="217"/>
      <c r="E34" s="220"/>
      <c r="F34" s="257">
        <f ca="1">IF('数据-取费表'!B24=0,1,IF(B1="",'数据-取费表'!N16,INDIRECT("'数据-取费表'!n"&amp;$G$1)))</f>
        <v>1</v>
      </c>
      <c r="G34" s="219" t="s">
        <v>1524</v>
      </c>
    </row>
    <row r="35" spans="1:7" ht="13.5" customHeight="1">
      <c r="A35" s="780" t="s">
        <v>351</v>
      </c>
      <c r="B35" s="215" t="s">
        <v>1525</v>
      </c>
      <c r="C35" s="220">
        <f ca="1">ROUND(C34*F35,0)</f>
        <v>81</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201</v>
      </c>
      <c r="D37" s="217">
        <f ca="1">D19</f>
        <v>10052.84</v>
      </c>
      <c r="E37" s="249">
        <f>'数据-取费表'!B35</f>
        <v>200</v>
      </c>
      <c r="F37" s="259"/>
      <c r="G37" s="261" t="s">
        <v>1530</v>
      </c>
    </row>
    <row r="38" spans="1:7" ht="13.5" customHeight="1">
      <c r="A38" s="780" t="s">
        <v>354</v>
      </c>
      <c r="B38" s="215" t="s">
        <v>1531</v>
      </c>
      <c r="C38" s="220">
        <f ca="1">ROUND(C34*F38,0)</f>
        <v>41</v>
      </c>
      <c r="D38" s="220"/>
      <c r="E38" s="220"/>
      <c r="F38" s="259">
        <f>'数据-取费表'!B36</f>
        <v>1.4999999999999999E-2</v>
      </c>
      <c r="G38" s="219" t="s">
        <v>1526</v>
      </c>
    </row>
    <row r="39" spans="1:7" s="214" customFormat="1" ht="13.5" customHeight="1">
      <c r="A39" s="255" t="s">
        <v>1532</v>
      </c>
      <c r="B39" s="210" t="s">
        <v>1533</v>
      </c>
      <c r="C39" s="232">
        <f ca="1">ROUND(C33*F20,0)</f>
        <v>61</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53</v>
      </c>
      <c r="D41" s="235">
        <f ca="1">C44</f>
        <v>2.9999999999999997E-4</v>
      </c>
      <c r="E41" s="236" t="s">
        <v>1537</v>
      </c>
      <c r="F41" s="237">
        <f ca="1">F22</f>
        <v>3.4500000000000003E-2</v>
      </c>
      <c r="G41" s="234" t="str">
        <f>IF('数据-取费表'!B22&lt;=1,"单利计息","复利计息")</f>
        <v>单利计息</v>
      </c>
    </row>
    <row r="42" spans="1:7" ht="13.5" customHeight="1">
      <c r="A42" s="780" t="s">
        <v>346</v>
      </c>
      <c r="B42" s="215" t="s">
        <v>1541</v>
      </c>
      <c r="C42" s="238">
        <f ca="1">ROUND(IF('数据-取费表'!B22&lt;=1,C33*F22*'数据-取费表'!B21/2,C33*(POWER((1+F22),'数据-取费表'!B21/2)-1)),0)</f>
        <v>52</v>
      </c>
      <c r="D42" s="238"/>
      <c r="E42" s="238"/>
      <c r="F42" s="239"/>
      <c r="G42" s="3637" t="s">
        <v>1542</v>
      </c>
    </row>
    <row r="43" spans="1:7" ht="13.5" customHeight="1">
      <c r="A43" s="780" t="s">
        <v>347</v>
      </c>
      <c r="B43" s="215" t="s">
        <v>1543</v>
      </c>
      <c r="C43" s="238">
        <f ca="1">ROUND(IF('数据-取费表'!B22&lt;=1,C39*F22*'数据-取费表'!B21/2,C39*(POWER((1+F22),'数据-取费表'!B21/2)-1)),0)</f>
        <v>1</v>
      </c>
      <c r="D43" s="238"/>
      <c r="E43" s="238"/>
      <c r="F43" s="239"/>
      <c r="G43" s="3638"/>
    </row>
    <row r="44" spans="1:7" ht="13.5" customHeight="1">
      <c r="A44" s="780" t="s">
        <v>348</v>
      </c>
      <c r="B44" s="215" t="s">
        <v>1544</v>
      </c>
      <c r="C44" s="238">
        <f ca="1">ROUND(IF('数据-取费表'!B22&lt;=1,C40*F22*'数据-取费表'!B21/2,C40*(POWER((1+F22),'数据-取费表'!B21/2)-1)),4)</f>
        <v>2.9999999999999997E-4</v>
      </c>
      <c r="D44" s="238"/>
      <c r="E44" s="238"/>
      <c r="F44" s="239"/>
      <c r="G44" s="3639"/>
    </row>
    <row r="45" spans="1:7" s="214" customFormat="1" ht="13.5" customHeight="1">
      <c r="A45" s="255" t="s">
        <v>1545</v>
      </c>
      <c r="B45" s="244" t="s">
        <v>1511</v>
      </c>
      <c r="C45" s="245">
        <f ca="1">C46</f>
        <v>309</v>
      </c>
      <c r="D45" s="235">
        <f ca="1">C47</f>
        <v>2E-3</v>
      </c>
      <c r="E45" s="236" t="s">
        <v>1537</v>
      </c>
      <c r="F45" s="246">
        <f ca="1">F27</f>
        <v>0.1</v>
      </c>
      <c r="G45" s="247" t="s">
        <v>1546</v>
      </c>
    </row>
    <row r="46" spans="1:7" s="214" customFormat="1" ht="13.5" customHeight="1">
      <c r="A46" s="780" t="s">
        <v>346</v>
      </c>
      <c r="B46" s="248" t="s">
        <v>1547</v>
      </c>
      <c r="C46" s="249">
        <f ca="1">ROUND((C33+C39)*F27,0)</f>
        <v>309</v>
      </c>
      <c r="D46" s="263"/>
      <c r="E46" s="236"/>
      <c r="F46" s="246"/>
      <c r="G46" s="247"/>
    </row>
    <row r="47" spans="1:7" s="214" customFormat="1" ht="13.5" customHeight="1">
      <c r="A47" s="780" t="s">
        <v>347</v>
      </c>
      <c r="B47" s="248" t="s">
        <v>1548</v>
      </c>
      <c r="C47" s="238">
        <f ca="1">ROUND(C40*F27,4)</f>
        <v>2E-3</v>
      </c>
      <c r="D47" s="263"/>
      <c r="E47" s="236"/>
      <c r="F47" s="246"/>
      <c r="G47" s="247"/>
    </row>
    <row r="48" spans="1:7" s="214" customFormat="1" ht="13.5" customHeight="1">
      <c r="A48" s="255" t="s">
        <v>1510</v>
      </c>
      <c r="B48" s="210" t="s">
        <v>1549</v>
      </c>
      <c r="C48" s="1327">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3730</v>
      </c>
      <c r="D49" s="232"/>
      <c r="E49" s="232"/>
      <c r="F49" s="264"/>
      <c r="G49" s="234" t="s">
        <v>1552</v>
      </c>
    </row>
    <row r="50" spans="1:7" s="258" customFormat="1" ht="24">
      <c r="A50" s="255" t="s">
        <v>1553</v>
      </c>
      <c r="B50" s="210" t="s">
        <v>1554</v>
      </c>
      <c r="C50" s="232"/>
      <c r="D50" s="232"/>
      <c r="E50" s="232"/>
      <c r="F50" s="264">
        <f>IF('数据-取费表'!B24=0,'数据-取费表'!N16,1)</f>
        <v>0.74</v>
      </c>
      <c r="G50" s="247" t="s">
        <v>1555</v>
      </c>
    </row>
    <row r="51" spans="1:7" ht="16.5" customHeight="1">
      <c r="A51" s="255" t="s">
        <v>1556</v>
      </c>
      <c r="B51" s="210" t="s">
        <v>1557</v>
      </c>
      <c r="C51" s="232">
        <f ca="1">ROUND(C49*F50,0)</f>
        <v>2760</v>
      </c>
      <c r="D51" s="232"/>
      <c r="E51" s="232"/>
      <c r="F51" s="264"/>
      <c r="G51" s="234" t="s">
        <v>1558</v>
      </c>
    </row>
    <row r="52" spans="1:7" s="208" customFormat="1" ht="16.8" thickBot="1">
      <c r="A52" s="265" t="s">
        <v>1559</v>
      </c>
      <c r="B52" s="266"/>
      <c r="C52" s="267">
        <f ca="1">C31+C51</f>
        <v>5549</v>
      </c>
      <c r="D52" s="266"/>
      <c r="E52" s="266"/>
      <c r="F52" s="266"/>
      <c r="G52" s="268"/>
    </row>
    <row r="55" spans="1:7" ht="15">
      <c r="B55" s="270" t="s">
        <v>1560</v>
      </c>
      <c r="C55" s="271"/>
    </row>
    <row r="56" spans="1:7">
      <c r="B56" s="273" t="s">
        <v>802</v>
      </c>
      <c r="C56" s="275">
        <f ca="1">1-C57</f>
        <v>0.503</v>
      </c>
    </row>
    <row r="57" spans="1:7">
      <c r="B57" s="273" t="s">
        <v>803</v>
      </c>
      <c r="C57" s="274">
        <f ca="1">ROUND(C51/C52,3)</f>
        <v>0.497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N63" sqref="N63"/>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23">
        <f ca="1">ROUND(IF(D2="——",C52/10000,C52/10000-E2),4)</f>
        <v>3261.3919000000001</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3244</v>
      </c>
      <c r="C3" s="199" t="s">
        <v>1463</v>
      </c>
      <c r="D3" s="199"/>
      <c r="E3" s="199"/>
      <c r="F3" s="199"/>
      <c r="G3" s="199"/>
    </row>
    <row r="4" spans="1:8" s="208" customFormat="1" ht="16.2">
      <c r="A4" s="205" t="s">
        <v>1464</v>
      </c>
      <c r="B4" s="206"/>
      <c r="C4" s="206"/>
      <c r="D4" s="206"/>
      <c r="E4" s="206"/>
      <c r="F4" s="206"/>
      <c r="G4" s="207"/>
    </row>
    <row r="5" spans="1:8" s="214" customFormat="1" ht="13.5" customHeight="1">
      <c r="A5" s="255" t="s">
        <v>1465</v>
      </c>
      <c r="B5" s="210" t="s">
        <v>1466</v>
      </c>
      <c r="C5" s="211">
        <f ca="1">C6+C7+C8</f>
        <v>2010568</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2010568</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1478</v>
      </c>
      <c r="C10" s="225">
        <f ca="1">ROUND(D10*E10,0)</f>
        <v>2010568</v>
      </c>
      <c r="D10" s="845">
        <f ca="1">IF(B1="",'数据-汇总表'!E6,IF(INDIRECT("'数据-取费表'!c"&amp;$G$1)="住宅",INDIRECT("'数据-取费表'!s"&amp;$G$1),INDIRECT("'数据-取费表'!k"&amp;$G$1)+INDIRECT("'数据-取费表'!s"&amp;$G$1)))</f>
        <v>10052.84</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2010568</v>
      </c>
      <c r="D19" s="849">
        <f ca="1">D9+D10</f>
        <v>10052.84</v>
      </c>
      <c r="E19" s="211">
        <f>'数据-取费表'!B31</f>
        <v>200</v>
      </c>
      <c r="F19" s="231"/>
      <c r="G19" s="1856"/>
    </row>
    <row r="20" spans="1:7" s="214" customFormat="1" ht="13.5" customHeight="1">
      <c r="A20" s="255" t="s">
        <v>1572</v>
      </c>
      <c r="B20" s="210" t="s">
        <v>1573</v>
      </c>
      <c r="C20" s="232">
        <f ca="1">ROUND((C5+C19)*F20,0)</f>
        <v>80423</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140117</v>
      </c>
      <c r="D22" s="235">
        <f ca="1">C26</f>
        <v>2.9999999999999997E-4</v>
      </c>
      <c r="E22" s="236" t="s">
        <v>1577</v>
      </c>
      <c r="F22" s="237">
        <f ca="1">'数据-取费表'!B40</f>
        <v>3.4500000000000003E-2</v>
      </c>
      <c r="G22" s="234" t="str">
        <f>IF('数据-取费表'!B22&lt;=1,"单利计息","复利计息")</f>
        <v>单利计息</v>
      </c>
    </row>
    <row r="23" spans="1:7" s="214" customFormat="1" ht="13.5" customHeight="1">
      <c r="A23" s="780" t="s">
        <v>1470</v>
      </c>
      <c r="B23" s="215" t="s">
        <v>1581</v>
      </c>
      <c r="C23" s="1128">
        <f ca="1">ROUND(IF('数据-取费表'!B22&lt;=1,C5*F22*'数据-取费表'!B22,C5*(POWER((1+F22),'数据-取费表'!B22)-1)),0)</f>
        <v>69365</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69365</v>
      </c>
      <c r="D24" s="238"/>
      <c r="E24" s="238"/>
      <c r="F24" s="239"/>
      <c r="G24" s="240" t="s">
        <v>1584</v>
      </c>
    </row>
    <row r="25" spans="1:7" s="214" customFormat="1" ht="24">
      <c r="A25" s="780" t="s">
        <v>1474</v>
      </c>
      <c r="B25" s="215" t="s">
        <v>1585</v>
      </c>
      <c r="C25" s="1128">
        <f ca="1">ROUND(IF('数据-取费表'!B22&lt;=1,C20*F22*'数据-取费表'!B22/2,C20*(POWER((1+F22),'数据-取费表'!B22/2)-1)),0)</f>
        <v>1387</v>
      </c>
      <c r="D25" s="238"/>
      <c r="E25" s="241"/>
      <c r="F25" s="239"/>
      <c r="G25" s="242" t="s">
        <v>1586</v>
      </c>
    </row>
    <row r="26" spans="1:7" s="214" customFormat="1">
      <c r="A26" s="780" t="s">
        <v>350</v>
      </c>
      <c r="B26" s="215" t="s">
        <v>1509</v>
      </c>
      <c r="C26" s="238">
        <f ca="1">ROUND(IF('数据-取费表'!B22&lt;=1,F21*F22*'数据-取费表'!B22/2,F21*(POWER((1+F22),'数据-取费表'!B22/2)-1)),4)</f>
        <v>2.9999999999999997E-4</v>
      </c>
      <c r="D26" s="238"/>
      <c r="E26" s="241"/>
      <c r="F26" s="239"/>
      <c r="G26" s="243"/>
    </row>
    <row r="27" spans="1:7" s="214" customFormat="1" ht="26.4">
      <c r="A27" s="255" t="s">
        <v>1510</v>
      </c>
      <c r="B27" s="244" t="s">
        <v>1511</v>
      </c>
      <c r="C27" s="245">
        <f ca="1">C28</f>
        <v>410156</v>
      </c>
      <c r="D27" s="235">
        <f ca="1">C29</f>
        <v>2E-3</v>
      </c>
      <c r="E27" s="236" t="s">
        <v>1512</v>
      </c>
      <c r="F27" s="246">
        <f ca="1">IF(B1="",'数据-取费表'!Q16,INDIRECT("'数据-取费表'!q"&amp;$G$1))</f>
        <v>0.1</v>
      </c>
      <c r="G27" s="247" t="s">
        <v>1513</v>
      </c>
    </row>
    <row r="28" spans="1:7" s="214" customFormat="1" ht="13.5" customHeight="1">
      <c r="A28" s="780" t="s">
        <v>346</v>
      </c>
      <c r="B28" s="248" t="s">
        <v>1514</v>
      </c>
      <c r="C28" s="249">
        <f ca="1">ROUND((C5+C19+C20)*F27,0)</f>
        <v>410156</v>
      </c>
      <c r="D28" s="235"/>
      <c r="E28" s="236"/>
      <c r="F28" s="246"/>
      <c r="G28" s="247"/>
    </row>
    <row r="29" spans="1:7" s="214" customFormat="1" ht="13.5" customHeight="1">
      <c r="A29" s="780" t="s">
        <v>347</v>
      </c>
      <c r="B29" s="248" t="s">
        <v>1515</v>
      </c>
      <c r="C29" s="238">
        <f ca="1">ROUND(C21*F27,4)</f>
        <v>2E-3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5027377</v>
      </c>
      <c r="D31" s="230"/>
      <c r="E31" s="211"/>
      <c r="F31" s="250"/>
      <c r="G31" s="234" t="s">
        <v>1520</v>
      </c>
    </row>
    <row r="32" spans="1:7" s="208" customFormat="1" ht="16.2">
      <c r="A32" s="252" t="s">
        <v>1587</v>
      </c>
      <c r="B32" s="253"/>
      <c r="C32" s="253"/>
      <c r="D32" s="253"/>
      <c r="E32" s="253"/>
      <c r="F32" s="253"/>
      <c r="G32" s="254"/>
    </row>
    <row r="33" spans="1:7" s="214" customFormat="1" ht="13.5" customHeight="1">
      <c r="A33" s="255" t="s">
        <v>337</v>
      </c>
      <c r="B33" s="210" t="s">
        <v>1588</v>
      </c>
      <c r="C33" s="256">
        <f ca="1">SUM(C34:C38)</f>
        <v>30268965</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27041528</v>
      </c>
      <c r="D34" s="217"/>
      <c r="E34" s="220"/>
      <c r="F34" s="257"/>
      <c r="G34" s="219"/>
    </row>
    <row r="35" spans="1:7" ht="13.5" customHeight="1">
      <c r="A35" s="780" t="s">
        <v>351</v>
      </c>
      <c r="B35" s="215" t="s">
        <v>1525</v>
      </c>
      <c r="C35" s="220">
        <f ca="1">ROUND(C34*F35,0)</f>
        <v>811246</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2010568</v>
      </c>
      <c r="D37" s="217">
        <f ca="1">D19</f>
        <v>10052.84</v>
      </c>
      <c r="E37" s="249">
        <f>'数据-取费表'!B35</f>
        <v>200</v>
      </c>
      <c r="F37" s="259"/>
      <c r="G37" s="261"/>
    </row>
    <row r="38" spans="1:7" ht="13.5" customHeight="1">
      <c r="A38" s="780" t="s">
        <v>354</v>
      </c>
      <c r="B38" s="215" t="s">
        <v>1531</v>
      </c>
      <c r="C38" s="220">
        <f ca="1">ROUND(C34*F38,0)</f>
        <v>405623</v>
      </c>
      <c r="D38" s="220"/>
      <c r="E38" s="220"/>
      <c r="F38" s="259">
        <f>'数据-取费表'!B36</f>
        <v>1.4999999999999999E-2</v>
      </c>
      <c r="G38" s="219" t="s">
        <v>1526</v>
      </c>
    </row>
    <row r="39" spans="1:7" s="214" customFormat="1" ht="13.5" customHeight="1">
      <c r="A39" s="255" t="s">
        <v>1532</v>
      </c>
      <c r="B39" s="210" t="s">
        <v>1533</v>
      </c>
      <c r="C39" s="232">
        <f ca="1">ROUND(C33*F20,0)</f>
        <v>605379</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532583</v>
      </c>
      <c r="D41" s="235">
        <f ca="1">C44</f>
        <v>2.9999999999999997E-4</v>
      </c>
      <c r="E41" s="236" t="s">
        <v>1537</v>
      </c>
      <c r="F41" s="237">
        <f ca="1">F22</f>
        <v>3.4500000000000003E-2</v>
      </c>
      <c r="G41" s="234" t="str">
        <f>IF('数据-取费表'!B22&lt;=1,"单利计息","复利计息")</f>
        <v>单利计息</v>
      </c>
    </row>
    <row r="42" spans="1:7" ht="13.5" customHeight="1">
      <c r="A42" s="780" t="s">
        <v>346</v>
      </c>
      <c r="B42" s="215" t="s">
        <v>1541</v>
      </c>
      <c r="C42" s="238">
        <f ca="1">ROUND(IF('数据-取费表'!B22&lt;=1,C33*F22*'数据-取费表'!B20/2,C33*(POWER((1+F22),'数据-取费表'!B20/2)-1)),0)</f>
        <v>522140</v>
      </c>
      <c r="D42" s="238"/>
      <c r="E42" s="238"/>
      <c r="F42" s="239"/>
      <c r="G42" s="3637" t="s">
        <v>1589</v>
      </c>
    </row>
    <row r="43" spans="1:7" ht="13.5" customHeight="1">
      <c r="A43" s="780" t="s">
        <v>347</v>
      </c>
      <c r="B43" s="215" t="s">
        <v>1543</v>
      </c>
      <c r="C43" s="238">
        <f ca="1">ROUND(IF('数据-取费表'!B22&lt;=1,C39*F22*'数据-取费表'!B20/2,C39*(POWER((1+F22),'数据-取费表'!B20/2)-1)),0)</f>
        <v>10443</v>
      </c>
      <c r="D43" s="238"/>
      <c r="E43" s="238"/>
      <c r="F43" s="239"/>
      <c r="G43" s="3638"/>
    </row>
    <row r="44" spans="1:7" ht="13.5" customHeight="1">
      <c r="A44" s="780" t="s">
        <v>348</v>
      </c>
      <c r="B44" s="215" t="s">
        <v>1544</v>
      </c>
      <c r="C44" s="238">
        <f ca="1">ROUND(IF('数据-取费表'!B22&lt;=1,C40*F22*'数据-取费表'!B20/2,C40*(POWER((1+F22),'数据-取费表'!B20/2)-1)),4)</f>
        <v>2.9999999999999997E-4</v>
      </c>
      <c r="D44" s="238"/>
      <c r="E44" s="238"/>
      <c r="F44" s="239"/>
      <c r="G44" s="3639"/>
    </row>
    <row r="45" spans="1:7" s="214" customFormat="1" ht="13.5" customHeight="1">
      <c r="A45" s="255" t="s">
        <v>1545</v>
      </c>
      <c r="B45" s="244" t="s">
        <v>1511</v>
      </c>
      <c r="C45" s="245">
        <f ca="1">C46</f>
        <v>3087434</v>
      </c>
      <c r="D45" s="235">
        <f ca="1">C47</f>
        <v>2E-3</v>
      </c>
      <c r="E45" s="236" t="s">
        <v>1537</v>
      </c>
      <c r="F45" s="246">
        <f ca="1">F27</f>
        <v>0.1</v>
      </c>
      <c r="G45" s="247" t="s">
        <v>1546</v>
      </c>
    </row>
    <row r="46" spans="1:7" s="214" customFormat="1" ht="13.5" customHeight="1">
      <c r="A46" s="780" t="s">
        <v>346</v>
      </c>
      <c r="B46" s="248" t="s">
        <v>1547</v>
      </c>
      <c r="C46" s="249">
        <f ca="1">ROUND((C33+C39)*F27,0)</f>
        <v>3087434</v>
      </c>
      <c r="D46" s="263"/>
      <c r="E46" s="236"/>
      <c r="F46" s="246"/>
      <c r="G46" s="247"/>
    </row>
    <row r="47" spans="1:7" s="214" customFormat="1" ht="13.5" customHeight="1">
      <c r="A47" s="780" t="s">
        <v>347</v>
      </c>
      <c r="B47" s="248" t="s">
        <v>1548</v>
      </c>
      <c r="C47" s="238">
        <f ca="1">ROUND(C40*F27,4)</f>
        <v>2E-3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37279111</v>
      </c>
      <c r="D49" s="232"/>
      <c r="E49" s="232"/>
      <c r="F49" s="264"/>
      <c r="G49" s="234" t="s">
        <v>1552</v>
      </c>
    </row>
    <row r="50" spans="1:7" s="258" customFormat="1">
      <c r="A50" s="255" t="s">
        <v>1553</v>
      </c>
      <c r="B50" s="210" t="s">
        <v>1554</v>
      </c>
      <c r="C50" s="232"/>
      <c r="D50" s="232"/>
      <c r="E50" s="232"/>
      <c r="F50" s="264">
        <f>IF('数据-取费表'!B24=0,'数据-取费表'!N16,1)</f>
        <v>0.74</v>
      </c>
      <c r="G50" s="247"/>
    </row>
    <row r="51" spans="1:7" ht="16.5" customHeight="1">
      <c r="A51" s="255" t="s">
        <v>1556</v>
      </c>
      <c r="B51" s="210" t="s">
        <v>1591</v>
      </c>
      <c r="C51" s="232">
        <f ca="1">ROUND(C49*F50,0)</f>
        <v>27586542</v>
      </c>
      <c r="D51" s="232"/>
      <c r="E51" s="232"/>
      <c r="F51" s="264"/>
      <c r="G51" s="234" t="s">
        <v>1558</v>
      </c>
    </row>
    <row r="52" spans="1:7" s="208" customFormat="1" ht="16.8" thickBot="1">
      <c r="A52" s="265" t="s">
        <v>1559</v>
      </c>
      <c r="B52" s="266"/>
      <c r="C52" s="267">
        <f ca="1">C31+C51</f>
        <v>32613919</v>
      </c>
      <c r="D52" s="266"/>
      <c r="E52" s="266"/>
      <c r="F52" s="266"/>
      <c r="G52" s="268"/>
    </row>
    <row r="55" spans="1:7" ht="15">
      <c r="B55" s="270" t="s">
        <v>1560</v>
      </c>
      <c r="C55" s="271"/>
    </row>
    <row r="56" spans="1:7">
      <c r="B56" s="273" t="s">
        <v>802</v>
      </c>
      <c r="C56" s="275">
        <f ca="1">1-C57</f>
        <v>0.15400000000000003</v>
      </c>
    </row>
    <row r="57" spans="1:7">
      <c r="B57" s="273" t="s">
        <v>803</v>
      </c>
      <c r="C57" s="274">
        <f ca="1">ROUND(C51/C52,3)</f>
        <v>0.84599999999999997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N63" sqref="N63"/>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1592</v>
      </c>
      <c r="B1" s="1191"/>
      <c r="C1" s="1192"/>
      <c r="D1" s="1190"/>
      <c r="E1" s="2805"/>
      <c r="F1" s="2805"/>
      <c r="G1" s="2670"/>
      <c r="H1" s="2805"/>
      <c r="I1" s="2805"/>
      <c r="J1" s="2805"/>
      <c r="K1" s="2806">
        <f>MATCH(C1,'数据-取费表'!A6:A16,0)+5</f>
        <v>7</v>
      </c>
    </row>
    <row r="2" spans="1:33" ht="18" customHeight="1">
      <c r="A2" s="201" t="s">
        <v>1460</v>
      </c>
      <c r="B2" s="204">
        <f ca="1">C32</f>
        <v>0</v>
      </c>
      <c r="C2" s="276" t="s">
        <v>1593</v>
      </c>
      <c r="D2" s="276"/>
      <c r="E2" s="2805"/>
      <c r="F2" s="2805"/>
      <c r="G2" s="2805"/>
      <c r="H2" s="2805"/>
      <c r="I2" s="2805"/>
      <c r="J2" s="2805"/>
      <c r="K2" s="2805"/>
    </row>
    <row r="3" spans="1:33" ht="18" customHeight="1" thickBot="1">
      <c r="A3" s="203" t="s">
        <v>1462</v>
      </c>
      <c r="B3" s="204">
        <f ca="1">ROUND(B2*10000/IF(C1="",'数据-汇总表'!E3,INDIRECT("'数据-取费表'!K"&amp;$K$1)),0)</f>
        <v>0</v>
      </c>
      <c r="C3" s="276" t="s">
        <v>1594</v>
      </c>
      <c r="D3" s="276"/>
      <c r="E3" s="2805"/>
      <c r="F3" s="2805"/>
      <c r="G3" s="2805"/>
      <c r="H3" s="2805"/>
      <c r="I3" s="2805"/>
      <c r="J3" s="2805"/>
      <c r="K3" s="2805"/>
    </row>
    <row r="4" spans="1:33" s="785" customFormat="1" ht="16.5" customHeight="1">
      <c r="A4" s="782" t="s">
        <v>1595</v>
      </c>
      <c r="B4" s="783"/>
      <c r="C4" s="824">
        <f>SUM(C8:K8)</f>
        <v>0</v>
      </c>
      <c r="D4" s="783"/>
      <c r="E4" s="783"/>
      <c r="F4" s="783"/>
      <c r="G4" s="783"/>
      <c r="H4" s="783"/>
      <c r="I4" s="783"/>
      <c r="J4" s="783"/>
      <c r="K4" s="784"/>
    </row>
    <row r="5" spans="1:33" s="789" customFormat="1" ht="14.4">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10052.84</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10052.84</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1625</v>
      </c>
      <c r="C20" s="21">
        <f ca="1">ROUND(D20*E20/10000,0)</f>
        <v>201</v>
      </c>
      <c r="D20" s="846">
        <f ca="1">IF(C1="",'数据-汇总表'!E6,IF(INDIRECT("'数据-取费表'!c"&amp;$K$1)="住宅",INDIRECT("'数据-取费表'!s"&amp;$K$1),INDIRECT("'数据-取费表'!k"&amp;$K$1)+INDIRECT("'数据-取费表'!s"&amp;$K$1)))</f>
        <v>10052.84</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5.5000000000000007E-2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70" zoomScaleNormal="70" zoomScaleSheetLayoutView="70" workbookViewId="0">
      <selection activeCell="E50" sqref="E5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v>
      </c>
      <c r="D1" s="1362" t="s">
        <v>43</v>
      </c>
      <c r="E1" s="1363" t="s">
        <v>678</v>
      </c>
      <c r="F1" s="1062">
        <f ca="1">J53</f>
        <v>28.81</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5088</v>
      </c>
      <c r="C2" s="1387" t="s">
        <v>805</v>
      </c>
      <c r="D2" s="1387"/>
      <c r="E2" s="1388"/>
      <c r="F2" s="1389"/>
      <c r="G2" s="2705"/>
      <c r="H2" s="2694"/>
      <c r="I2" s="2694"/>
      <c r="J2" s="2694"/>
      <c r="K2" s="2695"/>
      <c r="L2" s="2694"/>
      <c r="M2" s="2694"/>
    </row>
    <row r="3" spans="1:37" ht="18" customHeight="1" thickBot="1">
      <c r="A3" s="1390" t="s">
        <v>806</v>
      </c>
      <c r="B3" s="1391">
        <f ca="1">IF(ISERROR(B2*10000/F43),0,ROUND(B2*10000/F43,0))</f>
        <v>5165</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388</v>
      </c>
      <c r="D5" s="1364" t="s">
        <v>693</v>
      </c>
      <c r="E5" s="1071"/>
      <c r="F5" s="1072"/>
      <c r="G5" s="1384"/>
      <c r="H5" s="299">
        <v>1</v>
      </c>
      <c r="I5" s="300" t="s">
        <v>692</v>
      </c>
      <c r="J5" s="1070">
        <f ca="1">J6+J10+J12</f>
        <v>0</v>
      </c>
      <c r="K5" s="1364" t="s">
        <v>693</v>
      </c>
      <c r="L5" s="1071"/>
      <c r="M5" s="1072"/>
    </row>
    <row r="6" spans="1:37" ht="18" customHeight="1">
      <c r="A6" s="1069" t="s">
        <v>398</v>
      </c>
      <c r="B6" s="3642" t="s">
        <v>694</v>
      </c>
      <c r="C6" s="1074">
        <f ca="1">ROUND(F6*F8*F7*(1-F9)/10000,0)</f>
        <v>388</v>
      </c>
      <c r="D6" s="155" t="s">
        <v>2107</v>
      </c>
      <c r="E6" s="302" t="s">
        <v>696</v>
      </c>
      <c r="F6" s="303">
        <f ca="1">INDIRECT("'数据-取费表'!u"&amp;$G$1)</f>
        <v>1.2</v>
      </c>
      <c r="G6" s="1384"/>
      <c r="H6" s="1069" t="s">
        <v>398</v>
      </c>
      <c r="I6" s="3642" t="s">
        <v>694</v>
      </c>
      <c r="J6" s="301">
        <f ca="1">ROUND(M6*M8*M7*(1-M9)/10000,0)</f>
        <v>0</v>
      </c>
      <c r="K6" s="155" t="s">
        <v>2106</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9850.5600000000013</v>
      </c>
      <c r="G7" s="1384"/>
      <c r="H7" s="304"/>
      <c r="I7" s="3643"/>
      <c r="J7" s="306"/>
      <c r="K7" s="307"/>
      <c r="L7" s="302" t="s">
        <v>697</v>
      </c>
      <c r="M7" s="303">
        <f ca="1">F7</f>
        <v>9850.5600000000013</v>
      </c>
    </row>
    <row r="8" spans="1:37" ht="18" customHeight="1">
      <c r="A8" s="304"/>
      <c r="B8" s="3643"/>
      <c r="C8" s="306"/>
      <c r="D8" s="307"/>
      <c r="E8" s="302" t="s">
        <v>698</v>
      </c>
      <c r="F8" s="303">
        <f ca="1">INDIRECT("'数据-取费表'!ai"&amp;$G$1)</f>
        <v>365</v>
      </c>
      <c r="G8" s="1384"/>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3412</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2760</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2705</v>
      </c>
      <c r="D14" s="1345" t="s">
        <v>708</v>
      </c>
      <c r="E14" s="1342"/>
      <c r="F14" s="319"/>
      <c r="G14" s="1384"/>
      <c r="H14" s="982" t="s">
        <v>398</v>
      </c>
      <c r="I14" s="302" t="s">
        <v>709</v>
      </c>
      <c r="J14" s="21">
        <f ca="1">C29</f>
        <v>3730</v>
      </c>
      <c r="K14" s="12"/>
      <c r="L14" s="807"/>
      <c r="M14" s="808"/>
    </row>
    <row r="15" spans="1:37" s="1397" customFormat="1" ht="18" customHeight="1" thickBot="1">
      <c r="A15" s="982" t="s">
        <v>399</v>
      </c>
      <c r="B15" s="302" t="s">
        <v>710</v>
      </c>
      <c r="C15" s="21">
        <f ca="1">ROUND(C14*F15,0)</f>
        <v>81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41</v>
      </c>
      <c r="K16" s="1087" t="s">
        <v>715</v>
      </c>
      <c r="L16" s="1088"/>
      <c r="M16" s="1072"/>
    </row>
    <row r="17" spans="1:37" s="1397" customFormat="1" ht="18" customHeight="1">
      <c r="A17" s="982" t="s">
        <v>681</v>
      </c>
      <c r="B17" s="302" t="s">
        <v>716</v>
      </c>
      <c r="C17" s="21">
        <f ca="1">ROUND(F17*(F43+INDIRECT("'数据-取费表'!S"&amp;$G$1))/10000,0)</f>
        <v>201</v>
      </c>
      <c r="D17" s="302" t="s">
        <v>717</v>
      </c>
      <c r="E17" s="302" t="s">
        <v>718</v>
      </c>
      <c r="F17" s="23">
        <f>'数据-取费表'!B35</f>
        <v>200</v>
      </c>
      <c r="G17" s="1396"/>
      <c r="H17" s="982" t="s">
        <v>398</v>
      </c>
      <c r="I17" s="302" t="s">
        <v>719</v>
      </c>
      <c r="J17" s="2316">
        <f ca="1">ROUND(IF(AND(项目基本情况!B11="自然人",项目基本情况!B10="北京市"),J6*M17/(1+'数据-取费表'!C42),J18+J19+J20),2)</f>
        <v>3.5</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3028</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61</v>
      </c>
      <c r="D20" s="323" t="s">
        <v>729</v>
      </c>
      <c r="E20" s="302" t="s">
        <v>712</v>
      </c>
      <c r="F20" s="322">
        <f>'数据-取费表'!B37</f>
        <v>0.02</v>
      </c>
      <c r="G20" s="1396"/>
      <c r="H20" s="982" t="s">
        <v>680</v>
      </c>
      <c r="I20" s="155" t="s">
        <v>730</v>
      </c>
      <c r="J20" s="22">
        <f ca="1">ROUND(M20*M21/10000,2)</f>
        <v>3.5</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23335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37.299999999999997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-41</v>
      </c>
      <c r="K25" s="1095" t="s">
        <v>753</v>
      </c>
      <c r="L25" s="1096"/>
      <c r="M25" s="1097"/>
    </row>
    <row r="26" spans="1:37">
      <c r="A26" s="982" t="s">
        <v>397</v>
      </c>
      <c r="B26" s="302" t="s">
        <v>754</v>
      </c>
      <c r="C26" s="21">
        <f ca="1">ROUND((C19+C20)*F26,0)</f>
        <v>309</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3730</v>
      </c>
      <c r="D29" s="1092"/>
      <c r="E29" s="1090"/>
      <c r="F29" s="1093"/>
      <c r="G29" s="1396"/>
      <c r="H29" s="334" t="s">
        <v>396</v>
      </c>
      <c r="I29" s="335" t="s">
        <v>768</v>
      </c>
      <c r="J29" s="336">
        <f ca="1">ROUND(J26/(1+F40)^F41,0)</f>
        <v>0</v>
      </c>
      <c r="K29" s="337" t="s">
        <v>769</v>
      </c>
      <c r="L29" s="338"/>
      <c r="M29" s="339">
        <f ca="1">INDIRECT("'数据-取费表'!k"&amp;$G$1)</f>
        <v>9850.5600000000013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112</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68.16</v>
      </c>
      <c r="D31" s="1345" t="s">
        <v>720</v>
      </c>
      <c r="E31" s="1344" t="s">
        <v>770</v>
      </c>
      <c r="F31" s="2315" t="str">
        <f>IF(项目基本情况!B11="企业","——",IF(M47="住宅",IF(F6*F7*F8/12/(1+'数据-取费表'!F30)&gt;100000,4%,2.5%),IF(F6*F7*F8/12/(1+'数据-取费表'!F30)&gt;100000,12%,7%)))</f>
        <v>——</v>
      </c>
      <c r="G31" s="1384"/>
      <c r="H31" s="2807" t="s">
        <v>2307</v>
      </c>
      <c r="I31" s="1398"/>
      <c r="J31" s="1399"/>
      <c r="K31" s="2474"/>
      <c r="L31" s="2697"/>
      <c r="M31" s="2698"/>
    </row>
    <row r="32" spans="1:37" ht="18" customHeight="1">
      <c r="A32" s="982" t="s">
        <v>397</v>
      </c>
      <c r="B32" s="302" t="s">
        <v>723</v>
      </c>
      <c r="C32" s="21">
        <f ca="1">IF(项目基本情况!B11="自然人","——",ROUND(C6*F32/(1+'数据-取费表'!C42),2))</f>
        <v>20.32</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44.34</v>
      </c>
      <c r="D33" s="1370" t="s">
        <v>3339</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3.5</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23335</v>
      </c>
      <c r="G35" s="1384"/>
      <c r="H35" s="2696"/>
      <c r="I35" s="1398"/>
      <c r="J35" s="1399"/>
      <c r="K35" s="2700"/>
      <c r="L35" s="2699"/>
      <c r="M35" s="2699"/>
    </row>
    <row r="36" spans="1:18" ht="18" customHeight="1">
      <c r="A36" s="1102" t="s">
        <v>402</v>
      </c>
      <c r="B36" s="302" t="s">
        <v>738</v>
      </c>
      <c r="C36" s="21">
        <f ca="1">ROUND(C29*F36,2)</f>
        <v>37.299999999999997</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ROUND(C13*F37,2)</f>
        <v>2.76</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ROUND(C5*F38,2)</f>
        <v>3.88</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276</v>
      </c>
      <c r="D39" s="1095" t="s">
        <v>773</v>
      </c>
      <c r="E39" s="1096"/>
      <c r="F39" s="1097"/>
      <c r="G39" s="1384"/>
      <c r="H39" s="2699"/>
      <c r="I39" s="1398"/>
      <c r="J39" s="1399"/>
      <c r="K39" s="2703"/>
      <c r="L39" s="2699"/>
      <c r="M39" s="2699"/>
    </row>
    <row r="40" spans="1:18" ht="18" customHeight="1">
      <c r="A40" s="299" t="s">
        <v>395</v>
      </c>
      <c r="B40" s="300" t="s">
        <v>774</v>
      </c>
      <c r="C40" s="301">
        <f ca="1">ROUND(C39*(1-((1+F42)/(1+F40))^F41)/(F40-F42),0)</f>
        <v>4902</v>
      </c>
      <c r="D40" s="324" t="s">
        <v>758</v>
      </c>
      <c r="E40" s="302" t="s">
        <v>759</v>
      </c>
      <c r="F40" s="312">
        <f ca="1">INDIRECT("'数据-取费表'!I"&amp;$G$1)</f>
        <v>5.5E-2</v>
      </c>
      <c r="G40" s="1384"/>
      <c r="H40" s="1461"/>
      <c r="I40" s="1398">
        <f ca="1">C39/C5</f>
        <v>0.71134020618556704</v>
      </c>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28.81</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ROUND(C40*10000/F43,0)</f>
        <v>4976</v>
      </c>
      <c r="D43" s="337" t="s">
        <v>777</v>
      </c>
      <c r="E43" s="338" t="s">
        <v>778</v>
      </c>
      <c r="F43" s="339">
        <f ca="1">INDIRECT("'数据-取费表'!k"&amp;$G$1)</f>
        <v>9850.5600000000013</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f ca="1">C68-C40</f>
        <v>-5531</v>
      </c>
      <c r="D46" s="1406" t="str">
        <f>C2</f>
        <v>万元</v>
      </c>
      <c r="E46" s="1400"/>
      <c r="F46" s="1400"/>
      <c r="I46" s="1407" t="s">
        <v>810</v>
      </c>
      <c r="J46" s="1408"/>
      <c r="K46" s="1409"/>
      <c r="L46" s="1410">
        <f ca="1">IF(M47="住宅",0,IF(L48&gt;J51,L60,J60))</f>
        <v>186</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3414</v>
      </c>
      <c r="K47" s="1416" t="s">
        <v>816</v>
      </c>
      <c r="L47" s="1417">
        <f ca="1">INDIRECT("'数据-取费表'!d"&amp;$G$1)</f>
        <v>50</v>
      </c>
      <c r="M47" s="1380" t="str">
        <f>IF(ISNUMBER(FIND("住宅",C1)),"住宅","非住宅")</f>
        <v>非住宅</v>
      </c>
      <c r="O47" s="1418" t="s">
        <v>403</v>
      </c>
      <c r="P47" s="1419" t="s">
        <v>817</v>
      </c>
      <c r="Q47" s="1420">
        <f ca="1">C40+J29</f>
        <v>4902</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3413</v>
      </c>
      <c r="K48" s="1423" t="s">
        <v>820</v>
      </c>
      <c r="L48" s="1424">
        <f ca="1">INDIRECT("'数据-取费表'!f"&amp;$G$1)</f>
        <v>28.81</v>
      </c>
      <c r="O48" s="1418" t="s">
        <v>404</v>
      </c>
      <c r="P48" s="1419" t="s">
        <v>821</v>
      </c>
      <c r="Q48" s="1420">
        <f ca="1">J60</f>
        <v>186</v>
      </c>
      <c r="R48" s="1420" t="s">
        <v>822</v>
      </c>
    </row>
    <row r="49" spans="1:18" s="1384" customFormat="1" ht="13.8" thickBot="1">
      <c r="A49" s="975" t="s">
        <v>439</v>
      </c>
      <c r="B49" s="1371" t="s">
        <v>779</v>
      </c>
      <c r="C49" s="1114">
        <f ca="1">ROUND(F49*F51*F50*(1-F52)/10000,0)</f>
        <v>0</v>
      </c>
      <c r="D49" s="1055" t="s">
        <v>2108</v>
      </c>
      <c r="E49" s="1372" t="s">
        <v>780</v>
      </c>
      <c r="F49" s="1060"/>
      <c r="G49" s="1425"/>
      <c r="H49" s="723"/>
      <c r="I49" s="1421" t="s">
        <v>823</v>
      </c>
      <c r="J49" s="1426">
        <v>2008</v>
      </c>
      <c r="K49" s="1423" t="s">
        <v>824</v>
      </c>
      <c r="L49" s="1427"/>
      <c r="O49" s="1428" t="s">
        <v>405</v>
      </c>
      <c r="P49" s="1419" t="s">
        <v>825</v>
      </c>
      <c r="Q49" s="1420">
        <f ca="1">C29</f>
        <v>3730</v>
      </c>
      <c r="R49" s="1420" t="s">
        <v>818</v>
      </c>
    </row>
    <row r="50" spans="1:18" s="1384" customFormat="1" ht="13.8" thickBot="1">
      <c r="A50" s="976"/>
      <c r="B50" s="979"/>
      <c r="C50" s="1118"/>
      <c r="D50" s="953"/>
      <c r="E50" s="1056" t="s">
        <v>697</v>
      </c>
      <c r="F50" s="1057">
        <f ca="1">F7</f>
        <v>9850.5600000000013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1472</v>
      </c>
      <c r="M51" s="1436"/>
      <c r="O51" s="1428" t="s">
        <v>407</v>
      </c>
      <c r="P51" s="1419" t="s">
        <v>831</v>
      </c>
      <c r="Q51" s="1431">
        <f>J52</f>
        <v>7.4999999999999997E-2</v>
      </c>
      <c r="R51" s="1420"/>
    </row>
    <row r="52" spans="1:18" s="1384" customFormat="1" ht="13.8" thickBot="1">
      <c r="A52" s="977"/>
      <c r="B52" s="979"/>
      <c r="C52" s="980"/>
      <c r="D52" s="953"/>
      <c r="E52" s="981" t="s">
        <v>699</v>
      </c>
      <c r="F52" s="1054"/>
      <c r="I52" s="1437" t="s">
        <v>832</v>
      </c>
      <c r="J52" s="1438">
        <v>7.4999999999999997E-2</v>
      </c>
      <c r="K52" s="1437" t="s">
        <v>833</v>
      </c>
      <c r="L52" s="1438"/>
      <c r="O52" s="1428" t="s">
        <v>408</v>
      </c>
      <c r="P52" s="1419" t="s">
        <v>834</v>
      </c>
      <c r="Q52" s="1420">
        <f ca="1">J53</f>
        <v>28.81</v>
      </c>
      <c r="R52" s="1420" t="s">
        <v>835</v>
      </c>
    </row>
    <row r="53" spans="1:18" s="1384" customFormat="1" ht="36.6"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28.81</v>
      </c>
      <c r="K53" s="3640" t="s">
        <v>837</v>
      </c>
      <c r="L53" s="3641"/>
      <c r="O53" s="1418" t="s">
        <v>409</v>
      </c>
      <c r="P53" s="1419" t="s">
        <v>838</v>
      </c>
      <c r="Q53" s="1420">
        <f ca="1">Q47+Q48</f>
        <v>5088</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0.27</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2760</v>
      </c>
      <c r="D56" s="1447"/>
      <c r="E56" s="1448"/>
      <c r="F56" s="1440"/>
      <c r="I56" s="1449" t="s">
        <v>842</v>
      </c>
      <c r="J56" s="1450" t="s">
        <v>3383</v>
      </c>
      <c r="K56" s="1421" t="s">
        <v>843</v>
      </c>
      <c r="L56" s="1424" t="str">
        <f ca="1">IF(L48&lt;J51,"——",L48-J53)</f>
        <v>——</v>
      </c>
      <c r="O56" s="1418" t="s">
        <v>403</v>
      </c>
      <c r="P56" s="1419" t="s">
        <v>817</v>
      </c>
      <c r="Q56" s="1420">
        <f ca="1">C40+J29</f>
        <v>4902</v>
      </c>
      <c r="R56" s="1420" t="s">
        <v>818</v>
      </c>
    </row>
    <row r="57" spans="1:18" s="1384" customFormat="1" ht="24.6" thickBot="1">
      <c r="A57" s="1451"/>
      <c r="B57" s="950" t="s">
        <v>767</v>
      </c>
      <c r="C57" s="238">
        <f ca="1">C29</f>
        <v>3730</v>
      </c>
      <c r="D57" s="1452"/>
      <c r="E57" s="1453"/>
      <c r="F57" s="1454"/>
      <c r="I57" s="1455" t="s">
        <v>844</v>
      </c>
      <c r="J57" s="1456">
        <f ca="1">IF(OR(M47="住宅",J51&lt;L48,J56="是"),"——",J51-L48)</f>
        <v>16.190000000000001</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44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1492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186</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3.5</v>
      </c>
      <c r="D62" s="965" t="s">
        <v>786</v>
      </c>
      <c r="E62" s="950" t="s">
        <v>787</v>
      </c>
      <c r="F62" s="325">
        <f t="shared" si="0"/>
        <v>1.5</v>
      </c>
      <c r="I62" s="1462" t="s">
        <v>858</v>
      </c>
      <c r="J62" s="1463" t="s">
        <v>859</v>
      </c>
      <c r="K62" s="1463" t="s">
        <v>860</v>
      </c>
      <c r="L62" s="1463" t="s">
        <v>861</v>
      </c>
      <c r="M62" s="1464" t="s">
        <v>862</v>
      </c>
      <c r="O62" s="1418" t="s">
        <v>409</v>
      </c>
      <c r="P62" s="1419" t="s">
        <v>863</v>
      </c>
      <c r="Q62" s="1420">
        <f ca="1">Q56+Q57</f>
        <v>4902</v>
      </c>
      <c r="R62" s="1420" t="s">
        <v>410</v>
      </c>
    </row>
    <row r="63" spans="1:18" s="1384" customFormat="1" ht="13.8" thickBot="1">
      <c r="A63" s="326"/>
      <c r="B63" s="956"/>
      <c r="C63" s="26"/>
      <c r="D63" s="966"/>
      <c r="E63" s="950" t="s">
        <v>788</v>
      </c>
      <c r="F63" s="303">
        <f t="shared" ca="1" si="0"/>
        <v>23335</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37.299999999999997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2.76</v>
      </c>
      <c r="D65" s="964" t="s">
        <v>743</v>
      </c>
      <c r="E65" s="950" t="s">
        <v>744</v>
      </c>
      <c r="F65" s="330">
        <f t="shared" ca="1" si="0"/>
        <v>1E-3</v>
      </c>
      <c r="I65" s="1462" t="s">
        <v>867</v>
      </c>
      <c r="J65" s="1463">
        <v>40</v>
      </c>
      <c r="K65" s="1463">
        <v>30</v>
      </c>
      <c r="L65" s="1463">
        <v>50</v>
      </c>
      <c r="M65" s="1465">
        <v>0.02</v>
      </c>
      <c r="O65" s="1418" t="s">
        <v>403</v>
      </c>
      <c r="P65" s="1419" t="s">
        <v>868</v>
      </c>
      <c r="Q65" s="1420">
        <f ca="1">C40+J29</f>
        <v>4902</v>
      </c>
      <c r="R65" s="1420" t="s">
        <v>818</v>
      </c>
    </row>
    <row r="66" spans="1:18" s="1384" customFormat="1" ht="16.2"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-44</v>
      </c>
      <c r="D67" s="963" t="s">
        <v>753</v>
      </c>
      <c r="E67" s="968"/>
      <c r="F67" s="969"/>
      <c r="O67" s="1428" t="s">
        <v>405</v>
      </c>
      <c r="P67" s="1419" t="s">
        <v>850</v>
      </c>
      <c r="Q67" s="1466">
        <f ca="1">L51</f>
        <v>1472</v>
      </c>
      <c r="R67" s="1420" t="s">
        <v>870</v>
      </c>
    </row>
    <row r="68" spans="1:18" s="1384" customFormat="1" ht="16.2" thickBot="1">
      <c r="A68" s="947" t="s">
        <v>395</v>
      </c>
      <c r="B68" s="948" t="s">
        <v>774</v>
      </c>
      <c r="C68" s="301">
        <f ca="1">ROUND(C67*(1-((1+F70)/(1+F68))^F69)/(F68-F70),0)</f>
        <v>-629</v>
      </c>
      <c r="D68" s="965" t="s">
        <v>758</v>
      </c>
      <c r="E68" s="950" t="s">
        <v>759</v>
      </c>
      <c r="F68" s="312">
        <f ca="1">F40</f>
        <v>5.5E-2</v>
      </c>
      <c r="O68" s="1428" t="s">
        <v>406</v>
      </c>
      <c r="P68" s="1467" t="s">
        <v>871</v>
      </c>
      <c r="Q68" s="1420">
        <f ca="1">ROUND(Q69-Q70*Q71,0)</f>
        <v>83</v>
      </c>
      <c r="R68" s="1420" t="s">
        <v>414</v>
      </c>
    </row>
    <row r="69" spans="1:18" s="1384" customFormat="1" ht="13.8" thickBot="1">
      <c r="A69" s="951"/>
      <c r="B69" s="952"/>
      <c r="C69" s="306"/>
      <c r="D69" s="970" t="s">
        <v>762</v>
      </c>
      <c r="E69" s="950" t="s">
        <v>763</v>
      </c>
      <c r="F69" s="333">
        <f ca="1">F41</f>
        <v>28.81</v>
      </c>
      <c r="O69" s="1428" t="s">
        <v>411</v>
      </c>
      <c r="P69" s="1467" t="s">
        <v>872</v>
      </c>
      <c r="Q69" s="1420">
        <f ca="1">C39</f>
        <v>276</v>
      </c>
      <c r="R69" s="1420" t="s">
        <v>818</v>
      </c>
    </row>
    <row r="70" spans="1:18" s="1384" customFormat="1" ht="13.8" thickBot="1">
      <c r="A70" s="954"/>
      <c r="B70" s="955"/>
      <c r="C70" s="310"/>
      <c r="D70" s="966"/>
      <c r="E70" s="950" t="s">
        <v>766</v>
      </c>
      <c r="F70" s="1054"/>
      <c r="O70" s="1428" t="s">
        <v>412</v>
      </c>
      <c r="P70" s="1467" t="s">
        <v>873</v>
      </c>
      <c r="Q70" s="1420">
        <f ca="1">C13</f>
        <v>2760</v>
      </c>
      <c r="R70" s="1420" t="s">
        <v>818</v>
      </c>
    </row>
    <row r="71" spans="1:18" s="1384" customFormat="1" ht="13.8" thickBot="1">
      <c r="A71" s="971" t="s">
        <v>396</v>
      </c>
      <c r="B71" s="972" t="s">
        <v>776</v>
      </c>
      <c r="C71" s="336">
        <f ca="1">ROUND(C68*10000/F71,0)</f>
        <v>-639</v>
      </c>
      <c r="D71" s="973" t="s">
        <v>777</v>
      </c>
      <c r="E71" s="974" t="s">
        <v>778</v>
      </c>
      <c r="F71" s="339">
        <f ca="1">F43</f>
        <v>9850.5600000000013</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193</v>
      </c>
      <c r="D75" s="1384"/>
      <c r="E75" s="1384"/>
      <c r="F75" s="1384"/>
      <c r="K75" s="1402"/>
      <c r="L75" s="1384"/>
      <c r="O75" s="1418" t="s">
        <v>409</v>
      </c>
      <c r="P75" s="1419" t="s">
        <v>838</v>
      </c>
      <c r="Q75" s="1420">
        <f ca="1">Q65+Q66</f>
        <v>4902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0.30100000000000005</v>
      </c>
    </row>
    <row r="80" spans="1:18">
      <c r="B80" s="340" t="s">
        <v>800</v>
      </c>
      <c r="C80" s="274">
        <f ca="1">ROUND(C75/C39,3)</f>
        <v>0.69899999999999995</v>
      </c>
    </row>
    <row r="81" spans="2:3">
      <c r="B81" s="270" t="s">
        <v>801</v>
      </c>
      <c r="C81" s="238"/>
    </row>
    <row r="82" spans="2:3">
      <c r="B82" s="273" t="s">
        <v>802</v>
      </c>
      <c r="C82" s="275">
        <f ca="1">1-C83</f>
        <v>0.43700000000000006</v>
      </c>
    </row>
    <row r="83" spans="2:3">
      <c r="B83" s="273" t="s">
        <v>803</v>
      </c>
      <c r="C83" s="274">
        <f ca="1">ROUND(C13/C40,3)</f>
        <v>0.56299999999999994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N63" sqref="N6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2" t="s">
        <v>694</v>
      </c>
      <c r="C6" s="1074">
        <f ca="1">ROUND(F6*F8*F7*(1-F9),0)</f>
        <v>0</v>
      </c>
      <c r="D6" s="155" t="s">
        <v>2104</v>
      </c>
      <c r="E6" s="302" t="s">
        <v>696</v>
      </c>
      <c r="F6" s="303">
        <f ca="1">INDIRECT("'数据-取费表'!u"&amp;$G$1)</f>
        <v>0</v>
      </c>
      <c r="G6" s="1384"/>
      <c r="H6" s="1069" t="s">
        <v>398</v>
      </c>
      <c r="I6" s="3642" t="s">
        <v>694</v>
      </c>
      <c r="J6" s="301">
        <f ca="1">ROUND(M6*M8*M7*(1-M9),0)</f>
        <v>0</v>
      </c>
      <c r="K6" s="1376" t="s">
        <v>2105</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4"/>
      <c r="H7" s="304"/>
      <c r="I7" s="3643"/>
      <c r="J7" s="306"/>
      <c r="K7" s="307"/>
      <c r="L7" s="302" t="s">
        <v>697</v>
      </c>
      <c r="M7" s="303">
        <f ca="1">F7</f>
        <v>0</v>
      </c>
    </row>
    <row r="8" spans="1:37" ht="18" customHeight="1">
      <c r="A8" s="304"/>
      <c r="B8" s="3643"/>
      <c r="C8" s="306"/>
      <c r="D8" s="307"/>
      <c r="E8" s="302" t="s">
        <v>698</v>
      </c>
      <c r="F8" s="303">
        <f ca="1">INDIRECT("'数据-取费表'!ai"&amp;$G$1)</f>
        <v>0</v>
      </c>
      <c r="G8" s="1384"/>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2307</v>
      </c>
      <c r="I31" s="1398"/>
      <c r="J31" s="1399"/>
      <c r="K31" s="2474"/>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3355</v>
      </c>
      <c r="B45" s="1400"/>
      <c r="C45" s="1472" t="e">
        <f ca="1">ROUND((C68-C40)/10000,4)</f>
        <v>#DIV/0!</v>
      </c>
      <c r="D45" s="3431" t="s">
        <v>3356</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0</v>
      </c>
      <c r="K53" s="3640" t="s">
        <v>837</v>
      </c>
      <c r="L53" s="3641"/>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N63" sqref="N63"/>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2" customHeight="1">
      <c r="A2" s="1385" t="s">
        <v>2316</v>
      </c>
      <c r="B2" s="2842" t="e">
        <f>IF(D2="——",C40,C40+E2)</f>
        <v>#DIV/0!</v>
      </c>
      <c r="C2" s="2843" t="s">
        <v>2317</v>
      </c>
      <c r="D2" s="3442" t="s">
        <v>3362</v>
      </c>
      <c r="E2" s="3443"/>
      <c r="F2" s="2845"/>
      <c r="G2" s="2846"/>
      <c r="H2" s="2847"/>
      <c r="I2" s="2848"/>
      <c r="J2" s="3651" t="s">
        <v>2318</v>
      </c>
      <c r="K2" s="3652"/>
      <c r="L2" s="2849" t="s">
        <v>2319</v>
      </c>
      <c r="M2" s="2849" t="s">
        <v>2320</v>
      </c>
      <c r="N2" s="2849" t="s">
        <v>2321</v>
      </c>
      <c r="O2" s="2849" t="s">
        <v>2322</v>
      </c>
      <c r="P2" s="2849" t="s">
        <v>2323</v>
      </c>
      <c r="Q2" s="2850" t="s">
        <v>2324</v>
      </c>
      <c r="R2" s="2851" t="s">
        <v>2325</v>
      </c>
      <c r="S2" s="2840"/>
      <c r="T2" s="2840"/>
      <c r="U2" s="2840"/>
      <c r="V2" s="2848"/>
    </row>
    <row r="3" spans="1:22" s="2852" customFormat="1" ht="13.2" customHeight="1">
      <c r="A3" s="2853" t="s">
        <v>2326</v>
      </c>
      <c r="B3" s="2854" t="e">
        <f>ROUND(B2*10000/B4,0)</f>
        <v>#DIV/0!</v>
      </c>
      <c r="C3" s="2843" t="s">
        <v>2327</v>
      </c>
      <c r="D3" s="2843"/>
      <c r="E3" s="2844"/>
      <c r="F3" s="2845"/>
      <c r="G3" s="2846"/>
      <c r="H3" s="2847"/>
      <c r="I3" s="2848"/>
      <c r="J3" s="3653" t="s">
        <v>2328</v>
      </c>
      <c r="K3" s="3654"/>
      <c r="L3" s="2855"/>
      <c r="M3" s="2855"/>
      <c r="N3" s="2855"/>
      <c r="O3" s="2855"/>
      <c r="P3" s="2855"/>
      <c r="Q3" s="2856"/>
      <c r="R3" s="2857">
        <f>SUM(L3:Q3)</f>
        <v>0</v>
      </c>
      <c r="S3" s="2840"/>
      <c r="T3" s="2840"/>
      <c r="U3" s="2840"/>
      <c r="V3" s="2848"/>
    </row>
    <row r="4" spans="1:22" s="2852" customFormat="1" ht="13.2" customHeight="1">
      <c r="A4" s="2858" t="s">
        <v>2329</v>
      </c>
      <c r="B4" s="2859"/>
      <c r="C4" s="2843"/>
      <c r="D4" s="2843"/>
      <c r="E4" s="2844"/>
      <c r="F4" s="2845"/>
      <c r="G4" s="2846"/>
      <c r="H4" s="2847"/>
      <c r="I4" s="2848"/>
      <c r="J4" s="3653" t="s">
        <v>2330</v>
      </c>
      <c r="K4" s="3654"/>
      <c r="L4" s="2860"/>
      <c r="M4" s="2860"/>
      <c r="N4" s="2860"/>
      <c r="O4" s="2860"/>
      <c r="P4" s="2860"/>
      <c r="Q4" s="2861"/>
      <c r="R4" s="2862">
        <f>SUM(L4:Q4)</f>
        <v>0</v>
      </c>
      <c r="S4" s="2840"/>
      <c r="T4" s="2840"/>
      <c r="U4" s="2840"/>
      <c r="V4" s="2848"/>
    </row>
    <row r="5" spans="1:22" s="2852" customFormat="1" ht="13.2"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2" customHeight="1" thickBot="1">
      <c r="A6" s="3659" t="s">
        <v>2334</v>
      </c>
      <c r="B6" s="3660"/>
      <c r="C6" s="3661"/>
      <c r="D6" s="2869"/>
      <c r="E6" s="2870"/>
      <c r="F6" s="2871"/>
      <c r="G6" s="2872"/>
      <c r="H6" s="2847"/>
      <c r="I6" s="2848"/>
      <c r="J6" s="3645">
        <v>1</v>
      </c>
      <c r="K6" s="3646"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2" customHeight="1">
      <c r="A7" s="2875" t="s">
        <v>2344</v>
      </c>
      <c r="B7" s="2876"/>
      <c r="C7" s="2877"/>
      <c r="D7" s="2878">
        <f>SUM(D9,D10,D11,D17,0)</f>
        <v>0</v>
      </c>
      <c r="E7" s="2879" t="e">
        <f>E9+E10+E11+E17</f>
        <v>#DIV/0!</v>
      </c>
      <c r="F7" s="2880"/>
      <c r="G7" s="2881"/>
      <c r="H7" s="2847"/>
      <c r="I7" s="2848"/>
      <c r="J7" s="3645"/>
      <c r="K7" s="3647"/>
      <c r="L7" s="2882" t="s">
        <v>2345</v>
      </c>
      <c r="M7" s="2883"/>
      <c r="N7" s="2859"/>
      <c r="O7" s="2884"/>
      <c r="P7" s="2884"/>
      <c r="Q7" s="2885">
        <v>365</v>
      </c>
      <c r="R7" s="2886">
        <f>ROUND(M7*N7*O7*P7*Q7/10000,0)</f>
        <v>0</v>
      </c>
      <c r="S7" s="2840"/>
      <c r="T7" s="2840" t="s">
        <v>2346</v>
      </c>
      <c r="U7" s="2840"/>
      <c r="V7" s="2848"/>
    </row>
    <row r="8" spans="1:22" s="2852" customFormat="1" ht="13.2" customHeight="1">
      <c r="A8" s="2887" t="s">
        <v>2347</v>
      </c>
      <c r="B8" s="3662" t="s">
        <v>2348</v>
      </c>
      <c r="C8" s="3663"/>
      <c r="D8" s="2888" t="s">
        <v>2349</v>
      </c>
      <c r="E8" s="2889" t="s">
        <v>2350</v>
      </c>
      <c r="F8" s="2890" t="s">
        <v>2351</v>
      </c>
      <c r="G8" s="2891"/>
      <c r="H8" s="2847"/>
      <c r="I8" s="2848"/>
      <c r="J8" s="3645"/>
      <c r="K8" s="3647"/>
      <c r="L8" s="2882" t="s">
        <v>2352</v>
      </c>
      <c r="M8" s="2883"/>
      <c r="N8" s="2859"/>
      <c r="O8" s="2884"/>
      <c r="P8" s="2884"/>
      <c r="Q8" s="2885">
        <v>365</v>
      </c>
      <c r="R8" s="2886">
        <f t="shared" ref="R8:R13" si="0">ROUND(M8*N8*O8*P8*Q8/10000,0)</f>
        <v>0</v>
      </c>
      <c r="S8" s="2840"/>
      <c r="T8" s="2840" t="s">
        <v>2353</v>
      </c>
      <c r="U8" s="2840"/>
      <c r="V8" s="2848"/>
    </row>
    <row r="9" spans="1:22" s="2852" customFormat="1" ht="13.2" customHeight="1">
      <c r="A9" s="2887">
        <v>1</v>
      </c>
      <c r="B9" s="3662" t="s">
        <v>2354</v>
      </c>
      <c r="C9" s="3663"/>
      <c r="D9" s="2888">
        <f>ROUND(D6*E9,0)</f>
        <v>0</v>
      </c>
      <c r="E9" s="2892"/>
      <c r="F9" s="2893" t="s">
        <v>2355</v>
      </c>
      <c r="G9" s="2872"/>
      <c r="H9" s="2847"/>
      <c r="I9" s="2848"/>
      <c r="J9" s="3645"/>
      <c r="K9" s="3647"/>
      <c r="L9" s="2882" t="s">
        <v>2356</v>
      </c>
      <c r="M9" s="2883"/>
      <c r="N9" s="2859"/>
      <c r="O9" s="2884"/>
      <c r="P9" s="2884"/>
      <c r="Q9" s="2885">
        <v>365</v>
      </c>
      <c r="R9" s="2886">
        <f t="shared" si="0"/>
        <v>0</v>
      </c>
      <c r="S9" s="2840"/>
      <c r="T9" s="2840"/>
      <c r="U9" s="2840"/>
      <c r="V9" s="2848"/>
    </row>
    <row r="10" spans="1:22" s="2852" customFormat="1" ht="13.2" customHeight="1">
      <c r="A10" s="2887">
        <v>2</v>
      </c>
      <c r="B10" s="3662" t="s">
        <v>2357</v>
      </c>
      <c r="C10" s="3663"/>
      <c r="D10" s="2888">
        <f>ROUND(D6*E10,0)</f>
        <v>0</v>
      </c>
      <c r="E10" s="2892"/>
      <c r="F10" s="2893" t="s">
        <v>2358</v>
      </c>
      <c r="G10" s="2872"/>
      <c r="H10" s="2847"/>
      <c r="I10" s="2848"/>
      <c r="J10" s="3645"/>
      <c r="K10" s="3647"/>
      <c r="L10" s="2882" t="s">
        <v>2359</v>
      </c>
      <c r="M10" s="2883"/>
      <c r="N10" s="2859"/>
      <c r="O10" s="2884"/>
      <c r="P10" s="2884"/>
      <c r="Q10" s="2885">
        <v>365</v>
      </c>
      <c r="R10" s="2886">
        <f t="shared" si="0"/>
        <v>0</v>
      </c>
      <c r="S10" s="2840"/>
      <c r="T10" s="2840"/>
      <c r="U10" s="2840"/>
      <c r="V10" s="2848"/>
    </row>
    <row r="11" spans="1:22" s="2852" customFormat="1" ht="13.2" customHeight="1">
      <c r="A11" s="2887">
        <v>3</v>
      </c>
      <c r="B11" s="3662" t="s">
        <v>2360</v>
      </c>
      <c r="C11" s="3663"/>
      <c r="D11" s="2888">
        <f>D12+D14+D15+D16</f>
        <v>0</v>
      </c>
      <c r="E11" s="2894" t="e">
        <f>D11/D6</f>
        <v>#DIV/0!</v>
      </c>
      <c r="F11" s="2890"/>
      <c r="G11" s="2891"/>
      <c r="H11" s="2847"/>
      <c r="I11" s="2848"/>
      <c r="J11" s="3645"/>
      <c r="K11" s="3647"/>
      <c r="L11" s="2882" t="s">
        <v>2361</v>
      </c>
      <c r="M11" s="2883"/>
      <c r="N11" s="2859"/>
      <c r="O11" s="2884"/>
      <c r="P11" s="2884"/>
      <c r="Q11" s="2885">
        <v>365</v>
      </c>
      <c r="R11" s="2886">
        <f t="shared" si="0"/>
        <v>0</v>
      </c>
      <c r="S11" s="2840"/>
      <c r="T11" s="2840"/>
      <c r="U11" s="2840"/>
      <c r="V11" s="2848"/>
    </row>
    <row r="12" spans="1:22" s="2852" customFormat="1" ht="13.2" customHeight="1">
      <c r="A12" s="2895" t="s">
        <v>2362</v>
      </c>
      <c r="B12" s="3655" t="s">
        <v>2363</v>
      </c>
      <c r="C12" s="3656"/>
      <c r="D12" s="2896">
        <f>ROUND(D13*1.2%*(1-30%),0)</f>
        <v>0</v>
      </c>
      <c r="E12" s="2897">
        <v>1.2E-2</v>
      </c>
      <c r="F12" s="2890" t="s">
        <v>2364</v>
      </c>
      <c r="G12" s="2891"/>
      <c r="H12" s="2847"/>
      <c r="I12" s="2848"/>
      <c r="J12" s="3645"/>
      <c r="K12" s="3647"/>
      <c r="L12" s="2882" t="s">
        <v>2365</v>
      </c>
      <c r="M12" s="2883"/>
      <c r="N12" s="2859"/>
      <c r="O12" s="2884"/>
      <c r="P12" s="2884"/>
      <c r="Q12" s="2885">
        <v>365</v>
      </c>
      <c r="R12" s="2886">
        <f t="shared" si="0"/>
        <v>0</v>
      </c>
      <c r="S12" s="2840"/>
      <c r="T12" s="2840"/>
      <c r="U12" s="2840"/>
      <c r="V12" s="2848"/>
    </row>
    <row r="13" spans="1:22" s="2852" customFormat="1" ht="13.2" customHeight="1">
      <c r="A13" s="2895"/>
      <c r="B13" s="2898"/>
      <c r="C13" s="2899" t="s">
        <v>2366</v>
      </c>
      <c r="D13" s="2900"/>
      <c r="E13" s="2901"/>
      <c r="F13" s="2890"/>
      <c r="G13" s="2891"/>
      <c r="H13" s="2847"/>
      <c r="I13" s="2848"/>
      <c r="J13" s="3645"/>
      <c r="K13" s="3647"/>
      <c r="L13" s="2882" t="s">
        <v>2367</v>
      </c>
      <c r="M13" s="2883"/>
      <c r="N13" s="2859"/>
      <c r="O13" s="2884"/>
      <c r="P13" s="2884"/>
      <c r="Q13" s="2885">
        <v>365</v>
      </c>
      <c r="R13" s="2886">
        <f t="shared" si="0"/>
        <v>0</v>
      </c>
      <c r="S13" s="2840"/>
      <c r="T13" s="2840"/>
      <c r="U13" s="2840"/>
      <c r="V13" s="2848"/>
    </row>
    <row r="14" spans="1:22" s="2852" customFormat="1" ht="13.2" customHeight="1">
      <c r="A14" s="2895" t="s">
        <v>2368</v>
      </c>
      <c r="B14" s="3655" t="s">
        <v>2369</v>
      </c>
      <c r="C14" s="3656"/>
      <c r="D14" s="2896">
        <f>ROUND(E14*B5/10000,0)</f>
        <v>0</v>
      </c>
      <c r="E14" s="2885"/>
      <c r="F14" s="2890" t="s">
        <v>2370</v>
      </c>
      <c r="G14" s="2891"/>
      <c r="H14" s="2847"/>
      <c r="I14" s="2848"/>
      <c r="J14" s="3645"/>
      <c r="K14" s="3648"/>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2372</v>
      </c>
      <c r="B15" s="3655" t="s">
        <v>2373</v>
      </c>
      <c r="C15" s="3656"/>
      <c r="D15" s="2896">
        <f>ROUND(D6*E15,0)</f>
        <v>0</v>
      </c>
      <c r="E15" s="2897">
        <v>5.5E-2</v>
      </c>
      <c r="F15" s="2890" t="s">
        <v>2374</v>
      </c>
      <c r="G15" s="2872"/>
      <c r="H15" s="2847"/>
      <c r="I15" s="2848"/>
      <c r="J15" s="3645">
        <v>2</v>
      </c>
      <c r="K15" s="3646"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2" customHeight="1">
      <c r="A16" s="2895" t="s">
        <v>2381</v>
      </c>
      <c r="B16" s="3655" t="s">
        <v>2382</v>
      </c>
      <c r="C16" s="3656"/>
      <c r="D16" s="2907">
        <f>D6*E16</f>
        <v>0</v>
      </c>
      <c r="E16" s="2908"/>
      <c r="F16" s="2893" t="s">
        <v>2383</v>
      </c>
      <c r="G16" s="2872"/>
      <c r="H16" s="2847"/>
      <c r="I16" s="2848"/>
      <c r="J16" s="3645"/>
      <c r="K16" s="3647"/>
      <c r="L16" s="2882" t="s">
        <v>2384</v>
      </c>
      <c r="M16" s="2883"/>
      <c r="N16" s="2883"/>
      <c r="O16" s="2884"/>
      <c r="P16" s="2885">
        <v>365</v>
      </c>
      <c r="Q16" s="2859"/>
      <c r="R16" s="2906">
        <f>ROUND(M16*N16*O16*P16/10000,0)</f>
        <v>0</v>
      </c>
      <c r="S16" s="2840"/>
      <c r="T16" s="2840"/>
      <c r="U16" s="2840"/>
      <c r="V16" s="2848"/>
    </row>
    <row r="17" spans="1:22" s="2852" customFormat="1" ht="13.2" customHeight="1" thickBot="1">
      <c r="A17" s="2909">
        <v>4</v>
      </c>
      <c r="B17" s="3657" t="s">
        <v>2385</v>
      </c>
      <c r="C17" s="3658"/>
      <c r="D17" s="2910">
        <f>ROUND(D6*E17,0)</f>
        <v>0</v>
      </c>
      <c r="E17" s="2911"/>
      <c r="F17" s="2912" t="s">
        <v>2386</v>
      </c>
      <c r="G17" s="2872"/>
      <c r="H17" s="2847"/>
      <c r="I17" s="2848"/>
      <c r="J17" s="3645"/>
      <c r="K17" s="3647"/>
      <c r="L17" s="2882" t="s">
        <v>2387</v>
      </c>
      <c r="M17" s="2883"/>
      <c r="N17" s="2883"/>
      <c r="O17" s="2884"/>
      <c r="P17" s="2885">
        <v>365</v>
      </c>
      <c r="Q17" s="2859"/>
      <c r="R17" s="2906">
        <f>ROUND(M17*N17*O17*P17/10000,0)</f>
        <v>0</v>
      </c>
      <c r="S17" s="2840"/>
      <c r="T17" s="2840"/>
      <c r="U17" s="2840"/>
      <c r="V17" s="2848"/>
    </row>
    <row r="18" spans="1:22" s="2852" customFormat="1" ht="13.2" customHeight="1" thickBot="1">
      <c r="A18" s="2875" t="s">
        <v>2388</v>
      </c>
      <c r="B18" s="2876"/>
      <c r="C18" s="2876"/>
      <c r="D18" s="2913">
        <f>ROUND(D6*E18,0)</f>
        <v>0</v>
      </c>
      <c r="E18" s="2914"/>
      <c r="F18" s="2915" t="s">
        <v>2389</v>
      </c>
      <c r="G18" s="2872"/>
      <c r="H18" s="2847"/>
      <c r="I18" s="2848"/>
      <c r="J18" s="3645"/>
      <c r="K18" s="3647"/>
      <c r="L18" s="2882" t="s">
        <v>2390</v>
      </c>
      <c r="M18" s="2883"/>
      <c r="N18" s="2883"/>
      <c r="O18" s="2884"/>
      <c r="P18" s="2885">
        <v>365</v>
      </c>
      <c r="Q18" s="2859"/>
      <c r="R18" s="2906">
        <f>ROUND(M18*N18*O18*P18/10000,0)</f>
        <v>0</v>
      </c>
      <c r="S18" s="2840"/>
      <c r="T18" s="2840"/>
      <c r="U18" s="2840"/>
      <c r="V18" s="2848"/>
    </row>
    <row r="19" spans="1:22" s="2852" customFormat="1" ht="13.2" customHeight="1" thickBot="1">
      <c r="A19" s="2916" t="s">
        <v>2391</v>
      </c>
      <c r="B19" s="2870"/>
      <c r="C19" s="2870"/>
      <c r="D19" s="2870"/>
      <c r="E19" s="2870"/>
      <c r="F19" s="2871"/>
      <c r="G19" s="2891"/>
      <c r="H19" s="2847"/>
      <c r="I19" s="2848"/>
      <c r="J19" s="3645"/>
      <c r="K19" s="3648"/>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45">
        <v>3</v>
      </c>
      <c r="K20" s="3646"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2" customHeight="1">
      <c r="A21" s="2875"/>
      <c r="B21" s="2876"/>
      <c r="C21" s="2922" t="s">
        <v>2400</v>
      </c>
      <c r="D21" s="2923" t="s">
        <v>2401</v>
      </c>
      <c r="E21" s="2924" t="s">
        <v>2402</v>
      </c>
      <c r="F21" s="2919"/>
      <c r="G21" s="2891"/>
      <c r="H21" s="2847"/>
      <c r="I21" s="2848"/>
      <c r="J21" s="3645"/>
      <c r="K21" s="3647"/>
      <c r="L21" s="2882" t="s">
        <v>2403</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2404</v>
      </c>
      <c r="D22" s="2927" t="s">
        <v>2405</v>
      </c>
      <c r="E22" s="2928" t="s">
        <v>2406</v>
      </c>
      <c r="F22" s="2919"/>
      <c r="G22" s="2929"/>
      <c r="H22" s="2847"/>
      <c r="I22" s="2848"/>
      <c r="J22" s="3645"/>
      <c r="K22" s="3647"/>
      <c r="L22" s="2882" t="s">
        <v>2407</v>
      </c>
      <c r="M22" s="2883"/>
      <c r="N22" s="2883"/>
      <c r="O22" s="2884"/>
      <c r="P22" s="2885">
        <v>365</v>
      </c>
      <c r="Q22" s="2859"/>
      <c r="R22" s="2925">
        <f>ROUND(M22*N22*O22*P22/10000,0)</f>
        <v>0</v>
      </c>
      <c r="S22" s="2921"/>
      <c r="T22" s="2921"/>
      <c r="U22" s="2921"/>
      <c r="V22" s="2848"/>
    </row>
    <row r="23" spans="1:22" s="2852" customFormat="1" ht="13.2" customHeight="1">
      <c r="A23" s="2930">
        <v>1</v>
      </c>
      <c r="B23" s="2931" t="s">
        <v>2408</v>
      </c>
      <c r="C23" s="2932">
        <f>D6</f>
        <v>0</v>
      </c>
      <c r="D23" s="2933">
        <f>C23*(1+D24)</f>
        <v>0</v>
      </c>
      <c r="E23" s="2934">
        <f>D23*(1+E24)</f>
        <v>0</v>
      </c>
      <c r="F23" s="2935"/>
      <c r="G23" s="2936"/>
      <c r="H23" s="2847"/>
      <c r="I23" s="2848"/>
      <c r="J23" s="3645"/>
      <c r="K23" s="3647"/>
      <c r="L23" s="2882" t="s">
        <v>2409</v>
      </c>
      <c r="M23" s="2883"/>
      <c r="N23" s="2883"/>
      <c r="O23" s="2884"/>
      <c r="P23" s="2885">
        <v>365</v>
      </c>
      <c r="Q23" s="2859"/>
      <c r="R23" s="2925">
        <f>ROUND(M23*N23*O23*P23/10000,0)</f>
        <v>0</v>
      </c>
      <c r="S23" s="2840"/>
      <c r="T23" s="2840"/>
      <c r="U23" s="2840"/>
      <c r="V23" s="2848"/>
    </row>
    <row r="24" spans="1:22" s="2852" customFormat="1" ht="13.2" customHeight="1">
      <c r="A24" s="2937"/>
      <c r="B24" s="2938" t="s">
        <v>2410</v>
      </c>
      <c r="C24" s="2939"/>
      <c r="D24" s="2940"/>
      <c r="E24" s="2941"/>
      <c r="F24" s="2942"/>
      <c r="G24" s="2936"/>
      <c r="H24" s="2847"/>
      <c r="I24" s="2848"/>
      <c r="J24" s="3645"/>
      <c r="K24" s="3648"/>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2" customHeight="1">
      <c r="A26" s="2930">
        <v>2</v>
      </c>
      <c r="B26" s="2931" t="s">
        <v>2412</v>
      </c>
      <c r="C26" s="2932">
        <f>D7</f>
        <v>0</v>
      </c>
      <c r="D26" s="2933">
        <f>D23*D27</f>
        <v>0</v>
      </c>
      <c r="E26" s="2934">
        <f>E23*E27</f>
        <v>0</v>
      </c>
      <c r="F26" s="2935"/>
      <c r="G26" s="2936"/>
      <c r="H26" s="2847"/>
      <c r="I26" s="2848"/>
      <c r="J26" s="3649">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2" customHeight="1">
      <c r="A27" s="2937"/>
      <c r="B27" s="2938" t="s">
        <v>2418</v>
      </c>
      <c r="C27" s="2956" t="e">
        <f>E7</f>
        <v>#DIV/0!</v>
      </c>
      <c r="D27" s="2940"/>
      <c r="E27" s="2941"/>
      <c r="F27" s="2942"/>
      <c r="G27" s="2936"/>
      <c r="H27" s="2957"/>
      <c r="I27" s="2948"/>
      <c r="J27" s="3650"/>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2"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2" customHeight="1">
      <c r="A32" s="2930">
        <v>4</v>
      </c>
      <c r="B32" s="2931" t="s">
        <v>2426</v>
      </c>
      <c r="C32" s="2932">
        <f>C23-C26-C29</f>
        <v>0</v>
      </c>
      <c r="D32" s="2933">
        <f>D23-D26-D29</f>
        <v>0</v>
      </c>
      <c r="E32" s="2934">
        <f>E23-E26-E29</f>
        <v>0</v>
      </c>
      <c r="F32" s="2935"/>
      <c r="G32" s="2929"/>
      <c r="H32" s="2847"/>
      <c r="I32" s="2848"/>
      <c r="J32" s="3651" t="s">
        <v>2318</v>
      </c>
      <c r="K32" s="3652"/>
      <c r="L32" s="2849" t="s">
        <v>2319</v>
      </c>
      <c r="M32" s="2849" t="s">
        <v>2320</v>
      </c>
      <c r="N32" s="2849" t="s">
        <v>2321</v>
      </c>
      <c r="O32" s="2849" t="s">
        <v>2322</v>
      </c>
      <c r="P32" s="2849" t="s">
        <v>2323</v>
      </c>
      <c r="Q32" s="2850" t="s">
        <v>2324</v>
      </c>
      <c r="R32" s="2972" t="s">
        <v>2325</v>
      </c>
      <c r="S32" s="2921"/>
      <c r="T32" s="2840"/>
      <c r="U32" s="2840"/>
      <c r="V32" s="2948"/>
    </row>
    <row r="33" spans="1:23" s="2852" customFormat="1" ht="13.2" customHeight="1">
      <c r="A33" s="2930"/>
      <c r="B33" s="2931"/>
      <c r="C33" s="2932"/>
      <c r="D33" s="2973"/>
      <c r="E33" s="2974"/>
      <c r="F33" s="2935"/>
      <c r="G33" s="2929"/>
      <c r="H33" s="2957"/>
      <c r="I33" s="2948"/>
      <c r="J33" s="3653" t="s">
        <v>2328</v>
      </c>
      <c r="K33" s="3654"/>
      <c r="L33" s="2855"/>
      <c r="M33" s="2855"/>
      <c r="N33" s="2855"/>
      <c r="O33" s="2855"/>
      <c r="P33" s="2855"/>
      <c r="Q33" s="2856"/>
      <c r="R33" s="2975">
        <f>SUM(L33:Q33)</f>
        <v>0</v>
      </c>
      <c r="S33" s="2921"/>
      <c r="T33" s="2840"/>
      <c r="U33" s="2840"/>
      <c r="V33" s="2848"/>
    </row>
    <row r="34" spans="1:23" s="2852" customFormat="1" ht="13.2" customHeight="1">
      <c r="A34" s="2930">
        <v>5</v>
      </c>
      <c r="B34" s="2931" t="s">
        <v>2427</v>
      </c>
      <c r="C34" s="2976"/>
      <c r="D34" s="2977"/>
      <c r="E34" s="2978"/>
      <c r="F34" s="2935"/>
      <c r="G34" s="2929"/>
      <c r="H34" s="2957"/>
      <c r="I34" s="2948"/>
      <c r="J34" s="3653" t="s">
        <v>2330</v>
      </c>
      <c r="K34" s="3654"/>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2" customHeight="1" thickBot="1">
      <c r="A36" s="2930">
        <v>7</v>
      </c>
      <c r="B36" s="2985" t="s">
        <v>2429</v>
      </c>
      <c r="C36" s="2986"/>
      <c r="D36" s="2987"/>
      <c r="E36" s="2988"/>
      <c r="F36" s="2989">
        <f>C36+D36+E36</f>
        <v>0</v>
      </c>
      <c r="G36" s="2929"/>
      <c r="H36" s="2847"/>
      <c r="I36" s="2848"/>
      <c r="J36" s="3645">
        <v>1</v>
      </c>
      <c r="K36" s="3646" t="s">
        <v>2430</v>
      </c>
      <c r="L36" s="2873"/>
      <c r="M36" s="2874"/>
      <c r="N36" s="2874"/>
      <c r="O36" s="2874"/>
      <c r="P36" s="2874"/>
      <c r="Q36" s="2874"/>
      <c r="R36" s="2857" t="s">
        <v>2342</v>
      </c>
      <c r="S36" s="2921"/>
      <c r="T36" s="2840" t="s">
        <v>2343</v>
      </c>
      <c r="U36" s="2840"/>
      <c r="V36" s="2848"/>
    </row>
    <row r="37" spans="1:23" s="2852" customFormat="1" ht="13.2" customHeight="1">
      <c r="A37" s="2930"/>
      <c r="B37" s="2931"/>
      <c r="C37" s="2931"/>
      <c r="D37" s="2931"/>
      <c r="E37" s="2931"/>
      <c r="F37" s="2935"/>
      <c r="G37" s="2929"/>
      <c r="H37" s="2847"/>
      <c r="I37" s="2848"/>
      <c r="J37" s="3645"/>
      <c r="K37" s="3647"/>
      <c r="L37" s="2882"/>
      <c r="M37" s="2883"/>
      <c r="N37" s="2859"/>
      <c r="O37" s="2884"/>
      <c r="P37" s="2884"/>
      <c r="Q37" s="2885"/>
      <c r="R37" s="2886"/>
      <c r="S37" s="2921"/>
      <c r="T37" s="2840" t="s">
        <v>2346</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45"/>
      <c r="K38" s="3647"/>
      <c r="L38" s="2882"/>
      <c r="M38" s="2883"/>
      <c r="N38" s="2859"/>
      <c r="O38" s="2884"/>
      <c r="P38" s="2884"/>
      <c r="Q38" s="2885"/>
      <c r="R38" s="2886"/>
      <c r="S38" s="2921"/>
      <c r="T38" s="2840" t="s">
        <v>2353</v>
      </c>
      <c r="U38" s="2840"/>
      <c r="V38" s="2848"/>
    </row>
    <row r="39" spans="1:23" s="2852" customFormat="1" ht="13.2" customHeight="1">
      <c r="A39" s="2930">
        <v>9</v>
      </c>
      <c r="B39" s="2931" t="s">
        <v>2431</v>
      </c>
      <c r="C39" s="2896" t="e">
        <f>C38</f>
        <v>#DIV/0!</v>
      </c>
      <c r="D39" s="2931">
        <f>D38/(1+D34)^C36</f>
        <v>0</v>
      </c>
      <c r="E39" s="2931">
        <f>E38/(1+E34)^(C36+D36)</f>
        <v>0</v>
      </c>
      <c r="F39" s="2935"/>
      <c r="G39" s="2990"/>
      <c r="H39" s="2847"/>
      <c r="I39" s="2848"/>
      <c r="J39" s="3645"/>
      <c r="K39" s="3647"/>
      <c r="L39" s="2882"/>
      <c r="M39" s="2883"/>
      <c r="N39" s="2859"/>
      <c r="O39" s="2884"/>
      <c r="P39" s="2884"/>
      <c r="Q39" s="2885"/>
      <c r="R39" s="2886"/>
      <c r="S39" s="2921"/>
      <c r="T39" s="2840"/>
      <c r="U39" s="2840"/>
      <c r="V39" s="2848"/>
    </row>
    <row r="40" spans="1:23" s="2852" customFormat="1" ht="13.2" customHeight="1">
      <c r="A40" s="2991">
        <v>10</v>
      </c>
      <c r="B40" s="2931" t="s">
        <v>2432</v>
      </c>
      <c r="C40" s="2992" t="e">
        <f>C39+D39+E39</f>
        <v>#DIV/0!</v>
      </c>
      <c r="D40" s="2993"/>
      <c r="E40" s="2993"/>
      <c r="F40" s="2994"/>
      <c r="G40" s="2929"/>
      <c r="H40" s="2847"/>
      <c r="I40" s="2848"/>
      <c r="J40" s="3645"/>
      <c r="K40" s="3648"/>
      <c r="L40" s="2902" t="s">
        <v>2371</v>
      </c>
      <c r="M40" s="2903"/>
      <c r="N40" s="2903"/>
      <c r="O40" s="2904"/>
      <c r="P40" s="2904"/>
      <c r="Q40" s="2905"/>
      <c r="R40" s="2851">
        <f>SUM(R37:R39)</f>
        <v>0</v>
      </c>
      <c r="S40" s="2921"/>
      <c r="T40" s="2840"/>
      <c r="U40" s="2840"/>
      <c r="V40" s="2848"/>
    </row>
    <row r="41" spans="1:23" s="2852" customFormat="1" ht="13.2"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2" customHeight="1">
      <c r="G42" s="2999"/>
      <c r="H42" s="2847"/>
      <c r="I42" s="2848"/>
      <c r="J42" s="3649">
        <v>3</v>
      </c>
      <c r="K42" s="2950" t="s">
        <v>2413</v>
      </c>
      <c r="L42" s="2951"/>
      <c r="M42" s="2952"/>
      <c r="N42" s="2953" t="s">
        <v>2414</v>
      </c>
      <c r="O42" s="2953" t="s">
        <v>2415</v>
      </c>
      <c r="P42" s="2954" t="s">
        <v>2416</v>
      </c>
      <c r="Q42" s="2954" t="s">
        <v>2417</v>
      </c>
      <c r="R42" s="2857" t="s">
        <v>2342</v>
      </c>
      <c r="S42" s="2955"/>
      <c r="T42" s="2955"/>
      <c r="U42" s="2840"/>
      <c r="V42" s="2848"/>
    </row>
    <row r="43" spans="1:23" ht="13.2" customHeight="1">
      <c r="A43" s="2852"/>
      <c r="B43" s="2852"/>
      <c r="C43" s="2852"/>
      <c r="D43" s="2852"/>
      <c r="E43" s="2852"/>
      <c r="F43" s="2852"/>
      <c r="I43" s="2835"/>
      <c r="J43" s="3650"/>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N63" sqref="N63"/>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1656</v>
      </c>
      <c r="B1" s="1868"/>
      <c r="C1" s="1868"/>
      <c r="D1" s="1868"/>
      <c r="E1" s="1869"/>
      <c r="F1" s="2706"/>
      <c r="G1" s="1489"/>
      <c r="H1" s="1489"/>
      <c r="I1" s="1489"/>
      <c r="J1" s="1489"/>
      <c r="K1" s="1489"/>
      <c r="L1" s="1489"/>
      <c r="M1" s="1489"/>
      <c r="N1" s="1489"/>
      <c r="O1" s="1489"/>
      <c r="P1" s="1489"/>
      <c r="Q1" s="1489"/>
      <c r="R1" s="1489"/>
      <c r="S1" s="1489"/>
    </row>
    <row r="2" spans="1:22" ht="15.6">
      <c r="A2" s="1870" t="s">
        <v>1460</v>
      </c>
      <c r="B2" s="1871">
        <f ca="1">SUMIF(B6:B13,"&lt;&gt;#ref!",B6:B13)</f>
        <v>5088</v>
      </c>
      <c r="C2" s="1872" t="s">
        <v>1649</v>
      </c>
      <c r="D2" s="1873" t="s">
        <v>1650</v>
      </c>
      <c r="E2" s="2606">
        <f>SUM(E6:E13)</f>
        <v>10052.840000000002</v>
      </c>
      <c r="F2" s="2706"/>
      <c r="G2" s="1489"/>
      <c r="H2" s="1489"/>
      <c r="I2" s="1489"/>
      <c r="J2" s="1489"/>
      <c r="K2" s="1489"/>
      <c r="L2" s="1489"/>
      <c r="M2" s="1489"/>
      <c r="N2" s="1489"/>
      <c r="O2" s="1489"/>
      <c r="P2" s="1489"/>
      <c r="Q2" s="1489"/>
      <c r="R2" s="1489"/>
      <c r="S2" s="1489"/>
    </row>
    <row r="3" spans="1:22" ht="15.6">
      <c r="A3" s="1870" t="s">
        <v>686</v>
      </c>
      <c r="B3" s="2600">
        <f ca="1">ROUND(B2*10000/E2,0)</f>
        <v>5061</v>
      </c>
      <c r="C3" s="1872" t="s">
        <v>1657</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1651</v>
      </c>
      <c r="B5" s="3664" t="s">
        <v>1652</v>
      </c>
      <c r="C5" s="3665"/>
      <c r="D5" s="2707"/>
      <c r="E5" s="1874" t="s">
        <v>1653</v>
      </c>
      <c r="F5" s="1875" t="s">
        <v>1654</v>
      </c>
      <c r="G5" s="1489"/>
      <c r="H5" s="1489"/>
      <c r="I5" s="1489"/>
      <c r="J5" s="1489"/>
      <c r="K5" s="1489"/>
      <c r="L5" s="1489"/>
      <c r="M5" s="1489"/>
      <c r="N5" s="1489"/>
      <c r="O5" s="1489"/>
      <c r="P5" s="1489"/>
      <c r="Q5" s="1489"/>
      <c r="R5" s="1489"/>
      <c r="S5" s="1489"/>
    </row>
    <row r="6" spans="1:22" ht="14.4">
      <c r="A6" s="2603" t="str">
        <f>'数据-取费表'!AN6</f>
        <v>收益法</v>
      </c>
      <c r="B6" s="2601">
        <f ca="1">IF(F6="是",'数据-取费表'!AO6,0)</f>
        <v>5088</v>
      </c>
      <c r="C6" s="1872" t="s">
        <v>1649</v>
      </c>
      <c r="D6" s="2708"/>
      <c r="E6" s="2605">
        <f>IF(OR(A6=0,F6="否"),0,'数据-取费表'!K6+'数据-取费表'!S6)</f>
        <v>10052.840000000002</v>
      </c>
      <c r="F6" s="1876" t="s">
        <v>1655</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1649</v>
      </c>
      <c r="D7" s="2708"/>
      <c r="E7" s="2605">
        <f>IF(OR(A7=0,F7="否"),0,'数据-取费表'!K7+'数据-取费表'!S7)</f>
        <v>0</v>
      </c>
      <c r="F7" s="1876" t="s">
        <v>1655</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1649</v>
      </c>
      <c r="D8" s="2708"/>
      <c r="E8" s="2605">
        <f>IF(OR(A8=0,F8="否"),0,'数据-取费表'!K8+'数据-取费表'!S8)</f>
        <v>0</v>
      </c>
      <c r="F8" s="1876" t="s">
        <v>1655</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1649</v>
      </c>
      <c r="D9" s="2708"/>
      <c r="E9" s="2605">
        <f>IF(OR(A9=0,F9="否"),0,'数据-取费表'!K9+'数据-取费表'!S9)</f>
        <v>0</v>
      </c>
      <c r="F9" s="1876" t="s">
        <v>1655</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1649</v>
      </c>
      <c r="D10" s="2708"/>
      <c r="E10" s="2605">
        <f>IF(OR(A10=0,F10="否"),0,'数据-取费表'!K10+'数据-取费表'!S10)</f>
        <v>0</v>
      </c>
      <c r="F10" s="1876" t="s">
        <v>1655</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1649</v>
      </c>
      <c r="D11" s="2708"/>
      <c r="E11" s="2605">
        <f>IF(OR(A11=0,F11="否"),0,'数据-取费表'!K11+'数据-取费表'!S11)</f>
        <v>0</v>
      </c>
      <c r="F11" s="1876" t="s">
        <v>1655</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1649</v>
      </c>
      <c r="D12" s="2708"/>
      <c r="E12" s="2605">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1649</v>
      </c>
      <c r="D13" s="2709"/>
      <c r="E13" s="2605">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N63" sqref="N63"/>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1658</v>
      </c>
      <c r="B1" s="1878" t="s">
        <v>1659</v>
      </c>
      <c r="C1" s="1238" t="s">
        <v>1660</v>
      </c>
      <c r="D1" s="1225"/>
      <c r="E1" s="3425"/>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10052.84</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1664</v>
      </c>
      <c r="B4" s="356"/>
      <c r="C4" s="3684" t="s">
        <v>1665</v>
      </c>
      <c r="D4" s="3685"/>
      <c r="E4" s="3686" t="s">
        <v>1666</v>
      </c>
      <c r="F4" s="3687"/>
      <c r="G4" s="3684" t="s">
        <v>1667</v>
      </c>
      <c r="H4" s="3685"/>
      <c r="I4" s="3684" t="s">
        <v>1668</v>
      </c>
      <c r="J4" s="3685"/>
      <c r="K4" s="1889" t="s">
        <v>1669</v>
      </c>
      <c r="L4" s="2714"/>
      <c r="M4" s="2715"/>
      <c r="N4" s="2715"/>
      <c r="O4" s="2715"/>
      <c r="P4" s="3688" t="s">
        <v>1670</v>
      </c>
      <c r="Q4" s="3689"/>
      <c r="R4" s="3694" t="s">
        <v>1666</v>
      </c>
      <c r="S4" s="3695"/>
      <c r="T4" s="3694" t="s">
        <v>1667</v>
      </c>
      <c r="U4" s="3695"/>
      <c r="V4" s="3700" t="s">
        <v>1668</v>
      </c>
      <c r="W4" s="3700"/>
      <c r="X4" s="1355"/>
      <c r="Y4" s="3694" t="s">
        <v>1670</v>
      </c>
      <c r="Z4" s="3695"/>
      <c r="AA4" s="3681" t="s">
        <v>1666</v>
      </c>
      <c r="AB4" s="3681" t="s">
        <v>1667</v>
      </c>
      <c r="AC4" s="3681" t="s">
        <v>1668</v>
      </c>
    </row>
    <row r="5" spans="1:29">
      <c r="A5" s="358"/>
      <c r="B5" s="359"/>
      <c r="C5" s="3703" t="s">
        <v>1671</v>
      </c>
      <c r="D5" s="3704"/>
      <c r="E5" s="3710" t="s">
        <v>1672</v>
      </c>
      <c r="F5" s="3711"/>
      <c r="G5" s="3703" t="s">
        <v>1673</v>
      </c>
      <c r="H5" s="3704"/>
      <c r="I5" s="3703" t="s">
        <v>1674</v>
      </c>
      <c r="J5" s="3704"/>
      <c r="K5" s="1890"/>
      <c r="L5" s="2714"/>
      <c r="M5" s="2715"/>
      <c r="N5" s="2715"/>
      <c r="O5" s="2715"/>
      <c r="P5" s="3690"/>
      <c r="Q5" s="3691"/>
      <c r="R5" s="3696"/>
      <c r="S5" s="3697"/>
      <c r="T5" s="3696"/>
      <c r="U5" s="3697"/>
      <c r="V5" s="3700"/>
      <c r="W5" s="3700"/>
      <c r="X5" s="1355"/>
      <c r="Y5" s="3696"/>
      <c r="Z5" s="3697"/>
      <c r="AA5" s="3682"/>
      <c r="AB5" s="3682"/>
      <c r="AC5" s="3682"/>
    </row>
    <row r="6" spans="1:29" ht="15" thickBot="1">
      <c r="A6" s="360"/>
      <c r="B6" s="361"/>
      <c r="C6" s="3701" t="s">
        <v>1675</v>
      </c>
      <c r="D6" s="3702"/>
      <c r="E6" s="3708" t="s">
        <v>1675</v>
      </c>
      <c r="F6" s="3709"/>
      <c r="G6" s="3701" t="s">
        <v>1675</v>
      </c>
      <c r="H6" s="3702"/>
      <c r="I6" s="3701" t="s">
        <v>1675</v>
      </c>
      <c r="J6" s="3702"/>
      <c r="K6" s="1890" t="s">
        <v>1676</v>
      </c>
      <c r="L6" s="2714"/>
      <c r="M6" s="2715"/>
      <c r="N6" s="2715"/>
      <c r="O6" s="2715"/>
      <c r="P6" s="3692"/>
      <c r="Q6" s="3693"/>
      <c r="R6" s="3696"/>
      <c r="S6" s="3697"/>
      <c r="T6" s="3698"/>
      <c r="U6" s="3699"/>
      <c r="V6" s="3700"/>
      <c r="W6" s="3700"/>
      <c r="X6" s="1355"/>
      <c r="Y6" s="3698"/>
      <c r="Z6" s="3699"/>
      <c r="AA6" s="3683"/>
      <c r="AB6" s="3683"/>
      <c r="AC6" s="3683"/>
    </row>
    <row r="7" spans="1:29" s="108" customFormat="1" ht="15" thickBot="1">
      <c r="A7" s="362" t="s">
        <v>1677</v>
      </c>
      <c r="B7" s="363"/>
      <c r="C7" s="364">
        <f>'数据-取费表'!B2</f>
        <v>45224</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05" t="s">
        <v>1678</v>
      </c>
      <c r="Q7" s="3707"/>
      <c r="R7" s="701" t="s">
        <v>20</v>
      </c>
      <c r="S7" s="702">
        <f t="shared" ref="S7:S15" si="0">F7</f>
        <v>0</v>
      </c>
      <c r="T7" s="701" t="s">
        <v>20</v>
      </c>
      <c r="U7" s="702">
        <f t="shared" ref="U7:U15" si="1">H7</f>
        <v>0</v>
      </c>
      <c r="V7" s="701" t="s">
        <v>20</v>
      </c>
      <c r="W7" s="702">
        <f t="shared" ref="W7:W15" si="2">J7</f>
        <v>0</v>
      </c>
      <c r="X7" s="703"/>
      <c r="Y7" s="3705" t="s">
        <v>1678</v>
      </c>
      <c r="Z7" s="3706"/>
      <c r="AA7" s="704" t="e">
        <f>D7/F7</f>
        <v>#DIV/0!</v>
      </c>
      <c r="AB7" s="704" t="e">
        <f>D7/H7</f>
        <v>#DIV/0!</v>
      </c>
      <c r="AC7" s="704" t="e">
        <f>D7/J7</f>
        <v>#DIV/0!</v>
      </c>
    </row>
    <row r="8" spans="1:29" s="108" customFormat="1" ht="1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05" t="s">
        <v>1681</v>
      </c>
      <c r="Q8" s="3706"/>
      <c r="R8" s="701" t="s">
        <v>20</v>
      </c>
      <c r="S8" s="702">
        <f t="shared" si="0"/>
        <v>100</v>
      </c>
      <c r="T8" s="701" t="s">
        <v>20</v>
      </c>
      <c r="U8" s="702">
        <f t="shared" si="1"/>
        <v>100</v>
      </c>
      <c r="V8" s="701" t="s">
        <v>20</v>
      </c>
      <c r="W8" s="702">
        <f t="shared" si="2"/>
        <v>100</v>
      </c>
      <c r="X8" s="703"/>
      <c r="Y8" s="3705" t="s">
        <v>1681</v>
      </c>
      <c r="Z8" s="3706"/>
      <c r="AA8" s="704">
        <f t="shared" ref="AA8:AA19" si="3">D8/F8</f>
        <v>1</v>
      </c>
      <c r="AB8" s="704">
        <f t="shared" ref="AB8:AB19" si="4">D8/H8</f>
        <v>1</v>
      </c>
      <c r="AC8" s="704">
        <f t="shared" ref="AC8:AC19" si="5">D8/J8</f>
        <v>1</v>
      </c>
    </row>
    <row r="9" spans="1:29" s="108" customFormat="1" ht="14.4">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80" t="s">
        <v>1684</v>
      </c>
      <c r="Q9" s="1343" t="str">
        <f t="shared" ref="Q9:Q15" si="6">B9</f>
        <v>用途</v>
      </c>
      <c r="R9" s="701" t="s">
        <v>14</v>
      </c>
      <c r="S9" s="702">
        <f t="shared" si="0"/>
        <v>100</v>
      </c>
      <c r="T9" s="701" t="s">
        <v>14</v>
      </c>
      <c r="U9" s="702">
        <f t="shared" si="1"/>
        <v>100</v>
      </c>
      <c r="V9" s="701" t="s">
        <v>14</v>
      </c>
      <c r="W9" s="702">
        <f t="shared" si="2"/>
        <v>100</v>
      </c>
      <c r="X9" s="703"/>
      <c r="Y9" s="3544" t="s">
        <v>1685</v>
      </c>
      <c r="Z9" s="52" t="str">
        <f t="shared" ref="Z9:Z15" si="7">Q9</f>
        <v>用途</v>
      </c>
      <c r="AA9" s="704">
        <f t="shared" si="3"/>
        <v>1</v>
      </c>
      <c r="AB9" s="704">
        <f t="shared" si="4"/>
        <v>1</v>
      </c>
      <c r="AC9" s="704">
        <f t="shared" si="5"/>
        <v>1</v>
      </c>
    </row>
    <row r="10" spans="1:29" s="378" customFormat="1" ht="28.8">
      <c r="A10" s="374"/>
      <c r="B10" s="375" t="s">
        <v>1686</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0"/>
      <c r="Q11" s="1343" t="str">
        <f t="shared" si="6"/>
        <v>容积率</v>
      </c>
      <c r="R11" s="701" t="s">
        <v>18</v>
      </c>
      <c r="S11" s="702" t="e">
        <f t="shared" si="0"/>
        <v>#N/A</v>
      </c>
      <c r="T11" s="701" t="s">
        <v>18</v>
      </c>
      <c r="U11" s="702" t="e">
        <f t="shared" si="1"/>
        <v>#N/A</v>
      </c>
      <c r="V11" s="701" t="s">
        <v>18</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80"/>
      <c r="Q12" s="1343">
        <f t="shared" si="6"/>
        <v>111</v>
      </c>
      <c r="R12" s="701" t="s">
        <v>18</v>
      </c>
      <c r="S12" s="702">
        <f t="shared" si="0"/>
        <v>100</v>
      </c>
      <c r="T12" s="701" t="s">
        <v>18</v>
      </c>
      <c r="U12" s="702">
        <f t="shared" si="1"/>
        <v>100</v>
      </c>
      <c r="V12" s="701" t="s">
        <v>18</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80"/>
      <c r="Q13" s="1343">
        <f t="shared" si="6"/>
        <v>111</v>
      </c>
      <c r="R13" s="701" t="s">
        <v>18</v>
      </c>
      <c r="S13" s="702">
        <f t="shared" si="0"/>
        <v>100</v>
      </c>
      <c r="T13" s="701" t="s">
        <v>18</v>
      </c>
      <c r="U13" s="702">
        <f t="shared" si="1"/>
        <v>100</v>
      </c>
      <c r="V13" s="701" t="s">
        <v>18</v>
      </c>
      <c r="W13" s="702">
        <f t="shared" si="2"/>
        <v>100</v>
      </c>
      <c r="X13" s="703"/>
      <c r="Y13" s="3544"/>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80"/>
      <c r="Q14" s="1343">
        <f t="shared" si="6"/>
        <v>111</v>
      </c>
      <c r="R14" s="701" t="s">
        <v>18</v>
      </c>
      <c r="S14" s="702">
        <f t="shared" si="0"/>
        <v>100</v>
      </c>
      <c r="T14" s="701" t="s">
        <v>18</v>
      </c>
      <c r="U14" s="702">
        <f t="shared" si="1"/>
        <v>100</v>
      </c>
      <c r="V14" s="701" t="s">
        <v>18</v>
      </c>
      <c r="W14" s="702">
        <f t="shared" si="2"/>
        <v>100</v>
      </c>
      <c r="X14" s="703"/>
      <c r="Y14" s="3544"/>
      <c r="Z14" s="52">
        <f t="shared" si="7"/>
        <v>111</v>
      </c>
      <c r="AA14" s="704">
        <f t="shared" si="3"/>
        <v>1</v>
      </c>
      <c r="AB14" s="704">
        <f t="shared" si="4"/>
        <v>1</v>
      </c>
      <c r="AC14" s="704">
        <f t="shared" si="5"/>
        <v>1</v>
      </c>
    </row>
    <row r="15" spans="1:29" ht="96.6">
      <c r="A15" s="391" t="s">
        <v>1688</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8" t="s">
        <v>1689</v>
      </c>
      <c r="Q15" s="1352" t="str">
        <f t="shared" si="6"/>
        <v>居住社区成熟度</v>
      </c>
      <c r="R15" s="705" t="s">
        <v>18</v>
      </c>
      <c r="S15" s="706">
        <f t="shared" si="0"/>
        <v>100</v>
      </c>
      <c r="T15" s="705" t="s">
        <v>18</v>
      </c>
      <c r="U15" s="706">
        <f t="shared" si="1"/>
        <v>100</v>
      </c>
      <c r="V15" s="705" t="s">
        <v>18</v>
      </c>
      <c r="W15" s="706">
        <f t="shared" si="2"/>
        <v>100</v>
      </c>
      <c r="X15" s="1355"/>
      <c r="Y15" s="3671"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79"/>
      <c r="Q16" s="1352"/>
      <c r="R16" s="705"/>
      <c r="S16" s="706"/>
      <c r="T16" s="705"/>
      <c r="U16" s="706"/>
      <c r="V16" s="705"/>
      <c r="W16" s="706"/>
      <c r="X16" s="1355"/>
      <c r="Y16" s="3672"/>
      <c r="Z16" s="1356"/>
      <c r="AA16" s="1353">
        <v>1</v>
      </c>
      <c r="AB16" s="1353">
        <v>1</v>
      </c>
      <c r="AC16" s="1353">
        <v>1</v>
      </c>
    </row>
    <row r="17" spans="1:29" ht="82.8">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9"/>
      <c r="Q17" s="1352" t="str">
        <f>B17</f>
        <v>交通便捷度</v>
      </c>
      <c r="R17" s="705" t="s">
        <v>18</v>
      </c>
      <c r="S17" s="706">
        <f>F17</f>
        <v>100</v>
      </c>
      <c r="T17" s="705" t="s">
        <v>18</v>
      </c>
      <c r="U17" s="706">
        <f>H17</f>
        <v>100</v>
      </c>
      <c r="V17" s="705" t="s">
        <v>18</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79"/>
      <c r="Q18" s="1352"/>
      <c r="R18" s="705"/>
      <c r="S18" s="706"/>
      <c r="T18" s="705"/>
      <c r="U18" s="706"/>
      <c r="V18" s="705"/>
      <c r="W18" s="706"/>
      <c r="X18" s="1355"/>
      <c r="Y18" s="3672"/>
      <c r="Z18" s="1356"/>
      <c r="AA18" s="1353">
        <v>1</v>
      </c>
      <c r="AB18" s="1353">
        <v>1</v>
      </c>
      <c r="AC18" s="1353">
        <v>1</v>
      </c>
    </row>
    <row r="19" spans="1:29" ht="41.4">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9"/>
      <c r="Q19" s="1352" t="str">
        <f>B19</f>
        <v>公共配套设施</v>
      </c>
      <c r="R19" s="705" t="s">
        <v>18</v>
      </c>
      <c r="S19" s="706">
        <f>F19</f>
        <v>100</v>
      </c>
      <c r="T19" s="705" t="s">
        <v>18</v>
      </c>
      <c r="U19" s="706">
        <f>H19</f>
        <v>100</v>
      </c>
      <c r="V19" s="705" t="s">
        <v>18</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79"/>
      <c r="Q20" s="1352"/>
      <c r="R20" s="705"/>
      <c r="S20" s="706"/>
      <c r="T20" s="705"/>
      <c r="U20" s="706"/>
      <c r="V20" s="705"/>
      <c r="W20" s="706"/>
      <c r="X20" s="1355"/>
      <c r="Y20" s="3672"/>
      <c r="Z20" s="1356"/>
      <c r="AA20" s="1353">
        <v>1</v>
      </c>
      <c r="AB20" s="1353">
        <v>1</v>
      </c>
      <c r="AC20" s="1353">
        <v>1</v>
      </c>
    </row>
    <row r="21" spans="1:29" ht="27.6">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79"/>
      <c r="Q22" s="1352"/>
      <c r="R22" s="705"/>
      <c r="S22" s="706"/>
      <c r="T22" s="705"/>
      <c r="U22" s="706"/>
      <c r="V22" s="705"/>
      <c r="W22" s="706"/>
      <c r="X22" s="1355"/>
      <c r="Y22" s="3672"/>
      <c r="Z22" s="1356"/>
      <c r="AA22" s="1353">
        <v>1</v>
      </c>
      <c r="AB22" s="1353">
        <v>1</v>
      </c>
      <c r="AC22" s="1353">
        <v>1</v>
      </c>
    </row>
    <row r="23" spans="1:29" ht="55.2">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9"/>
      <c r="Q23" s="1352" t="str">
        <f>B23</f>
        <v>自然及人文环境</v>
      </c>
      <c r="R23" s="705" t="s">
        <v>18</v>
      </c>
      <c r="S23" s="706">
        <f>F23</f>
        <v>100</v>
      </c>
      <c r="T23" s="705" t="s">
        <v>18</v>
      </c>
      <c r="U23" s="706">
        <f>H23</f>
        <v>100</v>
      </c>
      <c r="V23" s="705" t="s">
        <v>18</v>
      </c>
      <c r="W23" s="706">
        <f>J23</f>
        <v>100</v>
      </c>
      <c r="X23" s="1355"/>
      <c r="Y23" s="367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79"/>
      <c r="Q24" s="1352"/>
      <c r="R24" s="705"/>
      <c r="S24" s="706"/>
      <c r="T24" s="705"/>
      <c r="U24" s="706"/>
      <c r="V24" s="705"/>
      <c r="W24" s="706"/>
      <c r="X24" s="1355"/>
      <c r="Y24" s="3672"/>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7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2"/>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79"/>
      <c r="Q26" s="1352" t="str">
        <f t="shared" si="11"/>
        <v>朝向</v>
      </c>
      <c r="R26" s="705" t="s">
        <v>18</v>
      </c>
      <c r="S26" s="706">
        <f t="shared" si="12"/>
        <v>100</v>
      </c>
      <c r="T26" s="705" t="s">
        <v>18</v>
      </c>
      <c r="U26" s="706">
        <f t="shared" si="13"/>
        <v>100</v>
      </c>
      <c r="V26" s="705" t="s">
        <v>18</v>
      </c>
      <c r="W26" s="706">
        <f t="shared" si="14"/>
        <v>100</v>
      </c>
      <c r="X26" s="1355"/>
      <c r="Y26" s="367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79"/>
      <c r="Q27" s="1343">
        <f t="shared" si="11"/>
        <v>111</v>
      </c>
      <c r="R27" s="701" t="s">
        <v>18</v>
      </c>
      <c r="S27" s="702">
        <f t="shared" si="12"/>
        <v>100</v>
      </c>
      <c r="T27" s="701" t="s">
        <v>18</v>
      </c>
      <c r="U27" s="702">
        <f t="shared" si="13"/>
        <v>100</v>
      </c>
      <c r="V27" s="701" t="s">
        <v>18</v>
      </c>
      <c r="W27" s="702">
        <f t="shared" si="14"/>
        <v>100</v>
      </c>
      <c r="X27" s="703"/>
      <c r="Y27" s="367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79"/>
      <c r="Q28" s="1352">
        <f t="shared" si="11"/>
        <v>111</v>
      </c>
      <c r="R28" s="705" t="s">
        <v>18</v>
      </c>
      <c r="S28" s="706">
        <f t="shared" si="12"/>
        <v>100</v>
      </c>
      <c r="T28" s="705" t="s">
        <v>18</v>
      </c>
      <c r="U28" s="706">
        <f t="shared" si="13"/>
        <v>100</v>
      </c>
      <c r="V28" s="705" t="s">
        <v>18</v>
      </c>
      <c r="W28" s="706">
        <f t="shared" si="14"/>
        <v>100</v>
      </c>
      <c r="X28" s="1355"/>
      <c r="Y28" s="367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79"/>
      <c r="Q29" s="1352">
        <f t="shared" si="11"/>
        <v>111</v>
      </c>
      <c r="R29" s="705" t="s">
        <v>18</v>
      </c>
      <c r="S29" s="706">
        <f t="shared" si="12"/>
        <v>100</v>
      </c>
      <c r="T29" s="705" t="s">
        <v>18</v>
      </c>
      <c r="U29" s="706">
        <f t="shared" si="13"/>
        <v>100</v>
      </c>
      <c r="V29" s="705" t="s">
        <v>18</v>
      </c>
      <c r="W29" s="706">
        <f t="shared" si="14"/>
        <v>100</v>
      </c>
      <c r="X29" s="1355"/>
      <c r="Y29" s="367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79"/>
      <c r="Q30" s="1352">
        <f t="shared" si="11"/>
        <v>111</v>
      </c>
      <c r="R30" s="705" t="s">
        <v>18</v>
      </c>
      <c r="S30" s="706">
        <f t="shared" si="12"/>
        <v>100</v>
      </c>
      <c r="T30" s="705" t="s">
        <v>18</v>
      </c>
      <c r="U30" s="706">
        <f t="shared" si="13"/>
        <v>100</v>
      </c>
      <c r="V30" s="705" t="s">
        <v>18</v>
      </c>
      <c r="W30" s="706">
        <f t="shared" si="14"/>
        <v>100</v>
      </c>
      <c r="X30" s="1355"/>
      <c r="Y30" s="3672"/>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79"/>
      <c r="Q31" s="1352">
        <f t="shared" si="11"/>
        <v>111</v>
      </c>
      <c r="R31" s="705" t="s">
        <v>18</v>
      </c>
      <c r="S31" s="706">
        <f t="shared" si="12"/>
        <v>100</v>
      </c>
      <c r="T31" s="705" t="s">
        <v>18</v>
      </c>
      <c r="U31" s="706">
        <f t="shared" si="13"/>
        <v>100</v>
      </c>
      <c r="V31" s="705" t="s">
        <v>18</v>
      </c>
      <c r="W31" s="706">
        <f t="shared" si="14"/>
        <v>100</v>
      </c>
      <c r="X31" s="1355"/>
      <c r="Y31" s="3672"/>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73" t="s">
        <v>1694</v>
      </c>
      <c r="Q32" s="1352" t="str">
        <f t="shared" si="11"/>
        <v>建筑类型</v>
      </c>
      <c r="R32" s="705" t="s">
        <v>18</v>
      </c>
      <c r="S32" s="706">
        <f t="shared" si="12"/>
        <v>100</v>
      </c>
      <c r="T32" s="705" t="s">
        <v>18</v>
      </c>
      <c r="U32" s="706">
        <f t="shared" si="13"/>
        <v>100</v>
      </c>
      <c r="V32" s="705" t="s">
        <v>18</v>
      </c>
      <c r="W32" s="706">
        <f t="shared" si="14"/>
        <v>100</v>
      </c>
      <c r="X32" s="1355"/>
      <c r="Y32" s="3676"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74"/>
      <c r="Q33" s="707" t="str">
        <f t="shared" si="11"/>
        <v>项目建筑规模</v>
      </c>
      <c r="R33" s="708" t="s">
        <v>18</v>
      </c>
      <c r="S33" s="709" t="e">
        <f t="shared" si="12"/>
        <v>#N/A</v>
      </c>
      <c r="T33" s="708" t="s">
        <v>18</v>
      </c>
      <c r="U33" s="709" t="e">
        <f t="shared" si="13"/>
        <v>#N/A</v>
      </c>
      <c r="V33" s="708" t="s">
        <v>18</v>
      </c>
      <c r="W33" s="709" t="e">
        <f t="shared" si="14"/>
        <v>#N/A</v>
      </c>
      <c r="X33" s="710"/>
      <c r="Y33" s="3676"/>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74"/>
      <c r="Q34" s="1352" t="str">
        <f t="shared" si="11"/>
        <v>建筑结构</v>
      </c>
      <c r="R34" s="705" t="s">
        <v>18</v>
      </c>
      <c r="S34" s="706">
        <f t="shared" si="12"/>
        <v>100</v>
      </c>
      <c r="T34" s="705" t="s">
        <v>18</v>
      </c>
      <c r="U34" s="706">
        <f t="shared" si="13"/>
        <v>100</v>
      </c>
      <c r="V34" s="705" t="s">
        <v>18</v>
      </c>
      <c r="W34" s="706">
        <f t="shared" si="14"/>
        <v>100</v>
      </c>
      <c r="X34" s="1355"/>
      <c r="Y34" s="3676"/>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74"/>
      <c r="Q35" s="1352" t="str">
        <f t="shared" si="11"/>
        <v>建筑品质</v>
      </c>
      <c r="R35" s="705" t="s">
        <v>18</v>
      </c>
      <c r="S35" s="706">
        <f t="shared" si="12"/>
        <v>100</v>
      </c>
      <c r="T35" s="705" t="s">
        <v>18</v>
      </c>
      <c r="U35" s="706">
        <f t="shared" si="13"/>
        <v>100</v>
      </c>
      <c r="V35" s="705" t="s">
        <v>18</v>
      </c>
      <c r="W35" s="706">
        <f t="shared" si="14"/>
        <v>100</v>
      </c>
      <c r="X35" s="1355"/>
      <c r="Y35" s="3676"/>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74"/>
      <c r="Q36" s="1352" t="str">
        <f t="shared" si="11"/>
        <v>公共部分装修</v>
      </c>
      <c r="R36" s="705" t="s">
        <v>18</v>
      </c>
      <c r="S36" s="706">
        <f t="shared" si="12"/>
        <v>100</v>
      </c>
      <c r="T36" s="705" t="s">
        <v>18</v>
      </c>
      <c r="U36" s="706">
        <f t="shared" si="13"/>
        <v>100</v>
      </c>
      <c r="V36" s="705" t="s">
        <v>18</v>
      </c>
      <c r="W36" s="706">
        <f t="shared" si="14"/>
        <v>100</v>
      </c>
      <c r="X36" s="1355"/>
      <c r="Y36" s="3676"/>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4"/>
      <c r="Q37" s="1343" t="str">
        <f t="shared" si="11"/>
        <v>成新度</v>
      </c>
      <c r="R37" s="701" t="s">
        <v>18</v>
      </c>
      <c r="S37" s="702" t="e">
        <f t="shared" si="12"/>
        <v>#N/A</v>
      </c>
      <c r="T37" s="701" t="s">
        <v>18</v>
      </c>
      <c r="U37" s="702" t="e">
        <f t="shared" si="13"/>
        <v>#N/A</v>
      </c>
      <c r="V37" s="701" t="s">
        <v>18</v>
      </c>
      <c r="W37" s="702" t="e">
        <f t="shared" si="14"/>
        <v>#N/A</v>
      </c>
      <c r="X37" s="703"/>
      <c r="Y37" s="3676"/>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74" t="s">
        <v>1694</v>
      </c>
      <c r="Q38" s="1352" t="str">
        <f t="shared" si="11"/>
        <v>物业管理</v>
      </c>
      <c r="R38" s="705" t="s">
        <v>18</v>
      </c>
      <c r="S38" s="706">
        <f t="shared" si="12"/>
        <v>100</v>
      </c>
      <c r="T38" s="705" t="s">
        <v>18</v>
      </c>
      <c r="U38" s="706">
        <f t="shared" si="13"/>
        <v>100</v>
      </c>
      <c r="V38" s="705" t="s">
        <v>18</v>
      </c>
      <c r="W38" s="706">
        <f t="shared" si="14"/>
        <v>100</v>
      </c>
      <c r="X38" s="1355"/>
      <c r="Y38" s="3676"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74"/>
      <c r="Q39" s="1352" t="str">
        <f t="shared" si="11"/>
        <v>市政基础设施</v>
      </c>
      <c r="R39" s="705" t="s">
        <v>18</v>
      </c>
      <c r="S39" s="706">
        <f t="shared" si="12"/>
        <v>100</v>
      </c>
      <c r="T39" s="705" t="s">
        <v>18</v>
      </c>
      <c r="U39" s="706">
        <f t="shared" si="13"/>
        <v>100</v>
      </c>
      <c r="V39" s="705" t="s">
        <v>18</v>
      </c>
      <c r="W39" s="706">
        <f t="shared" si="14"/>
        <v>100</v>
      </c>
      <c r="X39" s="1355"/>
      <c r="Y39" s="3676"/>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74"/>
      <c r="Q40" s="1352" t="str">
        <f t="shared" si="11"/>
        <v>房型</v>
      </c>
      <c r="R40" s="705" t="s">
        <v>18</v>
      </c>
      <c r="S40" s="706">
        <f t="shared" si="12"/>
        <v>100</v>
      </c>
      <c r="T40" s="705" t="s">
        <v>18</v>
      </c>
      <c r="U40" s="706">
        <f t="shared" si="13"/>
        <v>100</v>
      </c>
      <c r="V40" s="705" t="s">
        <v>18</v>
      </c>
      <c r="W40" s="706">
        <f t="shared" si="14"/>
        <v>100</v>
      </c>
      <c r="X40" s="1355"/>
      <c r="Y40" s="3676"/>
      <c r="Z40" s="1356" t="str">
        <f t="shared" si="18"/>
        <v>房型</v>
      </c>
      <c r="AA40" s="1353">
        <f t="shared" si="15"/>
        <v>1</v>
      </c>
      <c r="AB40" s="1353">
        <f t="shared" si="16"/>
        <v>1</v>
      </c>
      <c r="AC40" s="1353">
        <f t="shared" si="17"/>
        <v>1</v>
      </c>
    </row>
    <row r="41" spans="1:29" s="422" customFormat="1" ht="28.8">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74"/>
      <c r="Q41" s="707" t="str">
        <f t="shared" si="11"/>
        <v>单套/主力户型建筑面积</v>
      </c>
      <c r="R41" s="708" t="s">
        <v>18</v>
      </c>
      <c r="S41" s="709">
        <f t="shared" si="12"/>
        <v>100</v>
      </c>
      <c r="T41" s="708" t="s">
        <v>18</v>
      </c>
      <c r="U41" s="709">
        <f t="shared" si="13"/>
        <v>100</v>
      </c>
      <c r="V41" s="708" t="s">
        <v>18</v>
      </c>
      <c r="W41" s="709">
        <f t="shared" si="14"/>
        <v>100</v>
      </c>
      <c r="X41" s="710"/>
      <c r="Y41" s="3676"/>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74"/>
      <c r="Q42" s="1352" t="str">
        <f t="shared" si="11"/>
        <v>内部装修</v>
      </c>
      <c r="R42" s="705" t="s">
        <v>18</v>
      </c>
      <c r="S42" s="706">
        <f t="shared" si="12"/>
        <v>100</v>
      </c>
      <c r="T42" s="705" t="s">
        <v>18</v>
      </c>
      <c r="U42" s="706">
        <f t="shared" si="13"/>
        <v>100</v>
      </c>
      <c r="V42" s="705" t="s">
        <v>18</v>
      </c>
      <c r="W42" s="706">
        <f t="shared" si="14"/>
        <v>100</v>
      </c>
      <c r="X42" s="1355"/>
      <c r="Y42" s="3676"/>
      <c r="Z42" s="1356" t="str">
        <f t="shared" si="18"/>
        <v>内部装修</v>
      </c>
      <c r="AA42" s="1353">
        <f t="shared" si="15"/>
        <v>1</v>
      </c>
      <c r="AB42" s="1353">
        <f t="shared" si="16"/>
        <v>1</v>
      </c>
      <c r="AC42" s="1353">
        <f t="shared" si="17"/>
        <v>1</v>
      </c>
    </row>
    <row r="43" spans="1:29" ht="28.8">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74"/>
      <c r="Q43" s="1352" t="str">
        <f t="shared" si="11"/>
        <v>内部装修维护情况</v>
      </c>
      <c r="R43" s="705" t="s">
        <v>18</v>
      </c>
      <c r="S43" s="706">
        <f t="shared" si="12"/>
        <v>100</v>
      </c>
      <c r="T43" s="705" t="s">
        <v>18</v>
      </c>
      <c r="U43" s="706">
        <f t="shared" si="13"/>
        <v>100</v>
      </c>
      <c r="V43" s="705" t="s">
        <v>18</v>
      </c>
      <c r="W43" s="706">
        <f t="shared" si="14"/>
        <v>100</v>
      </c>
      <c r="X43" s="1355"/>
      <c r="Y43" s="367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74"/>
      <c r="Q44" s="1343">
        <f t="shared" si="11"/>
        <v>111</v>
      </c>
      <c r="R44" s="701" t="s">
        <v>18</v>
      </c>
      <c r="S44" s="702">
        <f t="shared" si="12"/>
        <v>100</v>
      </c>
      <c r="T44" s="701" t="s">
        <v>18</v>
      </c>
      <c r="U44" s="702">
        <f t="shared" si="13"/>
        <v>100</v>
      </c>
      <c r="V44" s="701" t="s">
        <v>18</v>
      </c>
      <c r="W44" s="702">
        <f t="shared" si="14"/>
        <v>100</v>
      </c>
      <c r="X44" s="703"/>
      <c r="Y44" s="367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74"/>
      <c r="Q45" s="1352">
        <f t="shared" si="11"/>
        <v>111</v>
      </c>
      <c r="R45" s="705" t="s">
        <v>18</v>
      </c>
      <c r="S45" s="706">
        <f t="shared" si="12"/>
        <v>100</v>
      </c>
      <c r="T45" s="705" t="s">
        <v>18</v>
      </c>
      <c r="U45" s="706">
        <f t="shared" si="13"/>
        <v>100</v>
      </c>
      <c r="V45" s="705" t="s">
        <v>18</v>
      </c>
      <c r="W45" s="706">
        <f t="shared" si="14"/>
        <v>100</v>
      </c>
      <c r="X45" s="1355"/>
      <c r="Y45" s="3676"/>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75"/>
      <c r="Q46" s="1352">
        <f t="shared" si="11"/>
        <v>111</v>
      </c>
      <c r="R46" s="705" t="s">
        <v>17</v>
      </c>
      <c r="S46" s="706">
        <f t="shared" si="12"/>
        <v>100</v>
      </c>
      <c r="T46" s="705" t="s">
        <v>17</v>
      </c>
      <c r="U46" s="706">
        <f t="shared" si="13"/>
        <v>100</v>
      </c>
      <c r="V46" s="705" t="s">
        <v>17</v>
      </c>
      <c r="W46" s="706">
        <f t="shared" si="14"/>
        <v>100</v>
      </c>
      <c r="X46" s="1355"/>
      <c r="Y46" s="3677"/>
      <c r="Z46" s="1356">
        <f t="shared" si="18"/>
        <v>111</v>
      </c>
      <c r="AA46" s="1353">
        <f t="shared" si="15"/>
        <v>1</v>
      </c>
      <c r="AB46" s="1353">
        <f t="shared" si="16"/>
        <v>1</v>
      </c>
      <c r="AC46" s="1353">
        <f t="shared" si="17"/>
        <v>1</v>
      </c>
    </row>
    <row r="47" spans="1:29" ht="14.4">
      <c r="A47" s="430" t="s">
        <v>1706</v>
      </c>
      <c r="B47" s="431"/>
      <c r="C47" s="1154" t="s">
        <v>16</v>
      </c>
      <c r="D47" s="1155"/>
      <c r="E47" s="1156"/>
      <c r="F47" s="1157"/>
      <c r="G47" s="1158"/>
      <c r="H47" s="1159"/>
      <c r="I47" s="1156"/>
      <c r="J47" s="1159"/>
      <c r="K47" s="1914"/>
      <c r="L47" s="2723"/>
      <c r="M47" s="2724"/>
      <c r="N47" s="2715"/>
      <c r="O47" s="2724"/>
      <c r="P47" s="3669" t="str">
        <f>A47</f>
        <v>成交单价（元/平方米）</v>
      </c>
      <c r="Q47" s="3669"/>
      <c r="R47" s="3670">
        <f>E47</f>
        <v>0</v>
      </c>
      <c r="S47" s="3670"/>
      <c r="T47" s="3670">
        <f>G47</f>
        <v>0</v>
      </c>
      <c r="U47" s="3670"/>
      <c r="V47" s="3670">
        <f>I47</f>
        <v>0</v>
      </c>
      <c r="W47" s="3670"/>
      <c r="X47" s="690"/>
      <c r="Y47" s="712"/>
      <c r="Z47" s="690"/>
      <c r="AA47" s="690"/>
      <c r="AB47" s="690"/>
      <c r="AC47" s="690"/>
    </row>
    <row r="48" spans="1:29" ht="15" thickBot="1">
      <c r="A48" s="437" t="s">
        <v>1707</v>
      </c>
      <c r="B48" s="438"/>
      <c r="C48" s="1160" t="e">
        <f>R49</f>
        <v>#DIV/0!</v>
      </c>
      <c r="D48" s="2317" t="s">
        <v>2136</v>
      </c>
      <c r="E48" s="1161" t="e">
        <f>R48</f>
        <v>#DIV/0!</v>
      </c>
      <c r="F48" s="2318"/>
      <c r="G48" s="1160" t="e">
        <f>T48</f>
        <v>#DIV/0!</v>
      </c>
      <c r="H48" s="2318"/>
      <c r="I48" s="1161" t="e">
        <f>V48</f>
        <v>#DIV/0!</v>
      </c>
      <c r="J48" s="2318"/>
      <c r="K48" s="2319">
        <f>F48+H48+J48</f>
        <v>0</v>
      </c>
      <c r="L48" s="2723"/>
      <c r="M48" s="2724"/>
      <c r="N48" s="2724"/>
      <c r="O48" s="2724"/>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90"/>
      <c r="Y48" s="690"/>
      <c r="Z48" s="690"/>
      <c r="AA48" s="690"/>
      <c r="AB48" s="690"/>
      <c r="AC48" s="690"/>
    </row>
    <row r="49" spans="1:29" ht="15" thickBot="1">
      <c r="A49" s="441" t="s">
        <v>1708</v>
      </c>
      <c r="B49" s="442"/>
      <c r="C49" s="1162" t="e">
        <f>R49</f>
        <v>#DIV/0!</v>
      </c>
      <c r="D49" s="1163"/>
      <c r="E49" s="1163"/>
      <c r="F49" s="1163"/>
      <c r="G49" s="1163"/>
      <c r="H49" s="1163"/>
      <c r="I49" s="1163"/>
      <c r="J49" s="1163"/>
      <c r="K49" s="1915"/>
      <c r="L49" s="2723"/>
      <c r="M49" s="2724"/>
      <c r="N49" s="2724"/>
      <c r="O49" s="2724"/>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1712</v>
      </c>
      <c r="B57" s="690"/>
      <c r="C57" s="695"/>
      <c r="D57" s="695"/>
      <c r="E57" s="695"/>
      <c r="F57" s="696"/>
      <c r="G57" s="696"/>
      <c r="H57" s="695"/>
      <c r="I57" s="695"/>
      <c r="J57" s="695"/>
      <c r="K57" s="941"/>
      <c r="L57" s="942"/>
      <c r="M57" s="940"/>
      <c r="N57" s="940"/>
      <c r="O57" s="940"/>
      <c r="P57" s="1918"/>
      <c r="Q57" s="453"/>
    </row>
    <row r="58" spans="1:29" s="457" customFormat="1" ht="14.4">
      <c r="A58" s="454" t="s">
        <v>1713</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1714</v>
      </c>
      <c r="B60" s="465"/>
      <c r="C60" s="466"/>
      <c r="D60" s="467"/>
      <c r="E60" s="467"/>
      <c r="F60" s="467"/>
      <c r="G60" s="467"/>
      <c r="H60" s="467"/>
      <c r="I60" s="467"/>
      <c r="J60" s="467"/>
      <c r="K60" s="467"/>
      <c r="L60" s="467"/>
      <c r="M60" s="468"/>
      <c r="N60" s="467"/>
      <c r="O60" s="468"/>
      <c r="P60" s="1920"/>
      <c r="Q60" s="453"/>
    </row>
    <row r="61" spans="1:29" s="108" customFormat="1" ht="14.4">
      <c r="A61" s="470" t="s">
        <v>1715</v>
      </c>
      <c r="B61" s="459"/>
      <c r="C61" s="471" t="s">
        <v>1716</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1717</v>
      </c>
      <c r="B63" s="477" t="s">
        <v>1683</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1686</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1259</v>
      </c>
      <c r="C82" s="488" t="s">
        <v>1726</v>
      </c>
      <c r="D82" s="488" t="s">
        <v>1727</v>
      </c>
      <c r="E82" s="488" t="s">
        <v>1728</v>
      </c>
      <c r="F82" s="488" t="s">
        <v>1729</v>
      </c>
      <c r="G82" s="488" t="s">
        <v>1730</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1732</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1733</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1692</v>
      </c>
      <c r="B100" s="477" t="s">
        <v>1734</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6.2"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ht="14.4">
      <c r="B147" s="1929" t="s">
        <v>1762</v>
      </c>
    </row>
    <row r="148" spans="2:11" ht="14.4">
      <c r="B148" s="192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63" sqref="N63"/>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1658</v>
      </c>
      <c r="B1" s="1878" t="s">
        <v>1764</v>
      </c>
      <c r="C1" s="1238" t="s">
        <v>1660</v>
      </c>
      <c r="D1" s="1225"/>
      <c r="E1" s="3425"/>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10052.84</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1767</v>
      </c>
      <c r="B4" s="356"/>
      <c r="C4" s="3684" t="s">
        <v>1768</v>
      </c>
      <c r="D4" s="3685"/>
      <c r="E4" s="3686" t="s">
        <v>1769</v>
      </c>
      <c r="F4" s="3687"/>
      <c r="G4" s="3684" t="s">
        <v>1770</v>
      </c>
      <c r="H4" s="3685"/>
      <c r="I4" s="3684" t="s">
        <v>1771</v>
      </c>
      <c r="J4" s="3685"/>
      <c r="K4" s="559" t="s">
        <v>1772</v>
      </c>
      <c r="L4" s="2714"/>
      <c r="M4" s="2715"/>
      <c r="N4" s="2715"/>
      <c r="O4" s="2715"/>
      <c r="P4" s="3688" t="s">
        <v>1773</v>
      </c>
      <c r="Q4" s="3689"/>
      <c r="R4" s="3694" t="s">
        <v>1769</v>
      </c>
      <c r="S4" s="3695"/>
      <c r="T4" s="3694" t="s">
        <v>1770</v>
      </c>
      <c r="U4" s="3695"/>
      <c r="V4" s="3700" t="s">
        <v>1771</v>
      </c>
      <c r="W4" s="3700"/>
      <c r="X4" s="1355"/>
      <c r="Y4" s="3694" t="s">
        <v>1773</v>
      </c>
      <c r="Z4" s="3695"/>
      <c r="AA4" s="3681" t="s">
        <v>1769</v>
      </c>
      <c r="AB4" s="3700" t="s">
        <v>1770</v>
      </c>
      <c r="AC4" s="3681" t="s">
        <v>1771</v>
      </c>
    </row>
    <row r="5" spans="1:29">
      <c r="A5" s="358"/>
      <c r="B5" s="359"/>
      <c r="C5" s="3703" t="s">
        <v>1671</v>
      </c>
      <c r="D5" s="3704"/>
      <c r="E5" s="3710" t="s">
        <v>1672</v>
      </c>
      <c r="F5" s="3711"/>
      <c r="G5" s="3703" t="s">
        <v>1673</v>
      </c>
      <c r="H5" s="3704"/>
      <c r="I5" s="3703" t="s">
        <v>1674</v>
      </c>
      <c r="J5" s="3704"/>
      <c r="K5" s="559"/>
      <c r="L5" s="2714"/>
      <c r="M5" s="2715"/>
      <c r="N5" s="2715"/>
      <c r="O5" s="2715"/>
      <c r="P5" s="3690"/>
      <c r="Q5" s="3691"/>
      <c r="R5" s="3696"/>
      <c r="S5" s="3697"/>
      <c r="T5" s="3696"/>
      <c r="U5" s="3697"/>
      <c r="V5" s="3700"/>
      <c r="W5" s="3700"/>
      <c r="X5" s="1355"/>
      <c r="Y5" s="3696"/>
      <c r="Z5" s="3697"/>
      <c r="AA5" s="3682"/>
      <c r="AB5" s="3700"/>
      <c r="AC5" s="3682"/>
    </row>
    <row r="6" spans="1:29" ht="15" thickBot="1">
      <c r="A6" s="360"/>
      <c r="B6" s="361"/>
      <c r="C6" s="3701" t="s">
        <v>1675</v>
      </c>
      <c r="D6" s="3702"/>
      <c r="E6" s="3708" t="s">
        <v>1675</v>
      </c>
      <c r="F6" s="3709"/>
      <c r="G6" s="3701" t="s">
        <v>1675</v>
      </c>
      <c r="H6" s="3702"/>
      <c r="I6" s="3701" t="s">
        <v>1675</v>
      </c>
      <c r="J6" s="3702"/>
      <c r="K6" s="559" t="s">
        <v>1676</v>
      </c>
      <c r="L6" s="2714"/>
      <c r="M6" s="2715"/>
      <c r="N6" s="2715"/>
      <c r="O6" s="2715"/>
      <c r="P6" s="3692"/>
      <c r="Q6" s="3693"/>
      <c r="R6" s="3696"/>
      <c r="S6" s="3697"/>
      <c r="T6" s="3698"/>
      <c r="U6" s="3699"/>
      <c r="V6" s="3700"/>
      <c r="W6" s="3700"/>
      <c r="X6" s="1355"/>
      <c r="Y6" s="3698"/>
      <c r="Z6" s="3699"/>
      <c r="AA6" s="3683"/>
      <c r="AB6" s="3700"/>
      <c r="AC6" s="3683"/>
    </row>
    <row r="7" spans="1:29" s="108" customFormat="1" ht="15" thickBot="1">
      <c r="A7" s="362" t="s">
        <v>1677</v>
      </c>
      <c r="B7" s="363"/>
      <c r="C7" s="364">
        <f>'数据-取费表'!B2</f>
        <v>45224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5" t="s">
        <v>1678</v>
      </c>
      <c r="Q7" s="3707"/>
      <c r="R7" s="701" t="s">
        <v>14</v>
      </c>
      <c r="S7" s="702">
        <f t="shared" ref="S7:S15" si="0">F7</f>
        <v>0</v>
      </c>
      <c r="T7" s="701" t="s">
        <v>14</v>
      </c>
      <c r="U7" s="702">
        <f t="shared" ref="U7:U15" si="1">H7</f>
        <v>0</v>
      </c>
      <c r="V7" s="701" t="s">
        <v>14</v>
      </c>
      <c r="W7" s="702">
        <f t="shared" ref="W7:W15" si="2">J7</f>
        <v>0</v>
      </c>
      <c r="X7" s="703"/>
      <c r="Y7" s="3705" t="s">
        <v>1678</v>
      </c>
      <c r="Z7" s="3706"/>
      <c r="AA7" s="704" t="e">
        <f>D7/F7</f>
        <v>#DIV/0!</v>
      </c>
      <c r="AB7" s="704" t="e">
        <f>D7/H7</f>
        <v>#DIV/0!</v>
      </c>
      <c r="AC7" s="704" t="e">
        <f>D7/J7</f>
        <v>#DIV/0!</v>
      </c>
    </row>
    <row r="8" spans="1:29" s="108" customFormat="1" ht="1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5" t="s">
        <v>1681</v>
      </c>
      <c r="Q8" s="3706"/>
      <c r="R8" s="701" t="s">
        <v>14</v>
      </c>
      <c r="S8" s="702">
        <f t="shared" si="0"/>
        <v>100</v>
      </c>
      <c r="T8" s="701" t="s">
        <v>14</v>
      </c>
      <c r="U8" s="702">
        <f t="shared" si="1"/>
        <v>100</v>
      </c>
      <c r="V8" s="701" t="s">
        <v>14</v>
      </c>
      <c r="W8" s="702">
        <f t="shared" si="2"/>
        <v>100</v>
      </c>
      <c r="X8" s="703"/>
      <c r="Y8" s="3705" t="s">
        <v>1681</v>
      </c>
      <c r="Z8" s="3706"/>
      <c r="AA8" s="704">
        <f t="shared" ref="AA8:AA46" si="3">D8/F8</f>
        <v>1</v>
      </c>
      <c r="AB8" s="704">
        <f t="shared" ref="AB8:AB46" si="4">D8/H8</f>
        <v>1</v>
      </c>
      <c r="AC8" s="704">
        <f t="shared" ref="AC8:AC46" si="5">D8/J8</f>
        <v>1</v>
      </c>
    </row>
    <row r="9" spans="1:29" s="108" customFormat="1" ht="14.4">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0" t="s">
        <v>1684</v>
      </c>
      <c r="Q9" s="1343" t="str">
        <f t="shared" ref="Q9:Q15" si="6">B9</f>
        <v>用途</v>
      </c>
      <c r="R9" s="701" t="s">
        <v>14</v>
      </c>
      <c r="S9" s="702">
        <f t="shared" si="0"/>
        <v>100</v>
      </c>
      <c r="T9" s="701" t="s">
        <v>14</v>
      </c>
      <c r="U9" s="702">
        <f t="shared" si="1"/>
        <v>100</v>
      </c>
      <c r="V9" s="701" t="s">
        <v>14</v>
      </c>
      <c r="W9" s="702">
        <f t="shared" si="2"/>
        <v>100</v>
      </c>
      <c r="X9" s="703"/>
      <c r="Y9" s="3544" t="s">
        <v>1685</v>
      </c>
      <c r="Z9" s="52" t="str">
        <f t="shared" ref="Z9:Z15" si="7">Q9</f>
        <v>用途</v>
      </c>
      <c r="AA9" s="704">
        <f t="shared" si="3"/>
        <v>1</v>
      </c>
      <c r="AB9" s="704">
        <f t="shared" si="4"/>
        <v>1</v>
      </c>
      <c r="AC9" s="704">
        <f t="shared" si="5"/>
        <v>1</v>
      </c>
    </row>
    <row r="10" spans="1:29" s="378" customFormat="1" ht="28.8">
      <c r="A10" s="374"/>
      <c r="B10" s="375" t="s">
        <v>1686</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0"/>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0"/>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0"/>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0"/>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69">
      <c r="A15" s="391" t="s">
        <v>1688</v>
      </c>
      <c r="B15" s="61" t="s">
        <v>1775</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78" t="s">
        <v>1689</v>
      </c>
      <c r="Q15" s="1352" t="str">
        <f t="shared" si="6"/>
        <v>商业繁华度</v>
      </c>
      <c r="R15" s="705" t="s">
        <v>14</v>
      </c>
      <c r="S15" s="706">
        <f t="shared" si="0"/>
        <v>100</v>
      </c>
      <c r="T15" s="705" t="s">
        <v>14</v>
      </c>
      <c r="U15" s="706">
        <f t="shared" si="1"/>
        <v>100</v>
      </c>
      <c r="V15" s="705" t="s">
        <v>14</v>
      </c>
      <c r="W15" s="706">
        <f t="shared" si="2"/>
        <v>100</v>
      </c>
      <c r="X15" s="1355"/>
      <c r="Y15" s="3671"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79"/>
      <c r="Q16" s="1352"/>
      <c r="R16" s="705"/>
      <c r="S16" s="706"/>
      <c r="T16" s="705"/>
      <c r="U16" s="706"/>
      <c r="V16" s="705"/>
      <c r="W16" s="706"/>
      <c r="X16" s="1355"/>
      <c r="Y16" s="3672"/>
      <c r="Z16" s="1356"/>
      <c r="AA16" s="1353">
        <v>1</v>
      </c>
      <c r="AB16" s="1353">
        <v>1</v>
      </c>
      <c r="AC16" s="1353">
        <v>1</v>
      </c>
    </row>
    <row r="17" spans="1:29" ht="82.8">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79"/>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79"/>
      <c r="Q18" s="1352"/>
      <c r="R18" s="705"/>
      <c r="S18" s="706"/>
      <c r="T18" s="705"/>
      <c r="U18" s="706"/>
      <c r="V18" s="705"/>
      <c r="W18" s="706"/>
      <c r="X18" s="1355"/>
      <c r="Y18" s="3672"/>
      <c r="Z18" s="1356"/>
      <c r="AA18" s="1353">
        <v>1</v>
      </c>
      <c r="AB18" s="1353">
        <v>1</v>
      </c>
      <c r="AC18" s="1353">
        <v>1</v>
      </c>
    </row>
    <row r="19" spans="1:29" ht="41.4">
      <c r="A19" s="379"/>
      <c r="B19" s="402" t="s">
        <v>1776</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79"/>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79"/>
      <c r="Q20" s="1352"/>
      <c r="R20" s="705"/>
      <c r="S20" s="706"/>
      <c r="T20" s="705"/>
      <c r="U20" s="706"/>
      <c r="V20" s="705"/>
      <c r="W20" s="706"/>
      <c r="X20" s="1355"/>
      <c r="Y20" s="3672"/>
      <c r="Z20" s="1356"/>
      <c r="AA20" s="1353">
        <v>1</v>
      </c>
      <c r="AB20" s="1353">
        <v>1</v>
      </c>
      <c r="AC20" s="1353">
        <v>1</v>
      </c>
    </row>
    <row r="21" spans="1:29" ht="27.6">
      <c r="A21" s="379"/>
      <c r="B21" s="1131" t="s">
        <v>1777</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79"/>
      <c r="Q22" s="1352"/>
      <c r="R22" s="705"/>
      <c r="S22" s="706"/>
      <c r="T22" s="705"/>
      <c r="U22" s="706"/>
      <c r="V22" s="705"/>
      <c r="W22" s="706"/>
      <c r="X22" s="1355"/>
      <c r="Y22" s="3672"/>
      <c r="Z22" s="1356"/>
      <c r="AA22" s="1353">
        <v>1</v>
      </c>
      <c r="AB22" s="1353">
        <v>1</v>
      </c>
      <c r="AC22" s="1353">
        <v>1</v>
      </c>
    </row>
    <row r="23" spans="1:29" ht="55.2">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79"/>
      <c r="Q23" s="1352" t="str">
        <f>B23</f>
        <v>自然及人文环境</v>
      </c>
      <c r="R23" s="705" t="s">
        <v>14</v>
      </c>
      <c r="S23" s="706">
        <f>F23</f>
        <v>100</v>
      </c>
      <c r="T23" s="705" t="s">
        <v>14</v>
      </c>
      <c r="U23" s="706">
        <f>H23</f>
        <v>100</v>
      </c>
      <c r="V23" s="705" t="s">
        <v>14</v>
      </c>
      <c r="W23" s="706">
        <f>J23</f>
        <v>100</v>
      </c>
      <c r="X23" s="1355"/>
      <c r="Y23" s="367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79"/>
      <c r="Q24" s="1352"/>
      <c r="R24" s="705"/>
      <c r="S24" s="706"/>
      <c r="T24" s="705"/>
      <c r="U24" s="706"/>
      <c r="V24" s="705"/>
      <c r="W24" s="706"/>
      <c r="X24" s="1355"/>
      <c r="Y24" s="3672"/>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79"/>
      <c r="Q25" s="1352" t="str">
        <f t="shared" ref="Q25:Q46" si="11">B25</f>
        <v>临街状况</v>
      </c>
      <c r="R25" s="705" t="s">
        <v>14</v>
      </c>
      <c r="S25" s="706">
        <f>F25</f>
        <v>100</v>
      </c>
      <c r="T25" s="705" t="s">
        <v>14</v>
      </c>
      <c r="U25" s="706">
        <f>H25</f>
        <v>100</v>
      </c>
      <c r="V25" s="705" t="s">
        <v>14</v>
      </c>
      <c r="W25" s="706">
        <f>J25</f>
        <v>100</v>
      </c>
      <c r="X25" s="1355"/>
      <c r="Y25" s="3672"/>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9"/>
      <c r="Q26" s="1352" t="str">
        <f t="shared" si="11"/>
        <v>平面位置/可视性</v>
      </c>
      <c r="R26" s="705" t="s">
        <v>14</v>
      </c>
      <c r="S26" s="706">
        <f>F26</f>
        <v>100</v>
      </c>
      <c r="T26" s="705" t="s">
        <v>14</v>
      </c>
      <c r="U26" s="706">
        <f>H26</f>
        <v>100</v>
      </c>
      <c r="V26" s="705" t="s">
        <v>14</v>
      </c>
      <c r="W26" s="706">
        <f>J26</f>
        <v>100</v>
      </c>
      <c r="X26" s="1355"/>
      <c r="Y26" s="3672"/>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79"/>
      <c r="Q27" s="1343" t="str">
        <f t="shared" si="11"/>
        <v>人流量</v>
      </c>
      <c r="R27" s="701" t="s">
        <v>14</v>
      </c>
      <c r="S27" s="702">
        <f>F27</f>
        <v>100</v>
      </c>
      <c r="T27" s="701" t="s">
        <v>14</v>
      </c>
      <c r="U27" s="702">
        <f>H27</f>
        <v>100</v>
      </c>
      <c r="V27" s="701" t="s">
        <v>14</v>
      </c>
      <c r="W27" s="702">
        <f>J27</f>
        <v>100</v>
      </c>
      <c r="X27" s="703"/>
      <c r="Y27" s="3672"/>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7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9"/>
      <c r="Q29" s="1352">
        <f t="shared" si="11"/>
        <v>111</v>
      </c>
      <c r="R29" s="705" t="s">
        <v>14</v>
      </c>
      <c r="S29" s="706">
        <f t="shared" si="12"/>
        <v>100</v>
      </c>
      <c r="T29" s="705" t="s">
        <v>14</v>
      </c>
      <c r="U29" s="706">
        <f t="shared" si="13"/>
        <v>100</v>
      </c>
      <c r="V29" s="705" t="s">
        <v>14</v>
      </c>
      <c r="W29" s="706">
        <f t="shared" si="14"/>
        <v>100</v>
      </c>
      <c r="X29" s="1355"/>
      <c r="Y29" s="367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9"/>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9"/>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73" t="s">
        <v>1694</v>
      </c>
      <c r="Q32" s="1352" t="str">
        <f t="shared" si="11"/>
        <v>商业类型</v>
      </c>
      <c r="R32" s="705" t="s">
        <v>14</v>
      </c>
      <c r="S32" s="706">
        <f t="shared" si="12"/>
        <v>100</v>
      </c>
      <c r="T32" s="705" t="s">
        <v>14</v>
      </c>
      <c r="U32" s="706">
        <f t="shared" si="13"/>
        <v>100</v>
      </c>
      <c r="V32" s="705" t="s">
        <v>14</v>
      </c>
      <c r="W32" s="706">
        <f t="shared" si="14"/>
        <v>100</v>
      </c>
      <c r="X32" s="1355"/>
      <c r="Y32" s="3676"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74"/>
      <c r="Q33" s="707" t="str">
        <f t="shared" si="11"/>
        <v>项目建筑规模</v>
      </c>
      <c r="R33" s="708" t="s">
        <v>14</v>
      </c>
      <c r="S33" s="709" t="e">
        <f t="shared" si="12"/>
        <v>#N/A</v>
      </c>
      <c r="T33" s="708" t="s">
        <v>14</v>
      </c>
      <c r="U33" s="709" t="e">
        <f t="shared" si="13"/>
        <v>#N/A</v>
      </c>
      <c r="V33" s="708" t="s">
        <v>14</v>
      </c>
      <c r="W33" s="709" t="e">
        <f t="shared" si="14"/>
        <v>#N/A</v>
      </c>
      <c r="X33" s="710"/>
      <c r="Y33" s="3676"/>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74"/>
      <c r="Q34" s="1352" t="str">
        <f t="shared" si="11"/>
        <v>建筑结构</v>
      </c>
      <c r="R34" s="705" t="s">
        <v>14</v>
      </c>
      <c r="S34" s="706">
        <f t="shared" si="12"/>
        <v>100</v>
      </c>
      <c r="T34" s="705" t="s">
        <v>14</v>
      </c>
      <c r="U34" s="706">
        <f t="shared" si="13"/>
        <v>100</v>
      </c>
      <c r="V34" s="705" t="s">
        <v>14</v>
      </c>
      <c r="W34" s="706">
        <f t="shared" si="14"/>
        <v>100</v>
      </c>
      <c r="X34" s="1355"/>
      <c r="Y34" s="3676"/>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74"/>
      <c r="Q35" s="1352" t="str">
        <f t="shared" si="11"/>
        <v>公共部分装修</v>
      </c>
      <c r="R35" s="705" t="s">
        <v>14</v>
      </c>
      <c r="S35" s="706">
        <f t="shared" si="12"/>
        <v>100</v>
      </c>
      <c r="T35" s="705" t="s">
        <v>14</v>
      </c>
      <c r="U35" s="706">
        <f t="shared" si="13"/>
        <v>100</v>
      </c>
      <c r="V35" s="705" t="s">
        <v>14</v>
      </c>
      <c r="W35" s="706">
        <f t="shared" si="14"/>
        <v>100</v>
      </c>
      <c r="X35" s="1355"/>
      <c r="Y35" s="3676"/>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74"/>
      <c r="Q36" s="1352" t="str">
        <f t="shared" si="11"/>
        <v>成新度</v>
      </c>
      <c r="R36" s="705" t="s">
        <v>14</v>
      </c>
      <c r="S36" s="706" t="e">
        <f t="shared" si="12"/>
        <v>#N/A</v>
      </c>
      <c r="T36" s="705" t="s">
        <v>14</v>
      </c>
      <c r="U36" s="706" t="e">
        <f t="shared" si="13"/>
        <v>#N/A</v>
      </c>
      <c r="V36" s="705" t="s">
        <v>14</v>
      </c>
      <c r="W36" s="706" t="e">
        <f t="shared" si="14"/>
        <v>#N/A</v>
      </c>
      <c r="X36" s="1355"/>
      <c r="Y36" s="3676"/>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74"/>
      <c r="Q37" s="1343" t="str">
        <f t="shared" si="11"/>
        <v>市政基础设施</v>
      </c>
      <c r="R37" s="701" t="s">
        <v>14</v>
      </c>
      <c r="S37" s="702">
        <f t="shared" si="12"/>
        <v>100</v>
      </c>
      <c r="T37" s="701" t="s">
        <v>14</v>
      </c>
      <c r="U37" s="702">
        <f t="shared" si="13"/>
        <v>100</v>
      </c>
      <c r="V37" s="701" t="s">
        <v>14</v>
      </c>
      <c r="W37" s="702">
        <f t="shared" si="14"/>
        <v>100</v>
      </c>
      <c r="X37" s="703"/>
      <c r="Y37" s="3676"/>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74" t="s">
        <v>1694</v>
      </c>
      <c r="Q38" s="1352" t="str">
        <f t="shared" si="11"/>
        <v>业态</v>
      </c>
      <c r="R38" s="705" t="s">
        <v>14</v>
      </c>
      <c r="S38" s="706">
        <f t="shared" si="12"/>
        <v>100</v>
      </c>
      <c r="T38" s="705" t="s">
        <v>14</v>
      </c>
      <c r="U38" s="706">
        <f t="shared" si="13"/>
        <v>100</v>
      </c>
      <c r="V38" s="705" t="s">
        <v>14</v>
      </c>
      <c r="W38" s="706">
        <f t="shared" si="14"/>
        <v>100</v>
      </c>
      <c r="X38" s="1355"/>
      <c r="Y38" s="3676"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74"/>
      <c r="Q39" s="1352" t="str">
        <f t="shared" si="11"/>
        <v>层高</v>
      </c>
      <c r="R39" s="705" t="s">
        <v>14</v>
      </c>
      <c r="S39" s="706">
        <f t="shared" si="12"/>
        <v>100</v>
      </c>
      <c r="T39" s="705" t="s">
        <v>14</v>
      </c>
      <c r="U39" s="706">
        <f t="shared" si="13"/>
        <v>100</v>
      </c>
      <c r="V39" s="705" t="s">
        <v>14</v>
      </c>
      <c r="W39" s="706">
        <f t="shared" si="14"/>
        <v>100</v>
      </c>
      <c r="X39" s="1355"/>
      <c r="Y39" s="3676"/>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4"/>
      <c r="Q40" s="1352" t="str">
        <f t="shared" si="11"/>
        <v>单套建筑面积</v>
      </c>
      <c r="R40" s="705" t="s">
        <v>14</v>
      </c>
      <c r="S40" s="706">
        <f t="shared" si="12"/>
        <v>100</v>
      </c>
      <c r="T40" s="705" t="s">
        <v>14</v>
      </c>
      <c r="U40" s="706">
        <f t="shared" si="13"/>
        <v>100</v>
      </c>
      <c r="V40" s="705" t="s">
        <v>14</v>
      </c>
      <c r="W40" s="706">
        <f t="shared" si="14"/>
        <v>100</v>
      </c>
      <c r="X40" s="1355"/>
      <c r="Y40" s="3676"/>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4"/>
      <c r="Q41" s="707" t="str">
        <f t="shared" si="11"/>
        <v>进深比</v>
      </c>
      <c r="R41" s="708" t="s">
        <v>14</v>
      </c>
      <c r="S41" s="709">
        <f t="shared" si="12"/>
        <v>100</v>
      </c>
      <c r="T41" s="708" t="s">
        <v>14</v>
      </c>
      <c r="U41" s="709">
        <f t="shared" si="13"/>
        <v>100</v>
      </c>
      <c r="V41" s="708" t="s">
        <v>14</v>
      </c>
      <c r="W41" s="709">
        <f t="shared" si="14"/>
        <v>100</v>
      </c>
      <c r="X41" s="710"/>
      <c r="Y41" s="3676"/>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74"/>
      <c r="Q42" s="1352" t="str">
        <f t="shared" si="11"/>
        <v>内部装修</v>
      </c>
      <c r="R42" s="705" t="s">
        <v>14</v>
      </c>
      <c r="S42" s="706">
        <f t="shared" si="12"/>
        <v>100</v>
      </c>
      <c r="T42" s="705" t="s">
        <v>14</v>
      </c>
      <c r="U42" s="706">
        <f t="shared" si="13"/>
        <v>100</v>
      </c>
      <c r="V42" s="705" t="s">
        <v>14</v>
      </c>
      <c r="W42" s="706">
        <f t="shared" si="14"/>
        <v>100</v>
      </c>
      <c r="X42" s="1355"/>
      <c r="Y42" s="3676"/>
      <c r="Z42" s="1356" t="str">
        <f t="shared" si="15"/>
        <v>内部装修</v>
      </c>
      <c r="AA42" s="1353">
        <f t="shared" si="3"/>
        <v>1</v>
      </c>
      <c r="AB42" s="1353">
        <f t="shared" si="4"/>
        <v>1</v>
      </c>
      <c r="AC42" s="1353">
        <f t="shared" si="5"/>
        <v>1</v>
      </c>
    </row>
    <row r="43" spans="1:29" ht="28.8">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74"/>
      <c r="Q43" s="1352" t="str">
        <f t="shared" si="11"/>
        <v>内部装修维护情况</v>
      </c>
      <c r="R43" s="705" t="s">
        <v>14</v>
      </c>
      <c r="S43" s="706">
        <f t="shared" si="12"/>
        <v>100</v>
      </c>
      <c r="T43" s="705" t="s">
        <v>14</v>
      </c>
      <c r="U43" s="706">
        <f t="shared" si="13"/>
        <v>100</v>
      </c>
      <c r="V43" s="705" t="s">
        <v>14</v>
      </c>
      <c r="W43" s="706">
        <f t="shared" si="14"/>
        <v>100</v>
      </c>
      <c r="X43" s="1355"/>
      <c r="Y43" s="367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4"/>
      <c r="Q44" s="1343">
        <f t="shared" si="11"/>
        <v>111</v>
      </c>
      <c r="R44" s="701" t="s">
        <v>14</v>
      </c>
      <c r="S44" s="702">
        <f t="shared" si="12"/>
        <v>100</v>
      </c>
      <c r="T44" s="701" t="s">
        <v>14</v>
      </c>
      <c r="U44" s="702">
        <f t="shared" si="13"/>
        <v>100</v>
      </c>
      <c r="V44" s="701" t="s">
        <v>14</v>
      </c>
      <c r="W44" s="702">
        <f t="shared" si="14"/>
        <v>100</v>
      </c>
      <c r="X44" s="703"/>
      <c r="Y44" s="367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4"/>
      <c r="Q45" s="1352">
        <f t="shared" si="11"/>
        <v>111</v>
      </c>
      <c r="R45" s="705" t="s">
        <v>14</v>
      </c>
      <c r="S45" s="706">
        <f t="shared" si="12"/>
        <v>100</v>
      </c>
      <c r="T45" s="705" t="s">
        <v>14</v>
      </c>
      <c r="U45" s="706">
        <f t="shared" si="13"/>
        <v>100</v>
      </c>
      <c r="V45" s="705" t="s">
        <v>14</v>
      </c>
      <c r="W45" s="706">
        <f t="shared" si="14"/>
        <v>100</v>
      </c>
      <c r="X45" s="1355"/>
      <c r="Y45" s="3676"/>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353">
        <f t="shared" si="5"/>
        <v>1</v>
      </c>
    </row>
    <row r="47" spans="1:29" ht="14.4">
      <c r="A47" s="430" t="s">
        <v>1706</v>
      </c>
      <c r="B47" s="431"/>
      <c r="C47" s="1154" t="s">
        <v>0</v>
      </c>
      <c r="D47" s="1155"/>
      <c r="E47" s="1156"/>
      <c r="F47" s="1157"/>
      <c r="G47" s="1158"/>
      <c r="H47" s="1159"/>
      <c r="I47" s="1156"/>
      <c r="J47" s="1159"/>
      <c r="K47" s="714"/>
      <c r="L47" s="2723"/>
      <c r="M47" s="2724"/>
      <c r="N47" s="2715"/>
      <c r="O47" s="2724"/>
      <c r="P47" s="3669" t="str">
        <f>A47</f>
        <v>成交单价（元/平方米）</v>
      </c>
      <c r="Q47" s="3669"/>
      <c r="R47" s="3700">
        <f>E47</f>
        <v>0</v>
      </c>
      <c r="S47" s="3700"/>
      <c r="T47" s="3700">
        <f>G47</f>
        <v>0</v>
      </c>
      <c r="U47" s="3700"/>
      <c r="V47" s="3700">
        <f>I47</f>
        <v>0</v>
      </c>
      <c r="W47" s="3700"/>
      <c r="X47" s="690"/>
      <c r="Y47" s="712"/>
      <c r="Z47" s="690"/>
      <c r="AA47" s="690"/>
      <c r="AB47" s="690"/>
      <c r="AC47" s="690"/>
    </row>
    <row r="48" spans="1:29" ht="15" thickBot="1">
      <c r="A48" s="437" t="s">
        <v>1791</v>
      </c>
      <c r="B48" s="438"/>
      <c r="C48" s="1160" t="e">
        <f>R49</f>
        <v>#DIV/0!</v>
      </c>
      <c r="D48" s="2317" t="s">
        <v>2136</v>
      </c>
      <c r="E48" s="1161" t="e">
        <f>R48</f>
        <v>#DIV/0!</v>
      </c>
      <c r="F48" s="2318"/>
      <c r="G48" s="1160" t="e">
        <f>T48</f>
        <v>#DIV/0!</v>
      </c>
      <c r="H48" s="2318"/>
      <c r="I48" s="1161" t="e">
        <f>V48</f>
        <v>#DIV/0!</v>
      </c>
      <c r="J48" s="2318"/>
      <c r="K48" s="2320">
        <f>F48+H48+J48</f>
        <v>0</v>
      </c>
      <c r="L48" s="2723"/>
      <c r="M48" s="2724"/>
      <c r="N48" s="2715"/>
      <c r="O48" s="2724"/>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90"/>
      <c r="Y48" s="690"/>
      <c r="Z48" s="690"/>
      <c r="AA48" s="690"/>
      <c r="AB48" s="690"/>
      <c r="AC48" s="690"/>
    </row>
    <row r="49" spans="1:29" ht="15" thickBot="1">
      <c r="A49" s="441" t="s">
        <v>1792</v>
      </c>
      <c r="B49" s="442"/>
      <c r="C49" s="1163" t="e">
        <f>R49</f>
        <v>#DIV/0!</v>
      </c>
      <c r="D49" s="1163"/>
      <c r="E49" s="1163"/>
      <c r="F49" s="1163"/>
      <c r="G49" s="1163"/>
      <c r="H49" s="1163"/>
      <c r="I49" s="1163"/>
      <c r="J49" s="1163"/>
      <c r="K49" s="715"/>
      <c r="L49" s="2723"/>
      <c r="M49" s="2724"/>
      <c r="N49" s="2715"/>
      <c r="O49" s="2724"/>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1796</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1677</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1714</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1679</v>
      </c>
      <c r="B61" s="459"/>
      <c r="C61" s="471" t="s">
        <v>1774</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1717</v>
      </c>
      <c r="B63" s="477" t="s">
        <v>1683</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1686</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1688</v>
      </c>
      <c r="B76" s="477" t="s">
        <v>1718</v>
      </c>
      <c r="C76" s="522" t="s">
        <v>1719</v>
      </c>
      <c r="D76" s="522" t="s">
        <v>1720</v>
      </c>
      <c r="E76" s="522" t="s">
        <v>1721</v>
      </c>
      <c r="F76" s="522" t="s">
        <v>1722</v>
      </c>
      <c r="G76" s="522" t="s">
        <v>1723</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1724</v>
      </c>
      <c r="C78" s="527" t="s">
        <v>1719</v>
      </c>
      <c r="D78" s="527" t="s">
        <v>1720</v>
      </c>
      <c r="E78" s="527" t="s">
        <v>1721</v>
      </c>
      <c r="F78" s="527" t="s">
        <v>1722</v>
      </c>
      <c r="G78" s="527" t="s">
        <v>1723</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1725</v>
      </c>
      <c r="C80" s="527" t="s">
        <v>1719</v>
      </c>
      <c r="D80" s="527" t="s">
        <v>1720</v>
      </c>
      <c r="E80" s="527" t="s">
        <v>1721</v>
      </c>
      <c r="F80" s="527" t="s">
        <v>1722</v>
      </c>
      <c r="G80" s="527" t="s">
        <v>1723</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1777</v>
      </c>
      <c r="C82" s="608" t="s">
        <v>1797</v>
      </c>
      <c r="D82" s="608" t="s">
        <v>1798</v>
      </c>
      <c r="E82" s="608" t="s">
        <v>1799</v>
      </c>
      <c r="F82" s="608" t="s">
        <v>1800</v>
      </c>
      <c r="G82" s="608" t="s">
        <v>1801</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1731</v>
      </c>
      <c r="C84" s="527" t="s">
        <v>1719</v>
      </c>
      <c r="D84" s="527" t="s">
        <v>1720</v>
      </c>
      <c r="E84" s="527" t="s">
        <v>1721</v>
      </c>
      <c r="F84" s="527" t="s">
        <v>1722</v>
      </c>
      <c r="G84" s="527" t="s">
        <v>1723</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1802</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1692</v>
      </c>
      <c r="B100" s="477" t="s">
        <v>1803</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1736</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1738</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1740</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1804</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1805</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1806</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1807</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1742</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1743</v>
      </c>
      <c r="C124" s="527" t="s">
        <v>1719</v>
      </c>
      <c r="D124" s="527" t="s">
        <v>1720</v>
      </c>
      <c r="E124" s="527" t="s">
        <v>1721</v>
      </c>
      <c r="F124" s="527" t="s">
        <v>1722</v>
      </c>
      <c r="G124" s="527" t="s">
        <v>1723</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N63" sqref="N63"/>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1658</v>
      </c>
      <c r="B1" s="1957" t="s">
        <v>1808</v>
      </c>
      <c r="C1" s="1224" t="s">
        <v>1660</v>
      </c>
      <c r="D1" s="1225"/>
      <c r="E1" s="3432"/>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10052.84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1767</v>
      </c>
      <c r="B4" s="356"/>
      <c r="C4" s="3684" t="s">
        <v>1768</v>
      </c>
      <c r="D4" s="3685"/>
      <c r="E4" s="3686" t="s">
        <v>1769</v>
      </c>
      <c r="F4" s="3687"/>
      <c r="G4" s="3684" t="s">
        <v>1770</v>
      </c>
      <c r="H4" s="3685"/>
      <c r="I4" s="3684" t="s">
        <v>1771</v>
      </c>
      <c r="J4" s="3685"/>
      <c r="K4" s="559" t="s">
        <v>1772</v>
      </c>
      <c r="L4" s="2714"/>
      <c r="M4" s="2715"/>
      <c r="N4" s="2715"/>
      <c r="O4" s="2715"/>
      <c r="P4" s="3718" t="s">
        <v>1773</v>
      </c>
      <c r="Q4" s="3719"/>
      <c r="R4" s="3722" t="s">
        <v>1769</v>
      </c>
      <c r="S4" s="3723"/>
      <c r="T4" s="3722" t="s">
        <v>1770</v>
      </c>
      <c r="U4" s="3723"/>
      <c r="V4" s="3724" t="s">
        <v>1771</v>
      </c>
      <c r="W4" s="3724"/>
      <c r="X4" s="1958"/>
      <c r="Y4" s="3722" t="s">
        <v>1773</v>
      </c>
      <c r="Z4" s="3723"/>
      <c r="AA4" s="3726" t="s">
        <v>1769</v>
      </c>
      <c r="AB4" s="3726" t="s">
        <v>1770</v>
      </c>
      <c r="AC4" s="3715" t="s">
        <v>1771</v>
      </c>
    </row>
    <row r="5" spans="1:29">
      <c r="A5" s="358"/>
      <c r="B5" s="359"/>
      <c r="C5" s="3703" t="s">
        <v>1671</v>
      </c>
      <c r="D5" s="3704"/>
      <c r="E5" s="3710" t="s">
        <v>1672</v>
      </c>
      <c r="F5" s="3711"/>
      <c r="G5" s="3703" t="s">
        <v>1673</v>
      </c>
      <c r="H5" s="3704"/>
      <c r="I5" s="3703" t="s">
        <v>1674</v>
      </c>
      <c r="J5" s="3704"/>
      <c r="K5" s="559"/>
      <c r="L5" s="2714"/>
      <c r="M5" s="2715"/>
      <c r="N5" s="2715"/>
      <c r="O5" s="2715"/>
      <c r="P5" s="3720"/>
      <c r="Q5" s="3691"/>
      <c r="R5" s="3696"/>
      <c r="S5" s="3697"/>
      <c r="T5" s="3696"/>
      <c r="U5" s="3697"/>
      <c r="V5" s="3700"/>
      <c r="W5" s="3700"/>
      <c r="X5" s="1355"/>
      <c r="Y5" s="3696"/>
      <c r="Z5" s="3697"/>
      <c r="AA5" s="3682"/>
      <c r="AB5" s="3682"/>
      <c r="AC5" s="3716"/>
    </row>
    <row r="6" spans="1:29" ht="15" thickBot="1">
      <c r="A6" s="360"/>
      <c r="B6" s="361"/>
      <c r="C6" s="3701" t="s">
        <v>1675</v>
      </c>
      <c r="D6" s="3702"/>
      <c r="E6" s="3708" t="s">
        <v>1675</v>
      </c>
      <c r="F6" s="3709"/>
      <c r="G6" s="3701" t="s">
        <v>1675</v>
      </c>
      <c r="H6" s="3702"/>
      <c r="I6" s="3701" t="s">
        <v>1675</v>
      </c>
      <c r="J6" s="3702"/>
      <c r="K6" s="559" t="s">
        <v>1676</v>
      </c>
      <c r="L6" s="2714"/>
      <c r="M6" s="2715"/>
      <c r="N6" s="2715"/>
      <c r="O6" s="2715"/>
      <c r="P6" s="3721"/>
      <c r="Q6" s="3693"/>
      <c r="R6" s="3696"/>
      <c r="S6" s="3697"/>
      <c r="T6" s="3698"/>
      <c r="U6" s="3699"/>
      <c r="V6" s="3700"/>
      <c r="W6" s="3700"/>
      <c r="X6" s="1355"/>
      <c r="Y6" s="3698"/>
      <c r="Z6" s="3699"/>
      <c r="AA6" s="3683"/>
      <c r="AB6" s="3683"/>
      <c r="AC6" s="3717"/>
    </row>
    <row r="7" spans="1:29" s="108" customFormat="1" ht="15" thickBot="1">
      <c r="A7" s="362" t="s">
        <v>1677</v>
      </c>
      <c r="B7" s="363"/>
      <c r="C7" s="364">
        <f>'数据-取费表'!B2</f>
        <v>45224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5" t="s">
        <v>1678</v>
      </c>
      <c r="Q7" s="3707"/>
      <c r="R7" s="701" t="s">
        <v>14</v>
      </c>
      <c r="S7" s="702">
        <f t="shared" ref="S7:S15" si="0">F7</f>
        <v>0</v>
      </c>
      <c r="T7" s="701" t="s">
        <v>14</v>
      </c>
      <c r="U7" s="702">
        <f t="shared" ref="U7:U15" si="1">H7</f>
        <v>0</v>
      </c>
      <c r="V7" s="701" t="s">
        <v>14</v>
      </c>
      <c r="W7" s="702">
        <f t="shared" ref="W7:W15" si="2">J7</f>
        <v>0</v>
      </c>
      <c r="X7" s="703"/>
      <c r="Y7" s="3705" t="s">
        <v>1678</v>
      </c>
      <c r="Z7" s="3706"/>
      <c r="AA7" s="704" t="e">
        <f>D7/F7</f>
        <v>#DIV/0!</v>
      </c>
      <c r="AB7" s="704" t="e">
        <f>D7/H7</f>
        <v>#DIV/0!</v>
      </c>
      <c r="AC7" s="1959" t="e">
        <f>D7/J7</f>
        <v>#DIV/0!</v>
      </c>
    </row>
    <row r="8" spans="1:29" s="108" customFormat="1" ht="1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5" t="s">
        <v>1681</v>
      </c>
      <c r="Q8" s="3706"/>
      <c r="R8" s="701" t="s">
        <v>14</v>
      </c>
      <c r="S8" s="702">
        <f t="shared" si="0"/>
        <v>100</v>
      </c>
      <c r="T8" s="701" t="s">
        <v>14</v>
      </c>
      <c r="U8" s="702">
        <f t="shared" si="1"/>
        <v>100</v>
      </c>
      <c r="V8" s="701" t="s">
        <v>14</v>
      </c>
      <c r="W8" s="702">
        <f t="shared" si="2"/>
        <v>100</v>
      </c>
      <c r="X8" s="703"/>
      <c r="Y8" s="3705" t="s">
        <v>1681</v>
      </c>
      <c r="Z8" s="3706"/>
      <c r="AA8" s="704">
        <f t="shared" ref="AA8:AA47" si="3">D8/F8</f>
        <v>1</v>
      </c>
      <c r="AB8" s="704">
        <f t="shared" ref="AB8:AB47" si="4">D8/H8</f>
        <v>1</v>
      </c>
      <c r="AC8" s="1959">
        <f t="shared" ref="AC8:AC47" si="5">D8/J8</f>
        <v>1</v>
      </c>
    </row>
    <row r="9" spans="1:29" s="108" customFormat="1" ht="14.4">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0" t="s">
        <v>1684</v>
      </c>
      <c r="Q9" s="1343" t="str">
        <f t="shared" ref="Q9:Q15" si="6">B9</f>
        <v>用途</v>
      </c>
      <c r="R9" s="701" t="s">
        <v>14</v>
      </c>
      <c r="S9" s="702">
        <f t="shared" si="0"/>
        <v>100</v>
      </c>
      <c r="T9" s="701" t="s">
        <v>14</v>
      </c>
      <c r="U9" s="702">
        <f t="shared" si="1"/>
        <v>100</v>
      </c>
      <c r="V9" s="701" t="s">
        <v>14</v>
      </c>
      <c r="W9" s="702">
        <f t="shared" si="2"/>
        <v>100</v>
      </c>
      <c r="X9" s="703"/>
      <c r="Y9" s="3544" t="s">
        <v>1685</v>
      </c>
      <c r="Z9" s="52" t="str">
        <f t="shared" ref="Z9:Z15" si="7">Q9</f>
        <v>用途</v>
      </c>
      <c r="AA9" s="704">
        <f t="shared" si="3"/>
        <v>1</v>
      </c>
      <c r="AB9" s="704">
        <f t="shared" si="4"/>
        <v>1</v>
      </c>
      <c r="AC9" s="1959">
        <f t="shared" si="5"/>
        <v>1</v>
      </c>
    </row>
    <row r="10" spans="1:29" s="378" customFormat="1" ht="28.8">
      <c r="A10" s="374"/>
      <c r="B10" s="375" t="s">
        <v>1686</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0"/>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80"/>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80"/>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80"/>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1959">
        <f t="shared" si="5"/>
        <v>1</v>
      </c>
    </row>
    <row r="15" spans="1:29" ht="69">
      <c r="A15" s="391" t="s">
        <v>1688</v>
      </c>
      <c r="B15" s="577" t="s">
        <v>1809</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8" t="s">
        <v>1689</v>
      </c>
      <c r="Q15" s="1352" t="str">
        <f t="shared" si="6"/>
        <v>办公集聚程度</v>
      </c>
      <c r="R15" s="705" t="s">
        <v>14</v>
      </c>
      <c r="S15" s="706">
        <f t="shared" si="0"/>
        <v>100</v>
      </c>
      <c r="T15" s="705" t="s">
        <v>14</v>
      </c>
      <c r="U15" s="706">
        <f t="shared" si="1"/>
        <v>100</v>
      </c>
      <c r="V15" s="705" t="s">
        <v>14</v>
      </c>
      <c r="W15" s="706">
        <f t="shared" si="2"/>
        <v>100</v>
      </c>
      <c r="X15" s="1355"/>
      <c r="Y15" s="3671"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79"/>
      <c r="Q16" s="1352"/>
      <c r="R16" s="705"/>
      <c r="S16" s="706"/>
      <c r="T16" s="705"/>
      <c r="U16" s="706"/>
      <c r="V16" s="705"/>
      <c r="W16" s="706"/>
      <c r="X16" s="1355"/>
      <c r="Y16" s="3672"/>
      <c r="Z16" s="1356"/>
      <c r="AA16" s="1353">
        <v>1</v>
      </c>
      <c r="AB16" s="1353">
        <v>1</v>
      </c>
      <c r="AC16" s="1962">
        <v>1</v>
      </c>
    </row>
    <row r="17" spans="1:29" ht="82.8">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9"/>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79"/>
      <c r="Q18" s="1352"/>
      <c r="R18" s="705"/>
      <c r="S18" s="706"/>
      <c r="T18" s="705"/>
      <c r="U18" s="706"/>
      <c r="V18" s="705"/>
      <c r="W18" s="706"/>
      <c r="X18" s="1355"/>
      <c r="Y18" s="3672"/>
      <c r="Z18" s="1356"/>
      <c r="AA18" s="1353">
        <v>1</v>
      </c>
      <c r="AB18" s="1353">
        <v>1</v>
      </c>
      <c r="AC18" s="1962">
        <v>1</v>
      </c>
    </row>
    <row r="19" spans="1:29" ht="41.4">
      <c r="A19" s="379"/>
      <c r="B19" s="579" t="s">
        <v>1810</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9"/>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79"/>
      <c r="Q20" s="1352"/>
      <c r="R20" s="705"/>
      <c r="S20" s="706"/>
      <c r="T20" s="705"/>
      <c r="U20" s="706"/>
      <c r="V20" s="705"/>
      <c r="W20" s="706"/>
      <c r="X20" s="1355"/>
      <c r="Y20" s="3672"/>
      <c r="Z20" s="1356"/>
      <c r="AA20" s="1353">
        <v>1</v>
      </c>
      <c r="AB20" s="1353">
        <v>1</v>
      </c>
      <c r="AC20" s="1962">
        <v>1</v>
      </c>
    </row>
    <row r="21" spans="1:29" ht="27.6">
      <c r="A21" s="379"/>
      <c r="B21" s="581" t="s">
        <v>1811</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79"/>
      <c r="Q22" s="1352"/>
      <c r="R22" s="705"/>
      <c r="S22" s="706"/>
      <c r="T22" s="705"/>
      <c r="U22" s="706"/>
      <c r="V22" s="705"/>
      <c r="W22" s="706"/>
      <c r="X22" s="1355"/>
      <c r="Y22" s="3672"/>
      <c r="Z22" s="1356"/>
      <c r="AA22" s="1353">
        <v>1</v>
      </c>
      <c r="AB22" s="1353">
        <v>1</v>
      </c>
      <c r="AC22" s="1962">
        <v>1</v>
      </c>
    </row>
    <row r="23" spans="1:29" ht="55.2">
      <c r="A23" s="379"/>
      <c r="B23" s="579" t="s">
        <v>1812</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9"/>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79"/>
      <c r="Q24" s="1352"/>
      <c r="R24" s="705"/>
      <c r="S24" s="706"/>
      <c r="T24" s="705"/>
      <c r="U24" s="706"/>
      <c r="V24" s="705"/>
      <c r="W24" s="706"/>
      <c r="X24" s="1355"/>
      <c r="Y24" s="3672"/>
      <c r="Z24" s="1356"/>
      <c r="AA24" s="1353">
        <v>1</v>
      </c>
      <c r="AB24" s="1353">
        <v>1</v>
      </c>
      <c r="AC24" s="1962">
        <v>1</v>
      </c>
    </row>
    <row r="25" spans="1:29" ht="28.8">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79"/>
      <c r="Q25" s="1352" t="str">
        <f>B25</f>
        <v>毗邻道路的类型与等级</v>
      </c>
      <c r="R25" s="705" t="s">
        <v>14</v>
      </c>
      <c r="S25" s="706">
        <f>F25</f>
        <v>100</v>
      </c>
      <c r="T25" s="705" t="s">
        <v>14</v>
      </c>
      <c r="U25" s="706">
        <f>H25</f>
        <v>100</v>
      </c>
      <c r="V25" s="705" t="s">
        <v>14</v>
      </c>
      <c r="W25" s="706">
        <f>J25</f>
        <v>100</v>
      </c>
      <c r="X25" s="1355"/>
      <c r="Y25" s="367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79"/>
      <c r="Q26" s="1352"/>
      <c r="R26" s="705"/>
      <c r="S26" s="706"/>
      <c r="T26" s="705"/>
      <c r="U26" s="706"/>
      <c r="V26" s="705"/>
      <c r="W26" s="706"/>
      <c r="X26" s="1355"/>
      <c r="Y26" s="3672"/>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79"/>
      <c r="Q27" s="1352" t="str">
        <f t="shared" ref="Q27:Q47" si="11">B27</f>
        <v>楼层</v>
      </c>
      <c r="R27" s="705" t="s">
        <v>14</v>
      </c>
      <c r="S27" s="706">
        <f>F27</f>
        <v>100</v>
      </c>
      <c r="T27" s="705" t="s">
        <v>14</v>
      </c>
      <c r="U27" s="706">
        <f>H27</f>
        <v>100</v>
      </c>
      <c r="V27" s="705" t="s">
        <v>14</v>
      </c>
      <c r="W27" s="706">
        <f>J27</f>
        <v>100</v>
      </c>
      <c r="X27" s="1355"/>
      <c r="Y27" s="3672"/>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79"/>
      <c r="Q28" s="1343" t="str">
        <f t="shared" si="11"/>
        <v>朝向</v>
      </c>
      <c r="R28" s="701" t="s">
        <v>14</v>
      </c>
      <c r="S28" s="702">
        <f>F28</f>
        <v>100</v>
      </c>
      <c r="T28" s="701" t="s">
        <v>14</v>
      </c>
      <c r="U28" s="702">
        <f>H28</f>
        <v>100</v>
      </c>
      <c r="V28" s="701" t="s">
        <v>14</v>
      </c>
      <c r="W28" s="702">
        <f>J28</f>
        <v>100</v>
      </c>
      <c r="X28" s="703"/>
      <c r="Y28" s="367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79"/>
      <c r="Q29" s="1352">
        <f t="shared" si="11"/>
        <v>111</v>
      </c>
      <c r="R29" s="705" t="s">
        <v>14</v>
      </c>
      <c r="S29" s="706">
        <f t="shared" ref="S29:S47" si="12">F29</f>
        <v>100</v>
      </c>
      <c r="T29" s="705" t="s">
        <v>14</v>
      </c>
      <c r="U29" s="706">
        <f t="shared" ref="U29:U47" si="13">H29</f>
        <v>100</v>
      </c>
      <c r="V29" s="705" t="s">
        <v>14</v>
      </c>
      <c r="W29" s="706">
        <f t="shared" ref="W29:W47" si="14">J29</f>
        <v>100</v>
      </c>
      <c r="X29" s="1355"/>
      <c r="Y29" s="367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79"/>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79"/>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79"/>
      <c r="Q32" s="1352">
        <f t="shared" si="11"/>
        <v>111</v>
      </c>
      <c r="R32" s="705" t="s">
        <v>14</v>
      </c>
      <c r="S32" s="706">
        <f t="shared" si="12"/>
        <v>100</v>
      </c>
      <c r="T32" s="705" t="s">
        <v>14</v>
      </c>
      <c r="U32" s="706">
        <f t="shared" si="13"/>
        <v>100</v>
      </c>
      <c r="V32" s="705" t="s">
        <v>14</v>
      </c>
      <c r="W32" s="706">
        <f t="shared" si="14"/>
        <v>100</v>
      </c>
      <c r="X32" s="1355"/>
      <c r="Y32" s="3672"/>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73" t="s">
        <v>1694</v>
      </c>
      <c r="Q33" s="1352" t="str">
        <f t="shared" si="11"/>
        <v>建筑类型</v>
      </c>
      <c r="R33" s="705" t="s">
        <v>14</v>
      </c>
      <c r="S33" s="706">
        <f t="shared" si="12"/>
        <v>100</v>
      </c>
      <c r="T33" s="705" t="s">
        <v>14</v>
      </c>
      <c r="U33" s="706">
        <f t="shared" si="13"/>
        <v>100</v>
      </c>
      <c r="V33" s="705" t="s">
        <v>14</v>
      </c>
      <c r="W33" s="706">
        <f t="shared" si="14"/>
        <v>100</v>
      </c>
      <c r="X33" s="1355"/>
      <c r="Y33" s="3676"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4"/>
      <c r="Q34" s="707" t="str">
        <f t="shared" si="11"/>
        <v>项目建筑规模</v>
      </c>
      <c r="R34" s="708" t="s">
        <v>14</v>
      </c>
      <c r="S34" s="709" t="e">
        <f t="shared" si="12"/>
        <v>#N/A</v>
      </c>
      <c r="T34" s="708" t="s">
        <v>14</v>
      </c>
      <c r="U34" s="709" t="e">
        <f t="shared" si="13"/>
        <v>#N/A</v>
      </c>
      <c r="V34" s="708" t="s">
        <v>14</v>
      </c>
      <c r="W34" s="709" t="e">
        <f t="shared" si="14"/>
        <v>#N/A</v>
      </c>
      <c r="X34" s="710"/>
      <c r="Y34" s="3676"/>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4"/>
      <c r="Q35" s="1352" t="str">
        <f t="shared" si="11"/>
        <v>建筑结构</v>
      </c>
      <c r="R35" s="705" t="s">
        <v>14</v>
      </c>
      <c r="S35" s="706">
        <f t="shared" si="12"/>
        <v>100</v>
      </c>
      <c r="T35" s="705" t="s">
        <v>14</v>
      </c>
      <c r="U35" s="706">
        <f t="shared" si="13"/>
        <v>100</v>
      </c>
      <c r="V35" s="705" t="s">
        <v>14</v>
      </c>
      <c r="W35" s="706">
        <f t="shared" si="14"/>
        <v>100</v>
      </c>
      <c r="X35" s="1355"/>
      <c r="Y35" s="3676"/>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4"/>
      <c r="Q36" s="1352" t="str">
        <f t="shared" si="11"/>
        <v>公共部分装修</v>
      </c>
      <c r="R36" s="705" t="s">
        <v>14</v>
      </c>
      <c r="S36" s="706">
        <f t="shared" si="12"/>
        <v>100</v>
      </c>
      <c r="T36" s="705" t="s">
        <v>14</v>
      </c>
      <c r="U36" s="706">
        <f t="shared" si="13"/>
        <v>100</v>
      </c>
      <c r="V36" s="705" t="s">
        <v>14</v>
      </c>
      <c r="W36" s="706">
        <f t="shared" si="14"/>
        <v>100</v>
      </c>
      <c r="X36" s="1355"/>
      <c r="Y36" s="3676"/>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4"/>
      <c r="Q37" s="1352" t="str">
        <f t="shared" si="11"/>
        <v>成新度</v>
      </c>
      <c r="R37" s="705" t="s">
        <v>14</v>
      </c>
      <c r="S37" s="706" t="e">
        <f t="shared" si="12"/>
        <v>#N/A</v>
      </c>
      <c r="T37" s="705" t="s">
        <v>14</v>
      </c>
      <c r="U37" s="706" t="e">
        <f t="shared" si="13"/>
        <v>#N/A</v>
      </c>
      <c r="V37" s="705" t="s">
        <v>14</v>
      </c>
      <c r="W37" s="706" t="e">
        <f t="shared" si="14"/>
        <v>#N/A</v>
      </c>
      <c r="X37" s="1355"/>
      <c r="Y37" s="3676"/>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4"/>
      <c r="Q38" s="1343" t="str">
        <f t="shared" si="11"/>
        <v>写字楼等级</v>
      </c>
      <c r="R38" s="701" t="s">
        <v>14</v>
      </c>
      <c r="S38" s="702">
        <f t="shared" si="12"/>
        <v>100</v>
      </c>
      <c r="T38" s="701" t="s">
        <v>14</v>
      </c>
      <c r="U38" s="702">
        <f t="shared" si="13"/>
        <v>100</v>
      </c>
      <c r="V38" s="701" t="s">
        <v>14</v>
      </c>
      <c r="W38" s="702">
        <f t="shared" si="14"/>
        <v>100</v>
      </c>
      <c r="X38" s="703"/>
      <c r="Y38" s="3676"/>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4" t="s">
        <v>1694</v>
      </c>
      <c r="Q39" s="1352" t="str">
        <f t="shared" si="11"/>
        <v>物业管理</v>
      </c>
      <c r="R39" s="705" t="s">
        <v>14</v>
      </c>
      <c r="S39" s="706">
        <f t="shared" si="12"/>
        <v>100</v>
      </c>
      <c r="T39" s="705" t="s">
        <v>14</v>
      </c>
      <c r="U39" s="706">
        <f t="shared" si="13"/>
        <v>100</v>
      </c>
      <c r="V39" s="705" t="s">
        <v>14</v>
      </c>
      <c r="W39" s="706">
        <f t="shared" si="14"/>
        <v>100</v>
      </c>
      <c r="X39" s="1355"/>
      <c r="Y39" s="3676"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4"/>
      <c r="Q40" s="1352" t="str">
        <f t="shared" si="11"/>
        <v>市政基础设施</v>
      </c>
      <c r="R40" s="705" t="s">
        <v>14</v>
      </c>
      <c r="S40" s="706">
        <f t="shared" si="12"/>
        <v>100</v>
      </c>
      <c r="T40" s="705" t="s">
        <v>14</v>
      </c>
      <c r="U40" s="706">
        <f t="shared" si="13"/>
        <v>100</v>
      </c>
      <c r="V40" s="705" t="s">
        <v>14</v>
      </c>
      <c r="W40" s="706">
        <f t="shared" si="14"/>
        <v>100</v>
      </c>
      <c r="X40" s="1355"/>
      <c r="Y40" s="3676"/>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4"/>
      <c r="Q41" s="1352" t="str">
        <f t="shared" si="11"/>
        <v>层高</v>
      </c>
      <c r="R41" s="705" t="s">
        <v>14</v>
      </c>
      <c r="S41" s="706">
        <f t="shared" si="12"/>
        <v>100</v>
      </c>
      <c r="T41" s="705" t="s">
        <v>14</v>
      </c>
      <c r="U41" s="706">
        <f t="shared" si="13"/>
        <v>100</v>
      </c>
      <c r="V41" s="705" t="s">
        <v>14</v>
      </c>
      <c r="W41" s="706">
        <f t="shared" si="14"/>
        <v>100</v>
      </c>
      <c r="X41" s="1355"/>
      <c r="Y41" s="3676"/>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4"/>
      <c r="Q42" s="707" t="str">
        <f t="shared" si="11"/>
        <v>单套建筑面积</v>
      </c>
      <c r="R42" s="708" t="s">
        <v>14</v>
      </c>
      <c r="S42" s="709">
        <f t="shared" si="12"/>
        <v>100</v>
      </c>
      <c r="T42" s="708" t="s">
        <v>14</v>
      </c>
      <c r="U42" s="709">
        <f t="shared" si="13"/>
        <v>100</v>
      </c>
      <c r="V42" s="708" t="s">
        <v>14</v>
      </c>
      <c r="W42" s="709">
        <f t="shared" si="14"/>
        <v>100</v>
      </c>
      <c r="X42" s="710"/>
      <c r="Y42" s="3676"/>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4"/>
      <c r="Q43" s="1352" t="str">
        <f t="shared" si="11"/>
        <v>内部装修</v>
      </c>
      <c r="R43" s="705" t="s">
        <v>14</v>
      </c>
      <c r="S43" s="706">
        <f t="shared" si="12"/>
        <v>100</v>
      </c>
      <c r="T43" s="705" t="s">
        <v>14</v>
      </c>
      <c r="U43" s="706">
        <f t="shared" si="13"/>
        <v>100</v>
      </c>
      <c r="V43" s="705" t="s">
        <v>14</v>
      </c>
      <c r="W43" s="706">
        <f t="shared" si="14"/>
        <v>100</v>
      </c>
      <c r="X43" s="1355"/>
      <c r="Y43" s="3676"/>
      <c r="Z43" s="1356" t="str">
        <f t="shared" si="15"/>
        <v>内部装修</v>
      </c>
      <c r="AA43" s="1353">
        <f t="shared" si="3"/>
        <v>1</v>
      </c>
      <c r="AB43" s="1353">
        <f t="shared" si="4"/>
        <v>1</v>
      </c>
      <c r="AC43" s="1962">
        <f t="shared" si="5"/>
        <v>1</v>
      </c>
    </row>
    <row r="44" spans="1:29" ht="28.8">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74"/>
      <c r="Q44" s="1352" t="str">
        <f t="shared" si="11"/>
        <v>内部装修维护情况</v>
      </c>
      <c r="R44" s="705" t="s">
        <v>14</v>
      </c>
      <c r="S44" s="706">
        <f t="shared" si="12"/>
        <v>100</v>
      </c>
      <c r="T44" s="705" t="s">
        <v>14</v>
      </c>
      <c r="U44" s="706">
        <f t="shared" si="13"/>
        <v>100</v>
      </c>
      <c r="V44" s="705" t="s">
        <v>14</v>
      </c>
      <c r="W44" s="706">
        <f t="shared" si="14"/>
        <v>100</v>
      </c>
      <c r="X44" s="1355"/>
      <c r="Y44" s="367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4"/>
      <c r="Q45" s="1343">
        <f t="shared" si="11"/>
        <v>111</v>
      </c>
      <c r="R45" s="701" t="s">
        <v>14</v>
      </c>
      <c r="S45" s="702">
        <f t="shared" si="12"/>
        <v>100</v>
      </c>
      <c r="T45" s="701" t="s">
        <v>14</v>
      </c>
      <c r="U45" s="702">
        <f t="shared" si="13"/>
        <v>100</v>
      </c>
      <c r="V45" s="701" t="s">
        <v>14</v>
      </c>
      <c r="W45" s="702">
        <f t="shared" si="14"/>
        <v>100</v>
      </c>
      <c r="X45" s="703"/>
      <c r="Y45" s="367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5"/>
      <c r="Q47" s="1352">
        <f t="shared" si="11"/>
        <v>111</v>
      </c>
      <c r="R47" s="705" t="s">
        <v>14</v>
      </c>
      <c r="S47" s="706">
        <f t="shared" si="12"/>
        <v>100</v>
      </c>
      <c r="T47" s="705" t="s">
        <v>14</v>
      </c>
      <c r="U47" s="706">
        <f t="shared" si="13"/>
        <v>100</v>
      </c>
      <c r="V47" s="705" t="s">
        <v>14</v>
      </c>
      <c r="W47" s="706">
        <f t="shared" si="14"/>
        <v>100</v>
      </c>
      <c r="X47" s="1355"/>
      <c r="Y47" s="3677"/>
      <c r="Z47" s="1356">
        <f t="shared" si="15"/>
        <v>111</v>
      </c>
      <c r="AA47" s="1353">
        <f t="shared" si="3"/>
        <v>1</v>
      </c>
      <c r="AB47" s="1353">
        <f t="shared" si="4"/>
        <v>1</v>
      </c>
      <c r="AC47" s="1962">
        <f t="shared" si="5"/>
        <v>1</v>
      </c>
    </row>
    <row r="48" spans="1:29" ht="14.4">
      <c r="A48" s="430" t="s">
        <v>1706</v>
      </c>
      <c r="B48" s="431"/>
      <c r="C48" s="1154" t="s">
        <v>0</v>
      </c>
      <c r="D48" s="1155"/>
      <c r="E48" s="1156"/>
      <c r="F48" s="1157"/>
      <c r="G48" s="1158"/>
      <c r="H48" s="1159"/>
      <c r="I48" s="1156"/>
      <c r="J48" s="436"/>
      <c r="K48" s="714"/>
      <c r="L48" s="2723"/>
      <c r="M48" s="2715"/>
      <c r="N48" s="2715"/>
      <c r="O48" s="2715"/>
      <c r="P48" s="3680" t="str">
        <f>A48</f>
        <v>成交单价（元/平方米）</v>
      </c>
      <c r="Q48" s="3669"/>
      <c r="R48" s="3670">
        <f>E48</f>
        <v>0</v>
      </c>
      <c r="S48" s="3670"/>
      <c r="T48" s="3670">
        <f>G48</f>
        <v>0</v>
      </c>
      <c r="U48" s="3670"/>
      <c r="V48" s="3670">
        <f>I48</f>
        <v>0</v>
      </c>
      <c r="W48" s="3670"/>
      <c r="X48" s="397"/>
      <c r="Y48" s="712"/>
      <c r="Z48" s="397"/>
      <c r="AA48" s="397"/>
      <c r="AB48" s="397"/>
      <c r="AC48" s="578"/>
    </row>
    <row r="49" spans="1:29" ht="15" thickBot="1">
      <c r="A49" s="437" t="s">
        <v>1791</v>
      </c>
      <c r="B49" s="438"/>
      <c r="C49" s="1160" t="e">
        <f>R50</f>
        <v>#DIV/0!</v>
      </c>
      <c r="D49" s="2317" t="s">
        <v>2136</v>
      </c>
      <c r="E49" s="1161" t="e">
        <f>R49</f>
        <v>#DIV/0!</v>
      </c>
      <c r="F49" s="2318"/>
      <c r="G49" s="1160" t="e">
        <f>T49</f>
        <v>#DIV/0!</v>
      </c>
      <c r="H49" s="2318"/>
      <c r="I49" s="1161" t="e">
        <f>V49</f>
        <v>#DIV/0!</v>
      </c>
      <c r="J49" s="2318"/>
      <c r="K49" s="2320">
        <f>F49+H49+J49</f>
        <v>0</v>
      </c>
      <c r="L49" s="2723"/>
      <c r="M49" s="2715"/>
      <c r="N49" s="2715"/>
      <c r="O49" s="2715"/>
      <c r="P49" s="3680" t="str">
        <f>A49</f>
        <v>比较价值（元/平方米）</v>
      </c>
      <c r="Q49" s="3669"/>
      <c r="R49" s="3670" t="e">
        <f>IF(F1="售价",ROUND(PRODUCT(R48,AA7:AA47),0),ROUND(PRODUCT(R48,AA7:AA47),1))</f>
        <v>#DIV/0!</v>
      </c>
      <c r="S49" s="3670"/>
      <c r="T49" s="3670" t="e">
        <f>IF(F1="售价",ROUND(PRODUCT(T48,AB7:AB47),0),ROUND(PRODUCT(T48,AB7:AB47),1))</f>
        <v>#DIV/0!</v>
      </c>
      <c r="U49" s="3670"/>
      <c r="V49" s="3670" t="e">
        <f>IF(F1="售价",ROUND(PRODUCT(V48,AC7:AC47),0),ROUND(PRODUCT(V48,AC7:AC47),1))</f>
        <v>#DIV/0!</v>
      </c>
      <c r="W49" s="3670"/>
      <c r="X49" s="397"/>
      <c r="Y49" s="397"/>
      <c r="Z49" s="397"/>
      <c r="AA49" s="397"/>
      <c r="AB49" s="397"/>
      <c r="AC49" s="578"/>
    </row>
    <row r="50" spans="1:29" ht="15" thickBot="1">
      <c r="A50" s="441" t="s">
        <v>1792</v>
      </c>
      <c r="B50" s="442"/>
      <c r="C50" s="1163" t="e">
        <f>R50</f>
        <v>#DIV/0!</v>
      </c>
      <c r="D50" s="1163"/>
      <c r="E50" s="1163"/>
      <c r="F50" s="1163"/>
      <c r="G50" s="1163"/>
      <c r="H50" s="1163"/>
      <c r="I50" s="1163"/>
      <c r="J50" s="443"/>
      <c r="K50" s="715"/>
      <c r="L50" s="2723"/>
      <c r="M50" s="2715"/>
      <c r="N50" s="2715"/>
      <c r="O50" s="2715"/>
      <c r="P50" s="3712" t="str">
        <f>A50</f>
        <v>估价对象XX用房的比较价值（楼面单价，元/平方米）</v>
      </c>
      <c r="Q50" s="3713"/>
      <c r="R50" s="3714" t="e">
        <f>IF(F1="售价",ROUND(IF(D49="简单平均",AVERAGE(R49:V49),R49*F49+T49*H49+V49*J49),0),ROUND(IF(D49="简单平均",AVERAGE(R49:V49),R49*F49+T49*H49+V49*J49),1))</f>
        <v>#DIV/0!</v>
      </c>
      <c r="S50" s="3714"/>
      <c r="T50" s="3714"/>
      <c r="U50" s="3714"/>
      <c r="V50" s="3714"/>
      <c r="W50" s="3714"/>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1796</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1677</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1714</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1679</v>
      </c>
      <c r="B62" s="459"/>
      <c r="C62" s="471" t="s">
        <v>1774</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1717</v>
      </c>
      <c r="B64" s="477" t="s">
        <v>1683</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1686</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1688</v>
      </c>
      <c r="B77" s="477" t="s">
        <v>1819</v>
      </c>
      <c r="C77" s="522" t="s">
        <v>1719</v>
      </c>
      <c r="D77" s="522" t="s">
        <v>1720</v>
      </c>
      <c r="E77" s="522" t="s">
        <v>1721</v>
      </c>
      <c r="F77" s="522" t="s">
        <v>1722</v>
      </c>
      <c r="G77" s="522" t="s">
        <v>1723</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1724</v>
      </c>
      <c r="C79" s="527" t="s">
        <v>1719</v>
      </c>
      <c r="D79" s="527" t="s">
        <v>1720</v>
      </c>
      <c r="E79" s="527" t="s">
        <v>1721</v>
      </c>
      <c r="F79" s="527" t="s">
        <v>1722</v>
      </c>
      <c r="G79" s="527" t="s">
        <v>1723</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1725</v>
      </c>
      <c r="C81" s="527" t="s">
        <v>1719</v>
      </c>
      <c r="D81" s="527" t="s">
        <v>1720</v>
      </c>
      <c r="E81" s="527" t="s">
        <v>1721</v>
      </c>
      <c r="F81" s="527" t="s">
        <v>1722</v>
      </c>
      <c r="G81" s="527" t="s">
        <v>1723</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1811</v>
      </c>
      <c r="C83" s="608" t="s">
        <v>1797</v>
      </c>
      <c r="D83" s="608" t="s">
        <v>1798</v>
      </c>
      <c r="E83" s="608" t="s">
        <v>1799</v>
      </c>
      <c r="F83" s="608" t="s">
        <v>1800</v>
      </c>
      <c r="G83" s="608" t="s">
        <v>1801</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1820</v>
      </c>
      <c r="C85" s="527" t="s">
        <v>1719</v>
      </c>
      <c r="D85" s="527" t="s">
        <v>1720</v>
      </c>
      <c r="E85" s="527" t="s">
        <v>1721</v>
      </c>
      <c r="F85" s="527" t="s">
        <v>1722</v>
      </c>
      <c r="G85" s="527" t="s">
        <v>1723</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1821</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1692</v>
      </c>
      <c r="B101" s="477" t="s">
        <v>1734</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1736</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1738</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1822</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1739</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1740</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1823</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1806</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1742</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1743</v>
      </c>
      <c r="C125" s="527" t="s">
        <v>1719</v>
      </c>
      <c r="D125" s="527" t="s">
        <v>1720</v>
      </c>
      <c r="E125" s="527" t="s">
        <v>1721</v>
      </c>
      <c r="F125" s="527" t="s">
        <v>1722</v>
      </c>
      <c r="G125" s="527" t="s">
        <v>1723</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63" sqref="N63"/>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1658</v>
      </c>
      <c r="B1" s="1957" t="s">
        <v>1824</v>
      </c>
      <c r="C1" s="1224" t="s">
        <v>1660</v>
      </c>
      <c r="D1" s="1225"/>
      <c r="E1" s="3432"/>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10052.84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1767</v>
      </c>
      <c r="B4" s="356"/>
      <c r="C4" s="3684" t="s">
        <v>1768</v>
      </c>
      <c r="D4" s="3685"/>
      <c r="E4" s="3686" t="s">
        <v>1769</v>
      </c>
      <c r="F4" s="3687"/>
      <c r="G4" s="3684" t="s">
        <v>1770</v>
      </c>
      <c r="H4" s="3685"/>
      <c r="I4" s="3684" t="s">
        <v>1771</v>
      </c>
      <c r="J4" s="3685"/>
      <c r="K4" s="559" t="s">
        <v>1772</v>
      </c>
      <c r="L4" s="913"/>
      <c r="M4" s="914"/>
      <c r="N4" s="914"/>
      <c r="O4" s="914"/>
      <c r="P4" s="3688" t="s">
        <v>1773</v>
      </c>
      <c r="Q4" s="3689"/>
      <c r="R4" s="3694" t="s">
        <v>1769</v>
      </c>
      <c r="S4" s="3695"/>
      <c r="T4" s="3694" t="s">
        <v>1770</v>
      </c>
      <c r="U4" s="3695"/>
      <c r="V4" s="3700" t="s">
        <v>1771</v>
      </c>
      <c r="W4" s="3700"/>
      <c r="X4" s="1355"/>
      <c r="Y4" s="3694" t="s">
        <v>1773</v>
      </c>
      <c r="Z4" s="3695"/>
      <c r="AA4" s="3681" t="s">
        <v>1769</v>
      </c>
      <c r="AB4" s="3682" t="s">
        <v>1770</v>
      </c>
      <c r="AC4" s="3681" t="s">
        <v>1771</v>
      </c>
    </row>
    <row r="5" spans="1:29">
      <c r="A5" s="358"/>
      <c r="B5" s="359"/>
      <c r="C5" s="3703" t="s">
        <v>1671</v>
      </c>
      <c r="D5" s="3704"/>
      <c r="E5" s="3710" t="s">
        <v>1672</v>
      </c>
      <c r="F5" s="3711"/>
      <c r="G5" s="3703" t="s">
        <v>1673</v>
      </c>
      <c r="H5" s="3704"/>
      <c r="I5" s="3703" t="s">
        <v>1674</v>
      </c>
      <c r="J5" s="3704"/>
      <c r="K5" s="559"/>
      <c r="L5" s="913"/>
      <c r="M5" s="914"/>
      <c r="N5" s="914"/>
      <c r="O5" s="914"/>
      <c r="P5" s="3690"/>
      <c r="Q5" s="3691"/>
      <c r="R5" s="3696"/>
      <c r="S5" s="3697"/>
      <c r="T5" s="3696"/>
      <c r="U5" s="3697"/>
      <c r="V5" s="3700"/>
      <c r="W5" s="3700"/>
      <c r="X5" s="1355"/>
      <c r="Y5" s="3696"/>
      <c r="Z5" s="3697"/>
      <c r="AA5" s="3682"/>
      <c r="AB5" s="3682"/>
      <c r="AC5" s="3682"/>
    </row>
    <row r="6" spans="1:29" ht="15" thickBot="1">
      <c r="A6" s="360"/>
      <c r="B6" s="361"/>
      <c r="C6" s="3701" t="s">
        <v>1675</v>
      </c>
      <c r="D6" s="3702"/>
      <c r="E6" s="3708" t="s">
        <v>1675</v>
      </c>
      <c r="F6" s="3709"/>
      <c r="G6" s="3701" t="s">
        <v>1675</v>
      </c>
      <c r="H6" s="3702"/>
      <c r="I6" s="3701" t="s">
        <v>1675</v>
      </c>
      <c r="J6" s="3702"/>
      <c r="K6" s="559" t="s">
        <v>1676</v>
      </c>
      <c r="L6" s="913"/>
      <c r="M6" s="914"/>
      <c r="N6" s="914"/>
      <c r="O6" s="914"/>
      <c r="P6" s="3692"/>
      <c r="Q6" s="3693"/>
      <c r="R6" s="3696"/>
      <c r="S6" s="3697"/>
      <c r="T6" s="3698"/>
      <c r="U6" s="3699"/>
      <c r="V6" s="3700"/>
      <c r="W6" s="3700"/>
      <c r="X6" s="1355"/>
      <c r="Y6" s="3698"/>
      <c r="Z6" s="3699"/>
      <c r="AA6" s="3683"/>
      <c r="AB6" s="3683"/>
      <c r="AC6" s="3683"/>
    </row>
    <row r="7" spans="1:29" s="108" customFormat="1" ht="15" thickBot="1">
      <c r="A7" s="362" t="s">
        <v>1677</v>
      </c>
      <c r="B7" s="363"/>
      <c r="C7" s="364">
        <f>'数据-取费表'!B2</f>
        <v>45224</v>
      </c>
      <c r="D7" s="365">
        <v>100</v>
      </c>
      <c r="E7" s="366"/>
      <c r="F7" s="367">
        <f>SUMIF(52:52,YEAR(E7)&amp;"-"&amp;MONTH(E7),53:53)</f>
        <v>0</v>
      </c>
      <c r="G7" s="366"/>
      <c r="H7" s="365">
        <f>SUMIF(52:52,YEAR(G7)&amp;"-"&amp;MONTH(G7),53:53)</f>
        <v>0</v>
      </c>
      <c r="I7" s="366"/>
      <c r="J7" s="365">
        <f>SUMIF(52:52,YEAR(I7)&amp;"-"&amp;MONTH(I7),53:53)</f>
        <v>0</v>
      </c>
      <c r="K7" s="560"/>
      <c r="L7" s="915"/>
      <c r="M7" s="916"/>
      <c r="N7" s="916"/>
      <c r="O7" s="916"/>
      <c r="P7" s="3705" t="s">
        <v>1678</v>
      </c>
      <c r="Q7" s="3707"/>
      <c r="R7" s="701" t="s">
        <v>14</v>
      </c>
      <c r="S7" s="702">
        <f t="shared" ref="S7:S15" si="0">F7</f>
        <v>0</v>
      </c>
      <c r="T7" s="701" t="s">
        <v>14</v>
      </c>
      <c r="U7" s="702">
        <f t="shared" ref="U7:U15" si="1">H7</f>
        <v>0</v>
      </c>
      <c r="V7" s="701" t="s">
        <v>14</v>
      </c>
      <c r="W7" s="702">
        <f t="shared" ref="W7:W15" si="2">J7</f>
        <v>0</v>
      </c>
      <c r="X7" s="703"/>
      <c r="Y7" s="3705" t="s">
        <v>1678</v>
      </c>
      <c r="Z7" s="3706"/>
      <c r="AA7" s="704" t="e">
        <f>D7/F7</f>
        <v>#DIV/0!</v>
      </c>
      <c r="AB7" s="704" t="e">
        <f>D7/H7</f>
        <v>#DIV/0!</v>
      </c>
      <c r="AC7" s="704" t="e">
        <f>D7/J7</f>
        <v>#DIV/0!</v>
      </c>
    </row>
    <row r="8" spans="1:29" s="108" customFormat="1" ht="1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5" t="s">
        <v>1681</v>
      </c>
      <c r="Q8" s="3706"/>
      <c r="R8" s="701" t="s">
        <v>14</v>
      </c>
      <c r="S8" s="702">
        <f t="shared" si="0"/>
        <v>100</v>
      </c>
      <c r="T8" s="701" t="s">
        <v>14</v>
      </c>
      <c r="U8" s="702">
        <f t="shared" si="1"/>
        <v>100</v>
      </c>
      <c r="V8" s="701" t="s">
        <v>14</v>
      </c>
      <c r="W8" s="702">
        <f t="shared" si="2"/>
        <v>100</v>
      </c>
      <c r="X8" s="703"/>
      <c r="Y8" s="3705" t="s">
        <v>1681</v>
      </c>
      <c r="Z8" s="3706"/>
      <c r="AA8" s="704">
        <f t="shared" ref="AA8:AA40" si="3">D8/F8</f>
        <v>1</v>
      </c>
      <c r="AB8" s="704">
        <f t="shared" ref="AB8:AB40" si="4">D8/H8</f>
        <v>1</v>
      </c>
      <c r="AC8" s="704">
        <f t="shared" ref="AC8:AC40" si="5">D8/J8</f>
        <v>1</v>
      </c>
    </row>
    <row r="9" spans="1:29" s="108" customFormat="1" ht="14.4">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9" t="s">
        <v>1684</v>
      </c>
      <c r="Q9" s="1343" t="str">
        <f t="shared" ref="Q9:Q15" si="6">B9</f>
        <v>用途</v>
      </c>
      <c r="R9" s="701" t="s">
        <v>14</v>
      </c>
      <c r="S9" s="702">
        <f t="shared" si="0"/>
        <v>100</v>
      </c>
      <c r="T9" s="701" t="s">
        <v>14</v>
      </c>
      <c r="U9" s="702">
        <f t="shared" si="1"/>
        <v>100</v>
      </c>
      <c r="V9" s="701" t="s">
        <v>14</v>
      </c>
      <c r="W9" s="702">
        <f t="shared" si="2"/>
        <v>100</v>
      </c>
      <c r="X9" s="703"/>
      <c r="Y9" s="3544" t="s">
        <v>1685</v>
      </c>
      <c r="Z9" s="52" t="str">
        <f t="shared" ref="Z9:Z15" si="7">Q9</f>
        <v>用途</v>
      </c>
      <c r="AA9" s="704">
        <f t="shared" si="3"/>
        <v>1</v>
      </c>
      <c r="AB9" s="704">
        <f t="shared" si="4"/>
        <v>1</v>
      </c>
      <c r="AC9" s="704">
        <f t="shared" si="5"/>
        <v>1</v>
      </c>
    </row>
    <row r="10" spans="1:29" s="378" customFormat="1" ht="28.8">
      <c r="A10" s="374"/>
      <c r="B10" s="375" t="s">
        <v>1686</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9"/>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69">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1" t="s">
        <v>1689</v>
      </c>
      <c r="Q15" s="1352" t="str">
        <f t="shared" si="6"/>
        <v>产业集聚程度</v>
      </c>
      <c r="R15" s="705" t="s">
        <v>14</v>
      </c>
      <c r="S15" s="706">
        <f t="shared" si="0"/>
        <v>100</v>
      </c>
      <c r="T15" s="705" t="s">
        <v>14</v>
      </c>
      <c r="U15" s="706">
        <f t="shared" si="1"/>
        <v>100</v>
      </c>
      <c r="V15" s="705" t="s">
        <v>14</v>
      </c>
      <c r="W15" s="706">
        <f t="shared" si="2"/>
        <v>100</v>
      </c>
      <c r="X15" s="1355"/>
      <c r="Y15" s="3671"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2"/>
      <c r="Q16" s="1352"/>
      <c r="R16" s="705"/>
      <c r="S16" s="706"/>
      <c r="T16" s="705"/>
      <c r="U16" s="706"/>
      <c r="V16" s="705"/>
      <c r="W16" s="706"/>
      <c r="X16" s="1355"/>
      <c r="Y16" s="3672"/>
      <c r="Z16" s="1356"/>
      <c r="AA16" s="1353">
        <v>1</v>
      </c>
      <c r="AB16" s="1353">
        <v>1</v>
      </c>
      <c r="AC16" s="1353">
        <v>1</v>
      </c>
    </row>
    <row r="17" spans="1:29" ht="96.6">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2"/>
      <c r="Q18" s="1352"/>
      <c r="R18" s="705"/>
      <c r="S18" s="706"/>
      <c r="T18" s="705"/>
      <c r="U18" s="706"/>
      <c r="V18" s="705"/>
      <c r="W18" s="706"/>
      <c r="X18" s="1355"/>
      <c r="Y18" s="3672"/>
      <c r="Z18" s="1356"/>
      <c r="AA18" s="1353">
        <v>1</v>
      </c>
      <c r="AB18" s="1353">
        <v>1</v>
      </c>
      <c r="AC18" s="1353">
        <v>1</v>
      </c>
    </row>
    <row r="19" spans="1:29" ht="41.4">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2"/>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2"/>
      <c r="Q20" s="1352"/>
      <c r="R20" s="705"/>
      <c r="S20" s="706"/>
      <c r="T20" s="705"/>
      <c r="U20" s="706"/>
      <c r="V20" s="705"/>
      <c r="W20" s="706"/>
      <c r="X20" s="1355"/>
      <c r="Y20" s="3672"/>
      <c r="Z20" s="1356"/>
      <c r="AA20" s="1353">
        <v>1</v>
      </c>
      <c r="AB20" s="1353">
        <v>1</v>
      </c>
      <c r="AC20" s="1353">
        <v>1</v>
      </c>
    </row>
    <row r="21" spans="1:29" ht="41.4">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2"/>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2"/>
      <c r="Q22" s="1352"/>
      <c r="R22" s="705"/>
      <c r="S22" s="706"/>
      <c r="T22" s="705"/>
      <c r="U22" s="706"/>
      <c r="V22" s="705"/>
      <c r="W22" s="706"/>
      <c r="X22" s="1355"/>
      <c r="Y22" s="3672"/>
      <c r="Z22" s="1356"/>
      <c r="AA22" s="1353">
        <v>1</v>
      </c>
      <c r="AB22" s="1353">
        <v>1</v>
      </c>
      <c r="AC22" s="1353">
        <v>1</v>
      </c>
    </row>
    <row r="23" spans="1:29" ht="82.8">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2"/>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2"/>
      <c r="Q24" s="1352"/>
      <c r="R24" s="705"/>
      <c r="S24" s="706"/>
      <c r="T24" s="705"/>
      <c r="U24" s="706"/>
      <c r="V24" s="705"/>
      <c r="W24" s="706"/>
      <c r="X24" s="1355"/>
      <c r="Y24" s="367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2"/>
      <c r="Q25" s="1352">
        <f>B25</f>
        <v>111</v>
      </c>
      <c r="R25" s="705" t="s">
        <v>14</v>
      </c>
      <c r="S25" s="706">
        <f>F25</f>
        <v>100</v>
      </c>
      <c r="T25" s="705" t="s">
        <v>14</v>
      </c>
      <c r="U25" s="706">
        <f>H25</f>
        <v>100</v>
      </c>
      <c r="V25" s="705" t="s">
        <v>14</v>
      </c>
      <c r="W25" s="706">
        <f>J25</f>
        <v>100</v>
      </c>
      <c r="X25" s="1355"/>
      <c r="Y25" s="367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2"/>
      <c r="Q26" s="1352">
        <f t="shared" ref="Q26:Q40" si="11">B26</f>
        <v>111</v>
      </c>
      <c r="R26" s="705" t="s">
        <v>14</v>
      </c>
      <c r="S26" s="706">
        <f>F26</f>
        <v>100</v>
      </c>
      <c r="T26" s="705" t="s">
        <v>14</v>
      </c>
      <c r="U26" s="706">
        <f>H26</f>
        <v>100</v>
      </c>
      <c r="V26" s="705" t="s">
        <v>14</v>
      </c>
      <c r="W26" s="706">
        <f>J26</f>
        <v>100</v>
      </c>
      <c r="X26" s="1355"/>
      <c r="Y26" s="367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2"/>
      <c r="Q27" s="1343">
        <f t="shared" si="11"/>
        <v>111</v>
      </c>
      <c r="R27" s="701" t="s">
        <v>14</v>
      </c>
      <c r="S27" s="702">
        <f>F27</f>
        <v>100</v>
      </c>
      <c r="T27" s="701" t="s">
        <v>14</v>
      </c>
      <c r="U27" s="702">
        <f>H27</f>
        <v>100</v>
      </c>
      <c r="V27" s="701" t="s">
        <v>14</v>
      </c>
      <c r="W27" s="702">
        <f>J27</f>
        <v>100</v>
      </c>
      <c r="X27" s="703"/>
      <c r="Y27" s="3672"/>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2"/>
      <c r="Q28" s="1352">
        <f t="shared" si="11"/>
        <v>111</v>
      </c>
      <c r="R28" s="705" t="s">
        <v>14</v>
      </c>
      <c r="S28" s="706">
        <f t="shared" ref="S28:S40" si="12">F28</f>
        <v>100</v>
      </c>
      <c r="T28" s="705" t="s">
        <v>14</v>
      </c>
      <c r="U28" s="706">
        <f t="shared" ref="U28:U40" si="13">H28</f>
        <v>100</v>
      </c>
      <c r="V28" s="705" t="s">
        <v>14</v>
      </c>
      <c r="W28" s="706">
        <f t="shared" ref="W28:W40" si="14">J28</f>
        <v>100</v>
      </c>
      <c r="X28" s="1355"/>
      <c r="Y28" s="3672"/>
      <c r="Z28" s="1356">
        <f t="shared" ref="Z28:Z40" si="15">Q28</f>
        <v>111</v>
      </c>
      <c r="AA28" s="1353">
        <f t="shared" si="3"/>
        <v>1</v>
      </c>
      <c r="AB28" s="1353">
        <f t="shared" si="4"/>
        <v>1</v>
      </c>
      <c r="AC28" s="1353">
        <f t="shared" si="5"/>
        <v>1</v>
      </c>
    </row>
    <row r="29" spans="1:29" ht="30">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7" t="s">
        <v>1694</v>
      </c>
      <c r="Q29" s="1352" t="str">
        <f t="shared" si="11"/>
        <v>建筑类型</v>
      </c>
      <c r="R29" s="705" t="s">
        <v>14</v>
      </c>
      <c r="S29" s="706">
        <f t="shared" si="12"/>
        <v>100</v>
      </c>
      <c r="T29" s="705" t="s">
        <v>14</v>
      </c>
      <c r="U29" s="706">
        <f t="shared" si="13"/>
        <v>100</v>
      </c>
      <c r="V29" s="705" t="s">
        <v>14</v>
      </c>
      <c r="W29" s="706">
        <f t="shared" si="14"/>
        <v>100</v>
      </c>
      <c r="X29" s="1355"/>
      <c r="Y29" s="3676"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6"/>
      <c r="Q30" s="707" t="str">
        <f t="shared" si="11"/>
        <v>项目建筑规模</v>
      </c>
      <c r="R30" s="708" t="s">
        <v>14</v>
      </c>
      <c r="S30" s="709" t="e">
        <f t="shared" si="12"/>
        <v>#N/A</v>
      </c>
      <c r="T30" s="708" t="s">
        <v>14</v>
      </c>
      <c r="U30" s="709" t="e">
        <f t="shared" si="13"/>
        <v>#N/A</v>
      </c>
      <c r="V30" s="708" t="s">
        <v>14</v>
      </c>
      <c r="W30" s="709" t="e">
        <f t="shared" si="14"/>
        <v>#N/A</v>
      </c>
      <c r="X30" s="710"/>
      <c r="Y30" s="3676"/>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6"/>
      <c r="Q31" s="1352" t="str">
        <f t="shared" si="11"/>
        <v>建筑结构</v>
      </c>
      <c r="R31" s="705" t="s">
        <v>14</v>
      </c>
      <c r="S31" s="706">
        <f t="shared" si="12"/>
        <v>100</v>
      </c>
      <c r="T31" s="705" t="s">
        <v>14</v>
      </c>
      <c r="U31" s="706">
        <f t="shared" si="13"/>
        <v>100</v>
      </c>
      <c r="V31" s="705" t="s">
        <v>14</v>
      </c>
      <c r="W31" s="706">
        <f t="shared" si="14"/>
        <v>100</v>
      </c>
      <c r="X31" s="1355"/>
      <c r="Y31" s="3676"/>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6"/>
      <c r="Q32" s="1352" t="str">
        <f t="shared" si="11"/>
        <v>公共部分装修</v>
      </c>
      <c r="R32" s="705" t="s">
        <v>14</v>
      </c>
      <c r="S32" s="706">
        <f t="shared" si="12"/>
        <v>100</v>
      </c>
      <c r="T32" s="705" t="s">
        <v>14</v>
      </c>
      <c r="U32" s="706">
        <f t="shared" si="13"/>
        <v>100</v>
      </c>
      <c r="V32" s="705" t="s">
        <v>14</v>
      </c>
      <c r="W32" s="706">
        <f t="shared" si="14"/>
        <v>100</v>
      </c>
      <c r="X32" s="1355"/>
      <c r="Y32" s="3676"/>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6"/>
      <c r="Q33" s="1352" t="str">
        <f t="shared" si="11"/>
        <v>成新度</v>
      </c>
      <c r="R33" s="705" t="s">
        <v>14</v>
      </c>
      <c r="S33" s="706" t="e">
        <f t="shared" si="12"/>
        <v>#N/A</v>
      </c>
      <c r="T33" s="705" t="s">
        <v>14</v>
      </c>
      <c r="U33" s="706" t="e">
        <f t="shared" si="13"/>
        <v>#N/A</v>
      </c>
      <c r="V33" s="705" t="s">
        <v>14</v>
      </c>
      <c r="W33" s="706" t="e">
        <f t="shared" si="14"/>
        <v>#N/A</v>
      </c>
      <c r="X33" s="1355"/>
      <c r="Y33" s="3676"/>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6"/>
      <c r="Q34" s="1343" t="str">
        <f t="shared" si="11"/>
        <v>物业管理</v>
      </c>
      <c r="R34" s="701" t="s">
        <v>14</v>
      </c>
      <c r="S34" s="702">
        <f t="shared" si="12"/>
        <v>100</v>
      </c>
      <c r="T34" s="701" t="s">
        <v>14</v>
      </c>
      <c r="U34" s="702">
        <f t="shared" si="13"/>
        <v>100</v>
      </c>
      <c r="V34" s="701" t="s">
        <v>14</v>
      </c>
      <c r="W34" s="702">
        <f t="shared" si="14"/>
        <v>100</v>
      </c>
      <c r="X34" s="703"/>
      <c r="Y34" s="3676"/>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6" t="s">
        <v>1694</v>
      </c>
      <c r="Q35" s="1352" t="str">
        <f t="shared" si="11"/>
        <v>市政基础设施</v>
      </c>
      <c r="R35" s="705" t="s">
        <v>14</v>
      </c>
      <c r="S35" s="706">
        <f t="shared" si="12"/>
        <v>100</v>
      </c>
      <c r="T35" s="705" t="s">
        <v>14</v>
      </c>
      <c r="U35" s="706">
        <f t="shared" si="13"/>
        <v>100</v>
      </c>
      <c r="V35" s="705" t="s">
        <v>14</v>
      </c>
      <c r="W35" s="706">
        <f t="shared" si="14"/>
        <v>100</v>
      </c>
      <c r="X35" s="1355"/>
      <c r="Y35" s="3676"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6"/>
      <c r="Q36" s="1352" t="str">
        <f t="shared" si="11"/>
        <v>内部装修</v>
      </c>
      <c r="R36" s="705" t="s">
        <v>14</v>
      </c>
      <c r="S36" s="706">
        <f t="shared" si="12"/>
        <v>100</v>
      </c>
      <c r="T36" s="705" t="s">
        <v>14</v>
      </c>
      <c r="U36" s="706">
        <f t="shared" si="13"/>
        <v>100</v>
      </c>
      <c r="V36" s="705" t="s">
        <v>14</v>
      </c>
      <c r="W36" s="706">
        <f t="shared" si="14"/>
        <v>100</v>
      </c>
      <c r="X36" s="1355"/>
      <c r="Y36" s="3676"/>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6"/>
      <c r="Q37" s="1352" t="str">
        <f t="shared" si="11"/>
        <v>内部装修状况</v>
      </c>
      <c r="R37" s="705" t="s">
        <v>14</v>
      </c>
      <c r="S37" s="706">
        <f t="shared" si="12"/>
        <v>100</v>
      </c>
      <c r="T37" s="705" t="s">
        <v>14</v>
      </c>
      <c r="U37" s="706">
        <f t="shared" si="13"/>
        <v>100</v>
      </c>
      <c r="V37" s="705" t="s">
        <v>14</v>
      </c>
      <c r="W37" s="706">
        <f t="shared" si="14"/>
        <v>100</v>
      </c>
      <c r="X37" s="1355"/>
      <c r="Y37" s="367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6"/>
      <c r="Q38" s="707">
        <f t="shared" si="11"/>
        <v>111</v>
      </c>
      <c r="R38" s="708" t="s">
        <v>14</v>
      </c>
      <c r="S38" s="709">
        <f t="shared" si="12"/>
        <v>100</v>
      </c>
      <c r="T38" s="708" t="s">
        <v>14</v>
      </c>
      <c r="U38" s="709">
        <f t="shared" si="13"/>
        <v>100</v>
      </c>
      <c r="V38" s="708" t="s">
        <v>14</v>
      </c>
      <c r="W38" s="709">
        <f t="shared" si="14"/>
        <v>100</v>
      </c>
      <c r="X38" s="710"/>
      <c r="Y38" s="367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6"/>
      <c r="Q39" s="1352">
        <f t="shared" si="11"/>
        <v>111</v>
      </c>
      <c r="R39" s="705" t="s">
        <v>14</v>
      </c>
      <c r="S39" s="706">
        <f t="shared" si="12"/>
        <v>100</v>
      </c>
      <c r="T39" s="705" t="s">
        <v>14</v>
      </c>
      <c r="U39" s="706">
        <f t="shared" si="13"/>
        <v>100</v>
      </c>
      <c r="V39" s="705" t="s">
        <v>14</v>
      </c>
      <c r="W39" s="706">
        <f t="shared" si="14"/>
        <v>100</v>
      </c>
      <c r="X39" s="1355"/>
      <c r="Y39" s="3676"/>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7"/>
      <c r="Q40" s="1352">
        <f t="shared" si="11"/>
        <v>111</v>
      </c>
      <c r="R40" s="705" t="s">
        <v>14</v>
      </c>
      <c r="S40" s="706">
        <f t="shared" si="12"/>
        <v>100</v>
      </c>
      <c r="T40" s="705" t="s">
        <v>14</v>
      </c>
      <c r="U40" s="706">
        <f t="shared" si="13"/>
        <v>100</v>
      </c>
      <c r="V40" s="705" t="s">
        <v>14</v>
      </c>
      <c r="W40" s="706">
        <f t="shared" si="14"/>
        <v>100</v>
      </c>
      <c r="X40" s="1355"/>
      <c r="Y40" s="3677"/>
      <c r="Z40" s="1356">
        <f t="shared" si="15"/>
        <v>111</v>
      </c>
      <c r="AA40" s="1353">
        <f t="shared" si="3"/>
        <v>1</v>
      </c>
      <c r="AB40" s="1353">
        <f t="shared" si="4"/>
        <v>1</v>
      </c>
      <c r="AC40" s="1353">
        <f t="shared" si="5"/>
        <v>1</v>
      </c>
    </row>
    <row r="41" spans="1:29" ht="14.4">
      <c r="A41" s="430" t="s">
        <v>1706</v>
      </c>
      <c r="B41" s="431"/>
      <c r="C41" s="1154" t="s">
        <v>0</v>
      </c>
      <c r="D41" s="1155"/>
      <c r="E41" s="1156"/>
      <c r="F41" s="1157"/>
      <c r="G41" s="1158"/>
      <c r="H41" s="1159"/>
      <c r="I41" s="1156"/>
      <c r="J41" s="1159"/>
      <c r="K41" s="714"/>
      <c r="L41" s="926"/>
      <c r="M41" s="927"/>
      <c r="N41" s="914"/>
      <c r="O41" s="927"/>
      <c r="P41" s="3669" t="str">
        <f>A41</f>
        <v>成交单价（元/平方米）</v>
      </c>
      <c r="Q41" s="3669"/>
      <c r="R41" s="3670">
        <f>E41</f>
        <v>0</v>
      </c>
      <c r="S41" s="3670"/>
      <c r="T41" s="3670">
        <f>G41</f>
        <v>0</v>
      </c>
      <c r="U41" s="3670"/>
      <c r="V41" s="3670">
        <f>I41</f>
        <v>0</v>
      </c>
      <c r="W41" s="3670"/>
      <c r="X41" s="690"/>
      <c r="Y41" s="712"/>
      <c r="Z41" s="690"/>
      <c r="AA41" s="690"/>
      <c r="AB41" s="690"/>
      <c r="AC41" s="690"/>
    </row>
    <row r="42" spans="1:29" ht="1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669" t="str">
        <f>A42</f>
        <v>比较价值（元/平方米）</v>
      </c>
      <c r="Q42" s="3669"/>
      <c r="R42" s="3670" t="e">
        <f>IF(F1="售价",ROUND(PRODUCT(R41,AA7:AA40),0),ROUND(PRODUCT(R41,AA7:AA40),1))</f>
        <v>#DIV/0!</v>
      </c>
      <c r="S42" s="3670"/>
      <c r="T42" s="3670" t="e">
        <f>IF(F1="售价",ROUND(PRODUCT(T41,AB7:AB40),0),ROUND(PRODUCT(T41,AB7:AB40),1))</f>
        <v>#DIV/0!</v>
      </c>
      <c r="U42" s="3670"/>
      <c r="V42" s="3670" t="e">
        <f>IF(F1="售价",ROUND(PRODUCT(V41,AC7:AC40),0),ROUND(PRODUCT(V41,AC7:AC40),1))</f>
        <v>#DIV/0!</v>
      </c>
      <c r="W42" s="3670"/>
      <c r="X42" s="690"/>
      <c r="Y42" s="690"/>
      <c r="Z42" s="690"/>
      <c r="AA42" s="690"/>
      <c r="AB42" s="690"/>
      <c r="AC42" s="690"/>
    </row>
    <row r="43" spans="1:29" ht="15" thickBot="1">
      <c r="A43" s="441" t="s">
        <v>1792</v>
      </c>
      <c r="B43" s="442"/>
      <c r="C43" s="1163" t="e">
        <f>R43</f>
        <v>#DIV/0!</v>
      </c>
      <c r="D43" s="1163"/>
      <c r="E43" s="1163"/>
      <c r="F43" s="1163"/>
      <c r="G43" s="1163"/>
      <c r="H43" s="1163"/>
      <c r="I43" s="1163"/>
      <c r="J43" s="1163"/>
      <c r="K43" s="715"/>
      <c r="L43" s="926"/>
      <c r="M43" s="927"/>
      <c r="N43" s="927"/>
      <c r="O43" s="927"/>
      <c r="P43" s="3666" t="str">
        <f>A43</f>
        <v>估价对象XX用房的比较价值（楼面单价，元/平方米）</v>
      </c>
      <c r="Q43" s="3667"/>
      <c r="R43" s="3668" t="e">
        <f>IF(F1="售价",ROUND(IF(D42="简单平均",AVERAGE(R42:V42),R42*F42+T42*H42+V42*J42),0),ROUND(IF(D42="简单平均",AVERAGE(R42:V42),R42*F42+T42*H42+V42*J42),1))</f>
        <v>#DIV/0!</v>
      </c>
      <c r="S43" s="3668"/>
      <c r="T43" s="3668"/>
      <c r="U43" s="3668"/>
      <c r="V43" s="3668"/>
      <c r="W43" s="3668"/>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1796</v>
      </c>
      <c r="B51" s="690"/>
      <c r="C51" s="695"/>
      <c r="D51" s="695"/>
      <c r="E51" s="695"/>
      <c r="F51" s="696"/>
      <c r="G51" s="696"/>
      <c r="H51" s="695"/>
      <c r="I51" s="695"/>
      <c r="J51" s="695"/>
      <c r="K51" s="941"/>
      <c r="L51" s="942"/>
      <c r="M51" s="940"/>
      <c r="N51" s="940"/>
      <c r="O51" s="940"/>
      <c r="P51" s="452"/>
      <c r="Q51" s="453"/>
    </row>
    <row r="52" spans="1:17" s="457" customFormat="1" ht="14.4">
      <c r="A52" s="454" t="s">
        <v>1677</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1714</v>
      </c>
      <c r="B54" s="465"/>
      <c r="C54" s="466"/>
      <c r="D54" s="467"/>
      <c r="E54" s="467"/>
      <c r="F54" s="467"/>
      <c r="G54" s="467"/>
      <c r="H54" s="467"/>
      <c r="I54" s="467"/>
      <c r="J54" s="467"/>
      <c r="K54" s="467"/>
      <c r="L54" s="467"/>
      <c r="M54" s="468"/>
      <c r="N54" s="2769"/>
      <c r="O54" s="2770"/>
      <c r="P54" s="453"/>
      <c r="Q54" s="453"/>
    </row>
    <row r="55" spans="1:17" s="108" customFormat="1" ht="14.4">
      <c r="A55" s="470" t="s">
        <v>1679</v>
      </c>
      <c r="B55" s="459"/>
      <c r="C55" s="471" t="s">
        <v>1774</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1717</v>
      </c>
      <c r="B57" s="477" t="s">
        <v>1683</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1686</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1692</v>
      </c>
      <c r="B88" s="477" t="s">
        <v>1734</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估价对象为北京市房地产，为所有。根据《国有土地使用证》[]，估价对象（分摊）出让国有建设用地使用权面积为23335平方米。根据《房屋所有权证》[]、《测绘报告》[]，估价对象建筑面积为10052.84平方米。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23335平方米。根据《房屋所有权证》[]、《测绘报告》[]，估价对象规划建筑面积为10052.84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为估价委托人在向工商银行办理贷款手续过程中，确定房地产抵押贷款额度提供参考依据而评估房地产抵押价值。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2023年10月25日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63" sqref="N63"/>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1829</v>
      </c>
      <c r="B1" s="1223" t="s">
        <v>3336</v>
      </c>
      <c r="C1" s="1224" t="s">
        <v>1660</v>
      </c>
      <c r="D1" s="1225"/>
      <c r="E1" s="3432"/>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1767</v>
      </c>
      <c r="B4" s="356"/>
      <c r="C4" s="3684" t="s">
        <v>1768</v>
      </c>
      <c r="D4" s="3685"/>
      <c r="E4" s="3686" t="s">
        <v>1769</v>
      </c>
      <c r="F4" s="3687"/>
      <c r="G4" s="3684" t="s">
        <v>1770</v>
      </c>
      <c r="H4" s="3685"/>
      <c r="I4" s="3684" t="s">
        <v>1771</v>
      </c>
      <c r="J4" s="3685"/>
      <c r="K4" s="559" t="s">
        <v>1772</v>
      </c>
      <c r="L4" s="2714"/>
      <c r="M4" s="2715"/>
      <c r="N4" s="2715"/>
      <c r="O4" s="2715"/>
      <c r="P4" s="3688" t="s">
        <v>1773</v>
      </c>
      <c r="Q4" s="3689"/>
      <c r="R4" s="3694" t="s">
        <v>1769</v>
      </c>
      <c r="S4" s="3695"/>
      <c r="T4" s="3694" t="s">
        <v>1770</v>
      </c>
      <c r="U4" s="3695"/>
      <c r="V4" s="3700" t="s">
        <v>1771</v>
      </c>
      <c r="W4" s="3700"/>
      <c r="X4" s="1355"/>
      <c r="Y4" s="3694" t="s">
        <v>1773</v>
      </c>
      <c r="Z4" s="3695"/>
      <c r="AA4" s="3681" t="s">
        <v>1769</v>
      </c>
      <c r="AB4" s="3682" t="s">
        <v>1770</v>
      </c>
      <c r="AC4" s="3681" t="s">
        <v>1771</v>
      </c>
    </row>
    <row r="5" spans="1:29">
      <c r="A5" s="358"/>
      <c r="B5" s="359"/>
      <c r="C5" s="3703" t="s">
        <v>1671</v>
      </c>
      <c r="D5" s="3704"/>
      <c r="E5" s="3710" t="s">
        <v>1672</v>
      </c>
      <c r="F5" s="3711"/>
      <c r="G5" s="3703" t="s">
        <v>1673</v>
      </c>
      <c r="H5" s="3704"/>
      <c r="I5" s="3703" t="s">
        <v>1674</v>
      </c>
      <c r="J5" s="3704"/>
      <c r="K5" s="559"/>
      <c r="L5" s="2714"/>
      <c r="M5" s="2715"/>
      <c r="N5" s="2715"/>
      <c r="O5" s="2715"/>
      <c r="P5" s="3690"/>
      <c r="Q5" s="3691"/>
      <c r="R5" s="3696"/>
      <c r="S5" s="3697"/>
      <c r="T5" s="3696"/>
      <c r="U5" s="3697"/>
      <c r="V5" s="3700"/>
      <c r="W5" s="3700"/>
      <c r="X5" s="1355"/>
      <c r="Y5" s="3696"/>
      <c r="Z5" s="3697"/>
      <c r="AA5" s="3682"/>
      <c r="AB5" s="3682"/>
      <c r="AC5" s="3682"/>
    </row>
    <row r="6" spans="1:29" ht="15" thickBot="1">
      <c r="A6" s="360"/>
      <c r="B6" s="361"/>
      <c r="C6" s="3701" t="s">
        <v>1675</v>
      </c>
      <c r="D6" s="3702"/>
      <c r="E6" s="3708" t="s">
        <v>1675</v>
      </c>
      <c r="F6" s="3709"/>
      <c r="G6" s="3701" t="s">
        <v>1675</v>
      </c>
      <c r="H6" s="3702"/>
      <c r="I6" s="3701" t="s">
        <v>1675</v>
      </c>
      <c r="J6" s="3702"/>
      <c r="K6" s="559" t="s">
        <v>1676</v>
      </c>
      <c r="L6" s="2714"/>
      <c r="M6" s="2715"/>
      <c r="N6" s="2715"/>
      <c r="O6" s="2715"/>
      <c r="P6" s="3692"/>
      <c r="Q6" s="3693"/>
      <c r="R6" s="3696"/>
      <c r="S6" s="3697"/>
      <c r="T6" s="3698"/>
      <c r="U6" s="3699"/>
      <c r="V6" s="3700"/>
      <c r="W6" s="3700"/>
      <c r="X6" s="1355"/>
      <c r="Y6" s="3698"/>
      <c r="Z6" s="3699"/>
      <c r="AA6" s="3683"/>
      <c r="AB6" s="3683"/>
      <c r="AC6" s="3683"/>
    </row>
    <row r="7" spans="1:29" s="108" customFormat="1" ht="15" thickBot="1">
      <c r="A7" s="362" t="s">
        <v>1677</v>
      </c>
      <c r="B7" s="363"/>
      <c r="C7" s="364">
        <f>'数据-取费表'!B2</f>
        <v>45224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5" t="s">
        <v>1678</v>
      </c>
      <c r="Q7" s="3707"/>
      <c r="R7" s="701" t="s">
        <v>14</v>
      </c>
      <c r="S7" s="702">
        <f t="shared" ref="S7:S14" si="0">F7</f>
        <v>0</v>
      </c>
      <c r="T7" s="701" t="s">
        <v>14</v>
      </c>
      <c r="U7" s="702">
        <f t="shared" ref="U7:U14" si="1">H7</f>
        <v>0</v>
      </c>
      <c r="V7" s="701" t="s">
        <v>14</v>
      </c>
      <c r="W7" s="702">
        <f t="shared" ref="W7:W14" si="2">J7</f>
        <v>0</v>
      </c>
      <c r="X7" s="703"/>
      <c r="Y7" s="3705" t="s">
        <v>1678</v>
      </c>
      <c r="Z7" s="3706"/>
      <c r="AA7" s="704" t="e">
        <f>D7/F7</f>
        <v>#DIV/0!</v>
      </c>
      <c r="AB7" s="704" t="e">
        <f>D7/H7</f>
        <v>#DIV/0!</v>
      </c>
      <c r="AC7" s="704" t="e">
        <f>D7/J7</f>
        <v>#DIV/0!</v>
      </c>
    </row>
    <row r="8" spans="1:29" s="108" customFormat="1" ht="1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5" t="s">
        <v>1681</v>
      </c>
      <c r="Q8" s="3706"/>
      <c r="R8" s="701" t="s">
        <v>14</v>
      </c>
      <c r="S8" s="702">
        <f t="shared" si="0"/>
        <v>100</v>
      </c>
      <c r="T8" s="701" t="s">
        <v>14</v>
      </c>
      <c r="U8" s="702">
        <f t="shared" si="1"/>
        <v>100</v>
      </c>
      <c r="V8" s="701" t="s">
        <v>14</v>
      </c>
      <c r="W8" s="702">
        <f t="shared" si="2"/>
        <v>100</v>
      </c>
      <c r="X8" s="703"/>
      <c r="Y8" s="3705" t="s">
        <v>1681</v>
      </c>
      <c r="Z8" s="3706"/>
      <c r="AA8" s="704">
        <f t="shared" ref="AA8:AA36" si="3">D8/F8</f>
        <v>1</v>
      </c>
      <c r="AB8" s="704">
        <f t="shared" ref="AB8:AB36" si="4">D8/H8</f>
        <v>1</v>
      </c>
      <c r="AC8" s="704">
        <f t="shared" ref="AC8:AC36" si="5">D8/J8</f>
        <v>1</v>
      </c>
    </row>
    <row r="9" spans="1:29" s="108" customFormat="1" ht="14.4">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9" t="s">
        <v>1684</v>
      </c>
      <c r="Q9" s="1343" t="str">
        <f t="shared" ref="Q9:Q14" si="6">B9</f>
        <v>用途</v>
      </c>
      <c r="R9" s="701" t="s">
        <v>14</v>
      </c>
      <c r="S9" s="702">
        <f t="shared" si="0"/>
        <v>100</v>
      </c>
      <c r="T9" s="701" t="s">
        <v>14</v>
      </c>
      <c r="U9" s="702">
        <f t="shared" si="1"/>
        <v>100</v>
      </c>
      <c r="V9" s="701" t="s">
        <v>14</v>
      </c>
      <c r="W9" s="702">
        <f t="shared" si="2"/>
        <v>100</v>
      </c>
      <c r="X9" s="703"/>
      <c r="Y9" s="3544" t="s">
        <v>1685</v>
      </c>
      <c r="Z9" s="52" t="str">
        <f t="shared" ref="Z9:Z14" si="7">Q9</f>
        <v>用途</v>
      </c>
      <c r="AA9" s="704">
        <f t="shared" si="3"/>
        <v>1</v>
      </c>
      <c r="AB9" s="704">
        <f t="shared" si="4"/>
        <v>1</v>
      </c>
      <c r="AC9" s="704">
        <f t="shared" si="5"/>
        <v>1</v>
      </c>
    </row>
    <row r="10" spans="1:29" s="378" customFormat="1" ht="28.8">
      <c r="A10" s="589"/>
      <c r="B10" s="590" t="s">
        <v>1686</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9"/>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96.6">
      <c r="A14" s="355" t="s">
        <v>1688</v>
      </c>
      <c r="B14" s="577" t="s">
        <v>1831</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1" t="s">
        <v>1689</v>
      </c>
      <c r="Q14" s="1352" t="str">
        <f t="shared" si="6"/>
        <v>交通便捷度</v>
      </c>
      <c r="R14" s="705" t="s">
        <v>14</v>
      </c>
      <c r="S14" s="706">
        <f t="shared" si="0"/>
        <v>100</v>
      </c>
      <c r="T14" s="705" t="s">
        <v>14</v>
      </c>
      <c r="U14" s="706">
        <f t="shared" si="1"/>
        <v>100</v>
      </c>
      <c r="V14" s="705" t="s">
        <v>14</v>
      </c>
      <c r="W14" s="706">
        <f t="shared" si="2"/>
        <v>100</v>
      </c>
      <c r="X14" s="1355"/>
      <c r="Y14" s="3671"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72"/>
      <c r="Q15" s="1352"/>
      <c r="R15" s="705"/>
      <c r="S15" s="706"/>
      <c r="T15" s="705"/>
      <c r="U15" s="706"/>
      <c r="V15" s="705"/>
      <c r="W15" s="706"/>
      <c r="X15" s="1355"/>
      <c r="Y15" s="3672"/>
      <c r="Z15" s="1356"/>
      <c r="AA15" s="1353">
        <v>1</v>
      </c>
      <c r="AB15" s="1353">
        <v>1</v>
      </c>
      <c r="AC15" s="1353">
        <v>1</v>
      </c>
    </row>
    <row r="16" spans="1:29" ht="41.4">
      <c r="A16" s="358"/>
      <c r="B16" s="579" t="s">
        <v>1810</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72"/>
      <c r="Q17" s="1352"/>
      <c r="R17" s="705"/>
      <c r="S17" s="706"/>
      <c r="T17" s="705"/>
      <c r="U17" s="706"/>
      <c r="V17" s="705"/>
      <c r="W17" s="706"/>
      <c r="X17" s="1355"/>
      <c r="Y17" s="3672"/>
      <c r="Z17" s="1356"/>
      <c r="AA17" s="1353">
        <v>1</v>
      </c>
      <c r="AB17" s="1353">
        <v>1</v>
      </c>
      <c r="AC17" s="1353">
        <v>1</v>
      </c>
    </row>
    <row r="18" spans="1:29" ht="41.4">
      <c r="A18" s="358"/>
      <c r="B18" s="581" t="s">
        <v>1811</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72"/>
      <c r="Q19" s="1352"/>
      <c r="R19" s="705"/>
      <c r="S19" s="706"/>
      <c r="T19" s="705"/>
      <c r="U19" s="706"/>
      <c r="V19" s="705"/>
      <c r="W19" s="706"/>
      <c r="X19" s="1355"/>
      <c r="Y19" s="3672"/>
      <c r="Z19" s="1356"/>
      <c r="AA19" s="1353">
        <v>1</v>
      </c>
      <c r="AB19" s="1353">
        <v>1</v>
      </c>
      <c r="AC19" s="1353">
        <v>1</v>
      </c>
    </row>
    <row r="20" spans="1:29" ht="55.2">
      <c r="A20" s="358"/>
      <c r="B20" s="579" t="s">
        <v>1832</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72"/>
      <c r="Q21" s="1352"/>
      <c r="R21" s="705"/>
      <c r="S21" s="706"/>
      <c r="T21" s="705"/>
      <c r="U21" s="706"/>
      <c r="V21" s="705"/>
      <c r="W21" s="706"/>
      <c r="X21" s="1355"/>
      <c r="Y21" s="3672"/>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2"/>
      <c r="Q24" s="1352">
        <f t="shared" ref="Q24:Q36"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30">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7"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6"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6"/>
      <c r="Q27" s="707" t="str">
        <f t="shared" si="11"/>
        <v>项目停车位配比</v>
      </c>
      <c r="R27" s="708" t="s">
        <v>14</v>
      </c>
      <c r="S27" s="709">
        <f t="shared" si="12"/>
        <v>100</v>
      </c>
      <c r="T27" s="708" t="s">
        <v>14</v>
      </c>
      <c r="U27" s="709">
        <f t="shared" si="13"/>
        <v>100</v>
      </c>
      <c r="V27" s="708" t="s">
        <v>14</v>
      </c>
      <c r="W27" s="709">
        <f t="shared" si="14"/>
        <v>100</v>
      </c>
      <c r="X27" s="710"/>
      <c r="Y27" s="3676"/>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6"/>
      <c r="Q28" s="1352" t="str">
        <f t="shared" si="11"/>
        <v>公共部分装修</v>
      </c>
      <c r="R28" s="705" t="s">
        <v>14</v>
      </c>
      <c r="S28" s="706">
        <f t="shared" si="12"/>
        <v>100</v>
      </c>
      <c r="T28" s="705" t="s">
        <v>14</v>
      </c>
      <c r="U28" s="706">
        <f t="shared" si="13"/>
        <v>100</v>
      </c>
      <c r="V28" s="705" t="s">
        <v>14</v>
      </c>
      <c r="W28" s="706">
        <f t="shared" si="14"/>
        <v>100</v>
      </c>
      <c r="X28" s="1355"/>
      <c r="Y28" s="3676"/>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6"/>
      <c r="Q29" s="1352" t="str">
        <f t="shared" si="11"/>
        <v>成新率</v>
      </c>
      <c r="R29" s="705" t="s">
        <v>14</v>
      </c>
      <c r="S29" s="706" t="e">
        <f t="shared" si="12"/>
        <v>#N/A</v>
      </c>
      <c r="T29" s="705" t="s">
        <v>14</v>
      </c>
      <c r="U29" s="706" t="e">
        <f t="shared" si="13"/>
        <v>#N/A</v>
      </c>
      <c r="V29" s="705" t="s">
        <v>14</v>
      </c>
      <c r="W29" s="706" t="e">
        <f t="shared" si="14"/>
        <v>#N/A</v>
      </c>
      <c r="X29" s="1355"/>
      <c r="Y29" s="3676"/>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6"/>
      <c r="Q30" s="1352" t="str">
        <f t="shared" si="11"/>
        <v>物业等级</v>
      </c>
      <c r="R30" s="705" t="s">
        <v>14</v>
      </c>
      <c r="S30" s="706">
        <f t="shared" si="12"/>
        <v>100</v>
      </c>
      <c r="T30" s="705" t="s">
        <v>14</v>
      </c>
      <c r="U30" s="706">
        <f t="shared" si="13"/>
        <v>100</v>
      </c>
      <c r="V30" s="705" t="s">
        <v>14</v>
      </c>
      <c r="W30" s="706">
        <f t="shared" si="14"/>
        <v>100</v>
      </c>
      <c r="X30" s="1355"/>
      <c r="Y30" s="3676"/>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6"/>
      <c r="Q31" s="1343" t="str">
        <f t="shared" si="11"/>
        <v>停车位面积</v>
      </c>
      <c r="R31" s="701" t="s">
        <v>14</v>
      </c>
      <c r="S31" s="702" t="e">
        <f t="shared" si="12"/>
        <v>#N/A</v>
      </c>
      <c r="T31" s="701" t="s">
        <v>14</v>
      </c>
      <c r="U31" s="702" t="e">
        <f t="shared" si="13"/>
        <v>#N/A</v>
      </c>
      <c r="V31" s="701" t="s">
        <v>14</v>
      </c>
      <c r="W31" s="702" t="e">
        <f t="shared" si="14"/>
        <v>#N/A</v>
      </c>
      <c r="X31" s="703"/>
      <c r="Y31" s="3676"/>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6" t="s">
        <v>1694</v>
      </c>
      <c r="Q32" s="1352" t="str">
        <f t="shared" si="11"/>
        <v>车位类型</v>
      </c>
      <c r="R32" s="705" t="s">
        <v>14</v>
      </c>
      <c r="S32" s="706">
        <f t="shared" si="12"/>
        <v>100</v>
      </c>
      <c r="T32" s="705" t="s">
        <v>14</v>
      </c>
      <c r="U32" s="706">
        <f t="shared" si="13"/>
        <v>100</v>
      </c>
      <c r="V32" s="705" t="s">
        <v>14</v>
      </c>
      <c r="W32" s="706">
        <f t="shared" si="14"/>
        <v>100</v>
      </c>
      <c r="X32" s="1355"/>
      <c r="Y32" s="3676"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6"/>
      <c r="Q33" s="1352" t="str">
        <f t="shared" si="11"/>
        <v>是否直接入户</v>
      </c>
      <c r="R33" s="705" t="s">
        <v>14</v>
      </c>
      <c r="S33" s="706">
        <f t="shared" si="12"/>
        <v>100</v>
      </c>
      <c r="T33" s="705" t="s">
        <v>14</v>
      </c>
      <c r="U33" s="706">
        <f t="shared" si="13"/>
        <v>100</v>
      </c>
      <c r="V33" s="705" t="s">
        <v>14</v>
      </c>
      <c r="W33" s="706">
        <f t="shared" si="14"/>
        <v>100</v>
      </c>
      <c r="X33" s="1355"/>
      <c r="Y33" s="367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6"/>
      <c r="Q35" s="707">
        <f t="shared" si="11"/>
        <v>111</v>
      </c>
      <c r="R35" s="708" t="s">
        <v>14</v>
      </c>
      <c r="S35" s="709">
        <f t="shared" si="12"/>
        <v>100</v>
      </c>
      <c r="T35" s="708" t="s">
        <v>14</v>
      </c>
      <c r="U35" s="709">
        <f t="shared" si="13"/>
        <v>100</v>
      </c>
      <c r="V35" s="708" t="s">
        <v>14</v>
      </c>
      <c r="W35" s="709">
        <f t="shared" si="14"/>
        <v>100</v>
      </c>
      <c r="X35" s="710"/>
      <c r="Y35" s="3676"/>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6"/>
      <c r="Q36" s="1352">
        <f t="shared" si="11"/>
        <v>111</v>
      </c>
      <c r="R36" s="705" t="s">
        <v>14</v>
      </c>
      <c r="S36" s="706">
        <f t="shared" si="12"/>
        <v>100</v>
      </c>
      <c r="T36" s="705" t="s">
        <v>14</v>
      </c>
      <c r="U36" s="706">
        <f t="shared" si="13"/>
        <v>100</v>
      </c>
      <c r="V36" s="705" t="s">
        <v>14</v>
      </c>
      <c r="W36" s="706">
        <f t="shared" si="14"/>
        <v>100</v>
      </c>
      <c r="X36" s="1355"/>
      <c r="Y36" s="3676"/>
      <c r="Z36" s="1356">
        <f t="shared" si="15"/>
        <v>111</v>
      </c>
      <c r="AA36" s="1353">
        <f t="shared" si="3"/>
        <v>1</v>
      </c>
      <c r="AB36" s="1353">
        <f t="shared" si="4"/>
        <v>1</v>
      </c>
      <c r="AC36" s="1353">
        <f t="shared" si="5"/>
        <v>1</v>
      </c>
    </row>
    <row r="37" spans="1:29" ht="14.4">
      <c r="A37" s="430" t="s">
        <v>1842</v>
      </c>
      <c r="B37" s="1973" t="s">
        <v>3357</v>
      </c>
      <c r="C37" s="1154" t="s">
        <v>0</v>
      </c>
      <c r="D37" s="1155"/>
      <c r="E37" s="1156"/>
      <c r="F37" s="1157"/>
      <c r="G37" s="1158"/>
      <c r="H37" s="1159"/>
      <c r="I37" s="1156"/>
      <c r="J37" s="1159"/>
      <c r="K37" s="568"/>
      <c r="L37" s="2723"/>
      <c r="M37" s="2724"/>
      <c r="N37" s="2715"/>
      <c r="O37" s="2724"/>
      <c r="P37" s="3669" t="str">
        <f>A37</f>
        <v>成交单价</v>
      </c>
      <c r="Q37" s="3669"/>
      <c r="R37" s="3670">
        <f>E37</f>
        <v>0</v>
      </c>
      <c r="S37" s="3670"/>
      <c r="T37" s="3670">
        <f>G37</f>
        <v>0</v>
      </c>
      <c r="U37" s="3670"/>
      <c r="V37" s="3670">
        <f>I37</f>
        <v>0</v>
      </c>
      <c r="W37" s="3670"/>
      <c r="X37" s="690"/>
      <c r="Y37" s="712"/>
      <c r="Z37" s="690"/>
      <c r="AA37" s="690"/>
      <c r="AB37" s="690"/>
      <c r="AC37" s="690"/>
    </row>
    <row r="38" spans="1:29" ht="1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23"/>
      <c r="M38" s="2724"/>
      <c r="N38" s="2724"/>
      <c r="O38" s="2724"/>
      <c r="P38" s="3669" t="str">
        <f>A38</f>
        <v>比较价值（元/平方米）</v>
      </c>
      <c r="Q38" s="3669"/>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690"/>
      <c r="Y38" s="690"/>
      <c r="Z38" s="690"/>
      <c r="AA38" s="690"/>
      <c r="AB38" s="690"/>
      <c r="AC38" s="690"/>
    </row>
    <row r="39" spans="1:29" ht="15" thickBot="1">
      <c r="A39" s="441" t="s">
        <v>1844</v>
      </c>
      <c r="B39" s="442"/>
      <c r="C39" s="1163" t="e">
        <f>R39</f>
        <v>#DIV/0!</v>
      </c>
      <c r="D39" s="1163"/>
      <c r="E39" s="1163"/>
      <c r="F39" s="1163"/>
      <c r="G39" s="1163"/>
      <c r="H39" s="1163"/>
      <c r="I39" s="1163"/>
      <c r="J39" s="1163"/>
      <c r="K39" s="569"/>
      <c r="L39" s="2723"/>
      <c r="M39" s="2724"/>
      <c r="N39" s="2724"/>
      <c r="O39" s="2724"/>
      <c r="P39" s="3666" t="str">
        <f>A39</f>
        <v>估价对象XX用房的比较价值（楼面单价，元/平方米）</v>
      </c>
      <c r="Q39" s="3667"/>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1848</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1849</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1714</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1679</v>
      </c>
      <c r="B51" s="459"/>
      <c r="C51" s="471" t="s">
        <v>1774</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1717</v>
      </c>
      <c r="B53" s="477" t="s">
        <v>1683</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1686</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1725</v>
      </c>
      <c r="C65" s="527" t="s">
        <v>1719</v>
      </c>
      <c r="D65" s="527" t="s">
        <v>1720</v>
      </c>
      <c r="E65" s="527" t="s">
        <v>1721</v>
      </c>
      <c r="F65" s="527" t="s">
        <v>1722</v>
      </c>
      <c r="G65" s="527" t="s">
        <v>1723</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1811</v>
      </c>
      <c r="C67" s="608" t="s">
        <v>1797</v>
      </c>
      <c r="D67" s="608" t="s">
        <v>1798</v>
      </c>
      <c r="E67" s="608" t="s">
        <v>1799</v>
      </c>
      <c r="F67" s="608" t="s">
        <v>1800</v>
      </c>
      <c r="G67" s="608" t="s">
        <v>1801</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1731</v>
      </c>
      <c r="C69" s="527" t="s">
        <v>1719</v>
      </c>
      <c r="D69" s="527" t="s">
        <v>1720</v>
      </c>
      <c r="E69" s="527" t="s">
        <v>1721</v>
      </c>
      <c r="F69" s="527" t="s">
        <v>1722</v>
      </c>
      <c r="G69" s="527" t="s">
        <v>1723</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1850</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1692</v>
      </c>
      <c r="B79" s="477" t="s">
        <v>1851</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1852</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1738</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1854</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1856</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1857</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63" sqref="N63"/>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1829</v>
      </c>
      <c r="B1" s="1223" t="s">
        <v>3337</v>
      </c>
      <c r="C1" s="1224" t="s">
        <v>1660</v>
      </c>
      <c r="D1" s="1225"/>
      <c r="E1" s="3432"/>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1767</v>
      </c>
      <c r="B4" s="356"/>
      <c r="C4" s="3684" t="s">
        <v>1768</v>
      </c>
      <c r="D4" s="3685"/>
      <c r="E4" s="3686" t="s">
        <v>1769</v>
      </c>
      <c r="F4" s="3687"/>
      <c r="G4" s="3684" t="s">
        <v>1770</v>
      </c>
      <c r="H4" s="3685"/>
      <c r="I4" s="3684" t="s">
        <v>1771</v>
      </c>
      <c r="J4" s="3685"/>
      <c r="K4" s="559" t="s">
        <v>1772</v>
      </c>
      <c r="L4" s="2714"/>
      <c r="M4" s="2715"/>
      <c r="N4" s="2715"/>
      <c r="O4" s="2715"/>
      <c r="P4" s="3688" t="s">
        <v>1773</v>
      </c>
      <c r="Q4" s="3689"/>
      <c r="R4" s="3694" t="s">
        <v>1769</v>
      </c>
      <c r="S4" s="3695"/>
      <c r="T4" s="3694" t="s">
        <v>1770</v>
      </c>
      <c r="U4" s="3695"/>
      <c r="V4" s="3700" t="s">
        <v>1771</v>
      </c>
      <c r="W4" s="3700"/>
      <c r="X4" s="1355"/>
      <c r="Y4" s="3694" t="s">
        <v>1773</v>
      </c>
      <c r="Z4" s="3695"/>
      <c r="AA4" s="3681" t="s">
        <v>1769</v>
      </c>
      <c r="AB4" s="3682" t="s">
        <v>1770</v>
      </c>
      <c r="AC4" s="3681" t="s">
        <v>1771</v>
      </c>
    </row>
    <row r="5" spans="1:29">
      <c r="A5" s="358"/>
      <c r="B5" s="359"/>
      <c r="C5" s="3703" t="s">
        <v>1671</v>
      </c>
      <c r="D5" s="3704"/>
      <c r="E5" s="3710" t="s">
        <v>1672</v>
      </c>
      <c r="F5" s="3711"/>
      <c r="G5" s="3703" t="s">
        <v>1673</v>
      </c>
      <c r="H5" s="3704"/>
      <c r="I5" s="3703" t="s">
        <v>1674</v>
      </c>
      <c r="J5" s="3704"/>
      <c r="K5" s="559"/>
      <c r="L5" s="2714"/>
      <c r="M5" s="2715"/>
      <c r="N5" s="2715"/>
      <c r="O5" s="2715"/>
      <c r="P5" s="3690"/>
      <c r="Q5" s="3691"/>
      <c r="R5" s="3696"/>
      <c r="S5" s="3697"/>
      <c r="T5" s="3696"/>
      <c r="U5" s="3697"/>
      <c r="V5" s="3700"/>
      <c r="W5" s="3700"/>
      <c r="X5" s="1355"/>
      <c r="Y5" s="3696"/>
      <c r="Z5" s="3697"/>
      <c r="AA5" s="3682"/>
      <c r="AB5" s="3682"/>
      <c r="AC5" s="3682"/>
    </row>
    <row r="6" spans="1:29" ht="15" thickBot="1">
      <c r="A6" s="360"/>
      <c r="B6" s="361"/>
      <c r="C6" s="3701" t="s">
        <v>1675</v>
      </c>
      <c r="D6" s="3702"/>
      <c r="E6" s="3708" t="s">
        <v>1675</v>
      </c>
      <c r="F6" s="3709"/>
      <c r="G6" s="3701" t="s">
        <v>1675</v>
      </c>
      <c r="H6" s="3702"/>
      <c r="I6" s="3701" t="s">
        <v>1675</v>
      </c>
      <c r="J6" s="3702"/>
      <c r="K6" s="559" t="s">
        <v>1676</v>
      </c>
      <c r="L6" s="2714"/>
      <c r="M6" s="2715"/>
      <c r="N6" s="2715"/>
      <c r="O6" s="2715"/>
      <c r="P6" s="3692"/>
      <c r="Q6" s="3693"/>
      <c r="R6" s="3696"/>
      <c r="S6" s="3697"/>
      <c r="T6" s="3698"/>
      <c r="U6" s="3699"/>
      <c r="V6" s="3700"/>
      <c r="W6" s="3700"/>
      <c r="X6" s="1355"/>
      <c r="Y6" s="3698"/>
      <c r="Z6" s="3699"/>
      <c r="AA6" s="3683"/>
      <c r="AB6" s="3683"/>
      <c r="AC6" s="3683"/>
    </row>
    <row r="7" spans="1:29" s="108" customFormat="1" ht="15" thickBot="1">
      <c r="A7" s="362" t="s">
        <v>1677</v>
      </c>
      <c r="B7" s="363"/>
      <c r="C7" s="364">
        <f>'数据-取费表'!B2</f>
        <v>45224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05" t="s">
        <v>1678</v>
      </c>
      <c r="Q7" s="3707"/>
      <c r="R7" s="701" t="s">
        <v>14</v>
      </c>
      <c r="S7" s="702">
        <f t="shared" ref="S7:S14" si="0">F7</f>
        <v>0</v>
      </c>
      <c r="T7" s="701" t="s">
        <v>14</v>
      </c>
      <c r="U7" s="702">
        <f t="shared" ref="U7:U14" si="1">H7</f>
        <v>0</v>
      </c>
      <c r="V7" s="701" t="s">
        <v>14</v>
      </c>
      <c r="W7" s="702">
        <f t="shared" ref="W7:W14" si="2">J7</f>
        <v>0</v>
      </c>
      <c r="X7" s="703"/>
      <c r="Y7" s="3705" t="s">
        <v>1678</v>
      </c>
      <c r="Z7" s="3706"/>
      <c r="AA7" s="704" t="e">
        <f>D7/F7</f>
        <v>#DIV/0!</v>
      </c>
      <c r="AB7" s="704" t="e">
        <f>D7/H7</f>
        <v>#DIV/0!</v>
      </c>
      <c r="AC7" s="704" t="e">
        <f>D7/J7</f>
        <v>#DIV/0!</v>
      </c>
    </row>
    <row r="8" spans="1:29" s="108" customFormat="1" ht="1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5" t="s">
        <v>1681</v>
      </c>
      <c r="Q8" s="3706"/>
      <c r="R8" s="701" t="s">
        <v>14</v>
      </c>
      <c r="S8" s="702">
        <f t="shared" si="0"/>
        <v>100</v>
      </c>
      <c r="T8" s="701" t="s">
        <v>14</v>
      </c>
      <c r="U8" s="702">
        <f t="shared" si="1"/>
        <v>100</v>
      </c>
      <c r="V8" s="701" t="s">
        <v>14</v>
      </c>
      <c r="W8" s="702">
        <f t="shared" si="2"/>
        <v>100</v>
      </c>
      <c r="X8" s="703"/>
      <c r="Y8" s="3705" t="s">
        <v>1681</v>
      </c>
      <c r="Z8" s="3706"/>
      <c r="AA8" s="704">
        <f t="shared" ref="AA8:AA34" si="3">D8/F8</f>
        <v>1</v>
      </c>
      <c r="AB8" s="704">
        <f t="shared" ref="AB8:AB34" si="4">D8/H8</f>
        <v>1</v>
      </c>
      <c r="AC8" s="704">
        <f t="shared" ref="AC8:AC34" si="5">D8/J8</f>
        <v>1</v>
      </c>
    </row>
    <row r="9" spans="1:29" s="108" customFormat="1" ht="14.4">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9" t="s">
        <v>1684</v>
      </c>
      <c r="Q9" s="1343" t="str">
        <f t="shared" ref="Q9:Q14" si="6">B9</f>
        <v>用途</v>
      </c>
      <c r="R9" s="701" t="s">
        <v>14</v>
      </c>
      <c r="S9" s="702">
        <f t="shared" si="0"/>
        <v>100</v>
      </c>
      <c r="T9" s="701" t="s">
        <v>14</v>
      </c>
      <c r="U9" s="702">
        <f t="shared" si="1"/>
        <v>100</v>
      </c>
      <c r="V9" s="701" t="s">
        <v>14</v>
      </c>
      <c r="W9" s="702">
        <f t="shared" si="2"/>
        <v>100</v>
      </c>
      <c r="X9" s="703"/>
      <c r="Y9" s="3544" t="s">
        <v>1685</v>
      </c>
      <c r="Z9" s="52" t="str">
        <f t="shared" ref="Z9:Z14" si="7">Q9</f>
        <v>用途</v>
      </c>
      <c r="AA9" s="704">
        <f t="shared" si="3"/>
        <v>1</v>
      </c>
      <c r="AB9" s="704">
        <f t="shared" si="4"/>
        <v>1</v>
      </c>
      <c r="AC9" s="704">
        <f t="shared" si="5"/>
        <v>1</v>
      </c>
    </row>
    <row r="10" spans="1:29" s="378" customFormat="1" ht="28.8">
      <c r="A10" s="374"/>
      <c r="B10" s="375" t="s">
        <v>1686</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9"/>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96.6">
      <c r="A14" s="391" t="s">
        <v>1688</v>
      </c>
      <c r="B14" s="61" t="s">
        <v>1831</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1" t="s">
        <v>1689</v>
      </c>
      <c r="Q14" s="1352" t="str">
        <f t="shared" si="6"/>
        <v>交通便捷度</v>
      </c>
      <c r="R14" s="705" t="s">
        <v>14</v>
      </c>
      <c r="S14" s="706">
        <f t="shared" si="0"/>
        <v>100</v>
      </c>
      <c r="T14" s="705" t="s">
        <v>14</v>
      </c>
      <c r="U14" s="706">
        <f t="shared" si="1"/>
        <v>100</v>
      </c>
      <c r="V14" s="705" t="s">
        <v>14</v>
      </c>
      <c r="W14" s="706">
        <f t="shared" si="2"/>
        <v>100</v>
      </c>
      <c r="X14" s="1355"/>
      <c r="Y14" s="3671"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72"/>
      <c r="Q15" s="1352"/>
      <c r="R15" s="705"/>
      <c r="S15" s="706"/>
      <c r="T15" s="705"/>
      <c r="U15" s="706"/>
      <c r="V15" s="705"/>
      <c r="W15" s="706"/>
      <c r="X15" s="1355"/>
      <c r="Y15" s="3672"/>
      <c r="Z15" s="1356"/>
      <c r="AA15" s="1353">
        <v>1</v>
      </c>
      <c r="AB15" s="1353">
        <v>1</v>
      </c>
      <c r="AC15" s="1353">
        <v>1</v>
      </c>
    </row>
    <row r="16" spans="1:29" ht="41.4">
      <c r="A16" s="379"/>
      <c r="B16" s="402" t="s">
        <v>1810</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72"/>
      <c r="Q17" s="1352"/>
      <c r="R17" s="705"/>
      <c r="S17" s="706"/>
      <c r="T17" s="705"/>
      <c r="U17" s="706"/>
      <c r="V17" s="705"/>
      <c r="W17" s="706"/>
      <c r="X17" s="1355"/>
      <c r="Y17" s="3672"/>
      <c r="Z17" s="1356"/>
      <c r="AA17" s="1353">
        <v>1</v>
      </c>
      <c r="AB17" s="1353">
        <v>1</v>
      </c>
      <c r="AC17" s="1353">
        <v>1</v>
      </c>
    </row>
    <row r="18" spans="1:29" ht="41.4">
      <c r="A18" s="379"/>
      <c r="B18" s="1131" t="s">
        <v>1811</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72"/>
      <c r="Q19" s="1352"/>
      <c r="R19" s="705"/>
      <c r="S19" s="706"/>
      <c r="T19" s="705"/>
      <c r="U19" s="706"/>
      <c r="V19" s="705"/>
      <c r="W19" s="706"/>
      <c r="X19" s="1355"/>
      <c r="Y19" s="3672"/>
      <c r="Z19" s="1356"/>
      <c r="AA19" s="1353">
        <v>1</v>
      </c>
      <c r="AB19" s="1353">
        <v>1</v>
      </c>
      <c r="AC19" s="1353">
        <v>1</v>
      </c>
    </row>
    <row r="20" spans="1:29" ht="55.2">
      <c r="A20" s="379"/>
      <c r="B20" s="402" t="s">
        <v>1832</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72"/>
      <c r="Q21" s="1352"/>
      <c r="R21" s="705"/>
      <c r="S21" s="706"/>
      <c r="T21" s="705"/>
      <c r="U21" s="706"/>
      <c r="V21" s="705"/>
      <c r="W21" s="706"/>
      <c r="X21" s="1355"/>
      <c r="Y21" s="3672"/>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2"/>
      <c r="Q24" s="1352">
        <f t="shared" ref="Q24:Q34"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30">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7"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6"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6"/>
      <c r="Q27" s="707" t="str">
        <f t="shared" si="11"/>
        <v>成新率</v>
      </c>
      <c r="R27" s="708" t="s">
        <v>14</v>
      </c>
      <c r="S27" s="709" t="e">
        <f t="shared" si="12"/>
        <v>#N/A</v>
      </c>
      <c r="T27" s="708" t="s">
        <v>14</v>
      </c>
      <c r="U27" s="709" t="e">
        <f t="shared" si="13"/>
        <v>#N/A</v>
      </c>
      <c r="V27" s="708" t="s">
        <v>14</v>
      </c>
      <c r="W27" s="709" t="e">
        <f t="shared" si="14"/>
        <v>#N/A</v>
      </c>
      <c r="X27" s="710"/>
      <c r="Y27" s="3676"/>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6"/>
      <c r="Q28" s="1352" t="str">
        <f t="shared" si="11"/>
        <v>物业等级</v>
      </c>
      <c r="R28" s="705" t="s">
        <v>14</v>
      </c>
      <c r="S28" s="706">
        <f t="shared" si="12"/>
        <v>100</v>
      </c>
      <c r="T28" s="705" t="s">
        <v>14</v>
      </c>
      <c r="U28" s="706">
        <f t="shared" si="13"/>
        <v>100</v>
      </c>
      <c r="V28" s="705" t="s">
        <v>14</v>
      </c>
      <c r="W28" s="706">
        <f t="shared" si="14"/>
        <v>100</v>
      </c>
      <c r="X28" s="1355"/>
      <c r="Y28" s="3676"/>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6"/>
      <c r="Q29" s="1352" t="str">
        <f t="shared" si="11"/>
        <v>有无电梯</v>
      </c>
      <c r="R29" s="705" t="s">
        <v>14</v>
      </c>
      <c r="S29" s="706">
        <f t="shared" si="12"/>
        <v>100</v>
      </c>
      <c r="T29" s="705" t="s">
        <v>14</v>
      </c>
      <c r="U29" s="706">
        <f t="shared" si="13"/>
        <v>100</v>
      </c>
      <c r="V29" s="705" t="s">
        <v>14</v>
      </c>
      <c r="W29" s="706">
        <f t="shared" si="14"/>
        <v>100</v>
      </c>
      <c r="X29" s="1355"/>
      <c r="Y29" s="3676"/>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6"/>
      <c r="Q30" s="1352" t="str">
        <f t="shared" si="11"/>
        <v>建筑面积</v>
      </c>
      <c r="R30" s="705" t="s">
        <v>14</v>
      </c>
      <c r="S30" s="706" t="e">
        <f t="shared" si="12"/>
        <v>#N/A</v>
      </c>
      <c r="T30" s="705" t="s">
        <v>14</v>
      </c>
      <c r="U30" s="706" t="e">
        <f t="shared" si="13"/>
        <v>#N/A</v>
      </c>
      <c r="V30" s="705" t="s">
        <v>14</v>
      </c>
      <c r="W30" s="706" t="e">
        <f t="shared" si="14"/>
        <v>#N/A</v>
      </c>
      <c r="X30" s="1355"/>
      <c r="Y30" s="3676"/>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6"/>
      <c r="Q31" s="1343" t="str">
        <f t="shared" si="11"/>
        <v>是否封闭</v>
      </c>
      <c r="R31" s="701" t="s">
        <v>14</v>
      </c>
      <c r="S31" s="702">
        <f t="shared" si="12"/>
        <v>100</v>
      </c>
      <c r="T31" s="701" t="s">
        <v>14</v>
      </c>
      <c r="U31" s="702">
        <f t="shared" si="13"/>
        <v>100</v>
      </c>
      <c r="V31" s="701" t="s">
        <v>14</v>
      </c>
      <c r="W31" s="702">
        <f t="shared" si="14"/>
        <v>100</v>
      </c>
      <c r="X31" s="703"/>
      <c r="Y31" s="367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6" t="s">
        <v>1694</v>
      </c>
      <c r="Q32" s="1352">
        <f t="shared" si="11"/>
        <v>111</v>
      </c>
      <c r="R32" s="705" t="s">
        <v>14</v>
      </c>
      <c r="S32" s="706">
        <f t="shared" si="12"/>
        <v>100</v>
      </c>
      <c r="T32" s="705" t="s">
        <v>14</v>
      </c>
      <c r="U32" s="706">
        <f t="shared" si="13"/>
        <v>100</v>
      </c>
      <c r="V32" s="705" t="s">
        <v>14</v>
      </c>
      <c r="W32" s="706">
        <f t="shared" si="14"/>
        <v>100</v>
      </c>
      <c r="X32" s="1355"/>
      <c r="Y32" s="3676"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6"/>
      <c r="Q33" s="1352">
        <f t="shared" si="11"/>
        <v>111</v>
      </c>
      <c r="R33" s="705" t="s">
        <v>14</v>
      </c>
      <c r="S33" s="706">
        <f t="shared" si="12"/>
        <v>100</v>
      </c>
      <c r="T33" s="705" t="s">
        <v>14</v>
      </c>
      <c r="U33" s="706">
        <f t="shared" si="13"/>
        <v>100</v>
      </c>
      <c r="V33" s="705" t="s">
        <v>14</v>
      </c>
      <c r="W33" s="706">
        <f t="shared" si="14"/>
        <v>100</v>
      </c>
      <c r="X33" s="1355"/>
      <c r="Y33" s="3676"/>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30" ht="14.4">
      <c r="A35" s="430" t="s">
        <v>1706</v>
      </c>
      <c r="B35" s="431"/>
      <c r="C35" s="1154" t="s">
        <v>0</v>
      </c>
      <c r="D35" s="1155"/>
      <c r="E35" s="1156"/>
      <c r="F35" s="1157"/>
      <c r="G35" s="1158"/>
      <c r="H35" s="1159"/>
      <c r="I35" s="1156"/>
      <c r="J35" s="1159"/>
      <c r="K35" s="714"/>
      <c r="L35" s="2723"/>
      <c r="M35" s="2724"/>
      <c r="N35" s="2715"/>
      <c r="O35" s="2724"/>
      <c r="P35" s="3669" t="str">
        <f>A35</f>
        <v>成交单价（元/平方米）</v>
      </c>
      <c r="Q35" s="3669"/>
      <c r="R35" s="3670">
        <f>E35</f>
        <v>0</v>
      </c>
      <c r="S35" s="3670"/>
      <c r="T35" s="3670">
        <f>G35</f>
        <v>0</v>
      </c>
      <c r="U35" s="3670"/>
      <c r="V35" s="3670">
        <f>I35</f>
        <v>0</v>
      </c>
      <c r="W35" s="3670"/>
      <c r="X35" s="690"/>
      <c r="Y35" s="712"/>
      <c r="Z35" s="690"/>
      <c r="AA35" s="690"/>
      <c r="AB35" s="690"/>
      <c r="AC35" s="690"/>
    </row>
    <row r="36" spans="1:30" ht="15" thickBot="1">
      <c r="A36" s="437" t="s">
        <v>1791</v>
      </c>
      <c r="B36" s="438"/>
      <c r="C36" s="1160" t="e">
        <f>R37</f>
        <v>#DIV/0!</v>
      </c>
      <c r="D36" s="2317" t="s">
        <v>2136</v>
      </c>
      <c r="E36" s="1161" t="e">
        <f>R36</f>
        <v>#DIV/0!</v>
      </c>
      <c r="F36" s="2318"/>
      <c r="G36" s="1160" t="e">
        <f>T36</f>
        <v>#DIV/0!</v>
      </c>
      <c r="H36" s="2318"/>
      <c r="I36" s="1161" t="e">
        <f>V36</f>
        <v>#DIV/0!</v>
      </c>
      <c r="J36" s="2318"/>
      <c r="K36" s="2320">
        <f>F36+H36+J36</f>
        <v>0</v>
      </c>
      <c r="L36" s="2723"/>
      <c r="M36" s="2724"/>
      <c r="N36" s="2715"/>
      <c r="O36" s="2724"/>
      <c r="P36" s="3669" t="str">
        <f>A36</f>
        <v>比较价值（元/平方米）</v>
      </c>
      <c r="Q36" s="3669"/>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690"/>
      <c r="Y36" s="690"/>
      <c r="Z36" s="690"/>
      <c r="AA36" s="690"/>
      <c r="AB36" s="690"/>
      <c r="AC36" s="690"/>
    </row>
    <row r="37" spans="1:30" ht="15" thickBot="1">
      <c r="A37" s="441" t="s">
        <v>1792</v>
      </c>
      <c r="B37" s="442"/>
      <c r="C37" s="1163" t="e">
        <f>R37</f>
        <v>#DIV/0!</v>
      </c>
      <c r="D37" s="1163"/>
      <c r="E37" s="1163"/>
      <c r="F37" s="1163"/>
      <c r="G37" s="1163"/>
      <c r="H37" s="1163"/>
      <c r="I37" s="1163"/>
      <c r="J37" s="1163"/>
      <c r="K37" s="715"/>
      <c r="L37" s="2723"/>
      <c r="M37" s="2724"/>
      <c r="N37" s="2724"/>
      <c r="O37" s="2724"/>
      <c r="P37" s="3666" t="str">
        <f>A37</f>
        <v>估价对象XX用房的比较价值（楼面单价，元/平方米）</v>
      </c>
      <c r="Q37" s="3667"/>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1796</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1677</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1714</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1679</v>
      </c>
      <c r="B49" s="459"/>
      <c r="C49" s="471" t="s">
        <v>1774</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1717</v>
      </c>
      <c r="B51" s="477" t="s">
        <v>1683</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1686</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1861</v>
      </c>
      <c r="C63" s="527" t="s">
        <v>1719</v>
      </c>
      <c r="D63" s="527" t="s">
        <v>1720</v>
      </c>
      <c r="E63" s="527" t="s">
        <v>1721</v>
      </c>
      <c r="F63" s="527" t="s">
        <v>1722</v>
      </c>
      <c r="G63" s="527" t="s">
        <v>1723</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1811</v>
      </c>
      <c r="C65" s="608" t="s">
        <v>1797</v>
      </c>
      <c r="D65" s="608" t="s">
        <v>1798</v>
      </c>
      <c r="E65" s="608" t="s">
        <v>1799</v>
      </c>
      <c r="F65" s="608" t="s">
        <v>1800</v>
      </c>
      <c r="G65" s="608" t="s">
        <v>1801</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1731</v>
      </c>
      <c r="C67" s="527" t="s">
        <v>1719</v>
      </c>
      <c r="D67" s="527" t="s">
        <v>1720</v>
      </c>
      <c r="E67" s="527" t="s">
        <v>1721</v>
      </c>
      <c r="F67" s="527" t="s">
        <v>1722</v>
      </c>
      <c r="G67" s="527" t="s">
        <v>1723</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1850</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1692</v>
      </c>
      <c r="B77" s="477" t="s">
        <v>1738</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1854</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1862</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1864</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63" sqref="N63"/>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1767</v>
      </c>
      <c r="B4" s="356"/>
      <c r="C4" s="3684" t="s">
        <v>1768</v>
      </c>
      <c r="D4" s="3685"/>
      <c r="E4" s="3686" t="s">
        <v>1769</v>
      </c>
      <c r="F4" s="3687"/>
      <c r="G4" s="3684" t="s">
        <v>1770</v>
      </c>
      <c r="H4" s="3685"/>
      <c r="I4" s="3684" t="s">
        <v>1771</v>
      </c>
      <c r="J4" s="3685"/>
      <c r="K4" s="559" t="s">
        <v>1772</v>
      </c>
      <c r="L4" s="2714"/>
      <c r="M4" s="2715"/>
      <c r="N4" s="2715"/>
      <c r="O4" s="2715"/>
      <c r="P4" s="3688" t="s">
        <v>1773</v>
      </c>
      <c r="Q4" s="3689"/>
      <c r="R4" s="3694" t="s">
        <v>1769</v>
      </c>
      <c r="S4" s="3695"/>
      <c r="T4" s="3694" t="s">
        <v>1770</v>
      </c>
      <c r="U4" s="3695"/>
      <c r="V4" s="3700" t="s">
        <v>1771</v>
      </c>
      <c r="W4" s="3700"/>
      <c r="X4" s="1355"/>
      <c r="Y4" s="3694" t="s">
        <v>1773</v>
      </c>
      <c r="Z4" s="3695"/>
      <c r="AA4" s="3681" t="s">
        <v>1769</v>
      </c>
      <c r="AB4" s="3682" t="s">
        <v>1770</v>
      </c>
      <c r="AC4" s="3681" t="s">
        <v>1771</v>
      </c>
    </row>
    <row r="5" spans="1:30">
      <c r="A5" s="358"/>
      <c r="B5" s="359"/>
      <c r="C5" s="3703" t="s">
        <v>1671</v>
      </c>
      <c r="D5" s="3704"/>
      <c r="E5" s="3710" t="s">
        <v>1672</v>
      </c>
      <c r="F5" s="3711"/>
      <c r="G5" s="3703" t="s">
        <v>1673</v>
      </c>
      <c r="H5" s="3704"/>
      <c r="I5" s="3703" t="s">
        <v>1674</v>
      </c>
      <c r="J5" s="3704"/>
      <c r="K5" s="559"/>
      <c r="L5" s="2714"/>
      <c r="M5" s="2715"/>
      <c r="N5" s="2715"/>
      <c r="O5" s="2715"/>
      <c r="P5" s="3690"/>
      <c r="Q5" s="3691"/>
      <c r="R5" s="3696"/>
      <c r="S5" s="3697"/>
      <c r="T5" s="3696"/>
      <c r="U5" s="3697"/>
      <c r="V5" s="3700"/>
      <c r="W5" s="3700"/>
      <c r="X5" s="1355"/>
      <c r="Y5" s="3696"/>
      <c r="Z5" s="3697"/>
      <c r="AA5" s="3682"/>
      <c r="AB5" s="3682"/>
      <c r="AC5" s="3682"/>
    </row>
    <row r="6" spans="1:30" ht="15" thickBot="1">
      <c r="A6" s="360"/>
      <c r="B6" s="361"/>
      <c r="C6" s="3701" t="s">
        <v>1675</v>
      </c>
      <c r="D6" s="3702"/>
      <c r="E6" s="3708" t="s">
        <v>1675</v>
      </c>
      <c r="F6" s="3709"/>
      <c r="G6" s="3701" t="s">
        <v>1675</v>
      </c>
      <c r="H6" s="3702"/>
      <c r="I6" s="3701" t="s">
        <v>1675</v>
      </c>
      <c r="J6" s="3702"/>
      <c r="K6" s="559" t="s">
        <v>1676</v>
      </c>
      <c r="L6" s="2714"/>
      <c r="M6" s="2715"/>
      <c r="N6" s="2715"/>
      <c r="O6" s="2715"/>
      <c r="P6" s="3692"/>
      <c r="Q6" s="3693"/>
      <c r="R6" s="3696"/>
      <c r="S6" s="3697"/>
      <c r="T6" s="3698"/>
      <c r="U6" s="3699"/>
      <c r="V6" s="3700"/>
      <c r="W6" s="3700"/>
      <c r="X6" s="1355"/>
      <c r="Y6" s="3698"/>
      <c r="Z6" s="3699"/>
      <c r="AA6" s="3683"/>
      <c r="AB6" s="3683"/>
      <c r="AC6" s="3683"/>
    </row>
    <row r="7" spans="1:30" s="108" customFormat="1" ht="15" thickBot="1">
      <c r="A7" s="362" t="s">
        <v>1677</v>
      </c>
      <c r="B7" s="363"/>
      <c r="C7" s="364">
        <f>'数据-取费表'!B2</f>
        <v>45224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05" t="s">
        <v>1678</v>
      </c>
      <c r="Q7" s="3707"/>
      <c r="R7" s="701" t="s">
        <v>14</v>
      </c>
      <c r="S7" s="702">
        <f t="shared" ref="S7:S15" si="0">F7</f>
        <v>0</v>
      </c>
      <c r="T7" s="701" t="s">
        <v>14</v>
      </c>
      <c r="U7" s="702">
        <f t="shared" ref="U7:U15" si="1">H7</f>
        <v>0</v>
      </c>
      <c r="V7" s="701" t="s">
        <v>14</v>
      </c>
      <c r="W7" s="702">
        <f t="shared" ref="W7:W15" si="2">J7</f>
        <v>0</v>
      </c>
      <c r="X7" s="703"/>
      <c r="Y7" s="3705" t="s">
        <v>1678</v>
      </c>
      <c r="Z7" s="3706"/>
      <c r="AA7" s="704" t="e">
        <f>D7/F7</f>
        <v>#DIV/0!</v>
      </c>
      <c r="AB7" s="704" t="e">
        <f>D7/H7</f>
        <v>#DIV/0!</v>
      </c>
      <c r="AC7" s="704" t="e">
        <f>D7/J7</f>
        <v>#DIV/0!</v>
      </c>
    </row>
    <row r="8" spans="1:30" s="108" customFormat="1" ht="1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5" t="s">
        <v>1681</v>
      </c>
      <c r="Q8" s="3706"/>
      <c r="R8" s="701" t="s">
        <v>14</v>
      </c>
      <c r="S8" s="702">
        <f t="shared" si="0"/>
        <v>0</v>
      </c>
      <c r="T8" s="701" t="s">
        <v>14</v>
      </c>
      <c r="U8" s="702">
        <f t="shared" si="1"/>
        <v>0</v>
      </c>
      <c r="V8" s="701" t="s">
        <v>14</v>
      </c>
      <c r="W8" s="702">
        <f t="shared" si="2"/>
        <v>0</v>
      </c>
      <c r="X8" s="703"/>
      <c r="Y8" s="3705" t="s">
        <v>1681</v>
      </c>
      <c r="Z8" s="3706"/>
      <c r="AA8" s="704" t="e">
        <f t="shared" ref="AA8:AA45" si="3">D8/F8</f>
        <v>#DIV/0!</v>
      </c>
      <c r="AB8" s="704" t="e">
        <f t="shared" ref="AB8:AB45" si="4">D8/H8</f>
        <v>#DIV/0!</v>
      </c>
      <c r="AC8" s="704" t="e">
        <f t="shared" ref="AC8:AC45" si="5">D8/J8</f>
        <v>#DIV/0!</v>
      </c>
    </row>
    <row r="9" spans="1:30" s="108" customFormat="1" ht="14.4">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69" t="s">
        <v>1684</v>
      </c>
      <c r="Q9" s="1343" t="str">
        <f t="shared" ref="Q9:Q15" si="6">B9</f>
        <v>用途</v>
      </c>
      <c r="R9" s="701" t="s">
        <v>14</v>
      </c>
      <c r="S9" s="702">
        <f t="shared" si="0"/>
        <v>100</v>
      </c>
      <c r="T9" s="701" t="s">
        <v>14</v>
      </c>
      <c r="U9" s="702">
        <f t="shared" si="1"/>
        <v>100</v>
      </c>
      <c r="V9" s="701" t="s">
        <v>14</v>
      </c>
      <c r="W9" s="702">
        <f t="shared" si="2"/>
        <v>100</v>
      </c>
      <c r="X9" s="703"/>
      <c r="Y9" s="3544" t="s">
        <v>1685</v>
      </c>
      <c r="Z9" s="52" t="str">
        <f t="shared" ref="Z9:Z15" si="7">Q9</f>
        <v>用途</v>
      </c>
      <c r="AA9" s="704">
        <f t="shared" si="3"/>
        <v>1</v>
      </c>
      <c r="AB9" s="704">
        <f t="shared" si="4"/>
        <v>1</v>
      </c>
      <c r="AC9" s="704">
        <f t="shared" si="5"/>
        <v>1</v>
      </c>
    </row>
    <row r="10" spans="1:30" s="378" customFormat="1" ht="28.8">
      <c r="A10" s="374"/>
      <c r="B10" s="375" t="s">
        <v>1686</v>
      </c>
      <c r="C10" s="383"/>
      <c r="D10" s="127">
        <v>100</v>
      </c>
      <c r="E10" s="416"/>
      <c r="F10" s="127">
        <f>ROUND(100/'数据-取费表'!G16,0)</f>
        <v>121</v>
      </c>
      <c r="G10" s="414"/>
      <c r="H10" s="127">
        <f>ROUND(100/'数据-取费表'!G16,0)</f>
        <v>121</v>
      </c>
      <c r="I10" s="414"/>
      <c r="J10" s="127">
        <f>ROUND(100/'数据-取费表'!G16,0)</f>
        <v>121</v>
      </c>
      <c r="K10" s="620"/>
      <c r="L10" s="2718"/>
      <c r="M10" s="2719"/>
      <c r="N10" s="2719"/>
      <c r="O10" s="2772"/>
      <c r="P10" s="3669"/>
      <c r="Q10" s="1343" t="str">
        <f t="shared" si="6"/>
        <v>土地使用年限（年）</v>
      </c>
      <c r="R10" s="701" t="s">
        <v>14</v>
      </c>
      <c r="S10" s="702">
        <f t="shared" si="0"/>
        <v>121</v>
      </c>
      <c r="T10" s="701" t="s">
        <v>14</v>
      </c>
      <c r="U10" s="702">
        <f t="shared" si="1"/>
        <v>121</v>
      </c>
      <c r="V10" s="701" t="s">
        <v>14</v>
      </c>
      <c r="W10" s="702">
        <f t="shared" si="2"/>
        <v>121</v>
      </c>
      <c r="X10" s="703"/>
      <c r="Y10" s="3544"/>
      <c r="Z10" s="52" t="str">
        <f t="shared" si="7"/>
        <v>土地使用年限（年）</v>
      </c>
      <c r="AA10" s="704">
        <f t="shared" si="3"/>
        <v>0.82644628099173556</v>
      </c>
      <c r="AB10" s="704">
        <f t="shared" si="4"/>
        <v>0.82644628099173556</v>
      </c>
      <c r="AC10" s="704">
        <f t="shared" si="5"/>
        <v>0.82644628099173556</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9"/>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9"/>
      <c r="Q12" s="1343" t="str">
        <f t="shared" si="6"/>
        <v>配建</v>
      </c>
      <c r="R12" s="701" t="s">
        <v>14</v>
      </c>
      <c r="S12" s="702">
        <f t="shared" si="0"/>
        <v>100</v>
      </c>
      <c r="T12" s="701" t="s">
        <v>14</v>
      </c>
      <c r="U12" s="702">
        <f t="shared" si="1"/>
        <v>100</v>
      </c>
      <c r="V12" s="701" t="s">
        <v>14</v>
      </c>
      <c r="W12" s="702">
        <f t="shared" si="2"/>
        <v>100</v>
      </c>
      <c r="X12" s="703"/>
      <c r="Y12" s="35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D14/F14</f>
        <v>1</v>
      </c>
      <c r="AB14" s="704">
        <f>D14/H14</f>
        <v>1</v>
      </c>
      <c r="AC14" s="704">
        <f>D14/J14</f>
        <v>1</v>
      </c>
    </row>
    <row r="15" spans="1:30" ht="96.6">
      <c r="A15" s="391" t="s">
        <v>1688</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1" t="s">
        <v>1689</v>
      </c>
      <c r="Q15" s="1352" t="str">
        <f t="shared" si="6"/>
        <v>居住社区成熟度</v>
      </c>
      <c r="R15" s="705" t="s">
        <v>14</v>
      </c>
      <c r="S15" s="706">
        <f t="shared" si="0"/>
        <v>100</v>
      </c>
      <c r="T15" s="705" t="s">
        <v>14</v>
      </c>
      <c r="U15" s="706">
        <f t="shared" si="1"/>
        <v>100</v>
      </c>
      <c r="V15" s="705" t="s">
        <v>14</v>
      </c>
      <c r="W15" s="706">
        <f t="shared" si="2"/>
        <v>100</v>
      </c>
      <c r="X15" s="1355"/>
      <c r="Y15" s="3671"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72"/>
      <c r="Q16" s="1352"/>
      <c r="R16" s="705"/>
      <c r="S16" s="706"/>
      <c r="T16" s="705"/>
      <c r="U16" s="706"/>
      <c r="V16" s="705"/>
      <c r="W16" s="706"/>
      <c r="X16" s="1355"/>
      <c r="Y16" s="3672"/>
      <c r="Z16" s="1356"/>
      <c r="AA16" s="1353">
        <v>1</v>
      </c>
      <c r="AB16" s="1353">
        <v>1</v>
      </c>
      <c r="AC16" s="1353">
        <v>1</v>
      </c>
    </row>
    <row r="17" spans="1:29" ht="82.8">
      <c r="A17" s="379"/>
      <c r="B17" s="402" t="s">
        <v>1775</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72"/>
      <c r="Q17" s="1352" t="str">
        <f>B17</f>
        <v>商业繁华度</v>
      </c>
      <c r="R17" s="705" t="s">
        <v>14</v>
      </c>
      <c r="S17" s="706">
        <f>F17</f>
        <v>100</v>
      </c>
      <c r="T17" s="705" t="s">
        <v>14</v>
      </c>
      <c r="U17" s="706">
        <f>H17</f>
        <v>100</v>
      </c>
      <c r="V17" s="705" t="s">
        <v>14</v>
      </c>
      <c r="W17" s="706">
        <f>J17</f>
        <v>100</v>
      </c>
      <c r="X17" s="1355"/>
      <c r="Y17" s="367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72"/>
      <c r="Q18" s="1352"/>
      <c r="R18" s="705"/>
      <c r="S18" s="706"/>
      <c r="T18" s="705"/>
      <c r="U18" s="706"/>
      <c r="V18" s="705"/>
      <c r="W18" s="706"/>
      <c r="X18" s="1355"/>
      <c r="Y18" s="3672"/>
      <c r="Z18" s="1356"/>
      <c r="AA18" s="1353">
        <v>1</v>
      </c>
      <c r="AB18" s="1353">
        <v>1</v>
      </c>
      <c r="AC18" s="1353">
        <v>1</v>
      </c>
    </row>
    <row r="19" spans="1:29" ht="82.8">
      <c r="A19" s="379"/>
      <c r="B19" s="402" t="s">
        <v>1809</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72"/>
      <c r="Q19" s="1352" t="str">
        <f>B19</f>
        <v>办公集聚程度</v>
      </c>
      <c r="R19" s="705" t="s">
        <v>14</v>
      </c>
      <c r="S19" s="706">
        <f>F19</f>
        <v>100</v>
      </c>
      <c r="T19" s="705" t="s">
        <v>14</v>
      </c>
      <c r="U19" s="706">
        <f>H19</f>
        <v>100</v>
      </c>
      <c r="V19" s="705" t="s">
        <v>14</v>
      </c>
      <c r="W19" s="706">
        <f>J19</f>
        <v>100</v>
      </c>
      <c r="X19" s="1355"/>
      <c r="Y19" s="367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72"/>
      <c r="Q20" s="1352"/>
      <c r="R20" s="705"/>
      <c r="S20" s="706"/>
      <c r="T20" s="705"/>
      <c r="U20" s="706"/>
      <c r="V20" s="705"/>
      <c r="W20" s="706"/>
      <c r="X20" s="1355"/>
      <c r="Y20" s="3672"/>
      <c r="Z20" s="1356"/>
      <c r="AA20" s="1353">
        <v>1</v>
      </c>
      <c r="AB20" s="1353">
        <v>1</v>
      </c>
      <c r="AC20" s="1353">
        <v>1</v>
      </c>
    </row>
    <row r="21" spans="1:29" ht="96.6">
      <c r="A21" s="379"/>
      <c r="B21" s="402" t="s">
        <v>1831</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72"/>
      <c r="Q21" s="1352" t="str">
        <f>B21</f>
        <v>交通便捷度</v>
      </c>
      <c r="R21" s="705" t="s">
        <v>14</v>
      </c>
      <c r="S21" s="706">
        <f>F21</f>
        <v>100</v>
      </c>
      <c r="T21" s="705" t="s">
        <v>14</v>
      </c>
      <c r="U21" s="706">
        <f>H21</f>
        <v>100</v>
      </c>
      <c r="V21" s="705" t="s">
        <v>14</v>
      </c>
      <c r="W21" s="706">
        <f>J21</f>
        <v>100</v>
      </c>
      <c r="X21" s="1355"/>
      <c r="Y21" s="367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72"/>
      <c r="Q22" s="1352"/>
      <c r="R22" s="705"/>
      <c r="S22" s="706"/>
      <c r="T22" s="705"/>
      <c r="U22" s="706"/>
      <c r="V22" s="705"/>
      <c r="W22" s="706"/>
      <c r="X22" s="1355"/>
      <c r="Y22" s="3672"/>
      <c r="Z22" s="1356"/>
      <c r="AA22" s="1353">
        <v>1</v>
      </c>
      <c r="AB22" s="1353">
        <v>1</v>
      </c>
      <c r="AC22" s="1353">
        <v>1</v>
      </c>
    </row>
    <row r="23" spans="1:29" ht="28.8">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72"/>
      <c r="Q23" s="1352" t="str">
        <f t="shared" ref="Q23:Q37" si="8">B23</f>
        <v>区域土地利用方向</v>
      </c>
      <c r="R23" s="705" t="s">
        <v>14</v>
      </c>
      <c r="S23" s="706">
        <f>F23</f>
        <v>100</v>
      </c>
      <c r="T23" s="705" t="s">
        <v>14</v>
      </c>
      <c r="U23" s="706">
        <f>H23</f>
        <v>100</v>
      </c>
      <c r="V23" s="705" t="s">
        <v>14</v>
      </c>
      <c r="W23" s="706">
        <f>J23</f>
        <v>100</v>
      </c>
      <c r="X23" s="1355"/>
      <c r="Y23" s="367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72"/>
      <c r="Q24" s="1352"/>
      <c r="R24" s="705"/>
      <c r="S24" s="706"/>
      <c r="T24" s="705"/>
      <c r="U24" s="706"/>
      <c r="V24" s="705"/>
      <c r="W24" s="706"/>
      <c r="X24" s="1355"/>
      <c r="Y24" s="3672"/>
      <c r="Z24" s="1356"/>
      <c r="AA24" s="1353"/>
      <c r="AB24" s="1353"/>
      <c r="AC24" s="1353"/>
    </row>
    <row r="25" spans="1:29" ht="55.2">
      <c r="A25" s="358"/>
      <c r="B25" s="1131" t="s">
        <v>1870</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72"/>
      <c r="Q25" s="1352" t="str">
        <f t="shared" si="8"/>
        <v>自然及人文环境状况</v>
      </c>
      <c r="R25" s="705" t="s">
        <v>14</v>
      </c>
      <c r="S25" s="706">
        <f>F25</f>
        <v>100</v>
      </c>
      <c r="T25" s="705" t="s">
        <v>14</v>
      </c>
      <c r="U25" s="706">
        <f>H25</f>
        <v>100</v>
      </c>
      <c r="V25" s="705" t="s">
        <v>14</v>
      </c>
      <c r="W25" s="706">
        <f>J25</f>
        <v>100</v>
      </c>
      <c r="X25" s="1355"/>
      <c r="Y25" s="367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72"/>
      <c r="Q26" s="1352"/>
      <c r="R26" s="705"/>
      <c r="S26" s="706"/>
      <c r="T26" s="705"/>
      <c r="U26" s="706"/>
      <c r="V26" s="705"/>
      <c r="W26" s="706"/>
      <c r="X26" s="1355"/>
      <c r="Y26" s="3672"/>
      <c r="Z26" s="1356"/>
      <c r="AA26" s="1353">
        <v>1</v>
      </c>
      <c r="AB26" s="1353">
        <v>1</v>
      </c>
      <c r="AC26" s="1353">
        <v>1</v>
      </c>
    </row>
    <row r="27" spans="1:29" s="108" customFormat="1" ht="41.4">
      <c r="A27" s="597"/>
      <c r="B27" s="1131" t="s">
        <v>1776</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72"/>
      <c r="Q27" s="1343" t="str">
        <f t="shared" si="8"/>
        <v>公共配套设施</v>
      </c>
      <c r="R27" s="701" t="s">
        <v>14</v>
      </c>
      <c r="S27" s="702">
        <f>F27</f>
        <v>100</v>
      </c>
      <c r="T27" s="701" t="s">
        <v>14</v>
      </c>
      <c r="U27" s="702">
        <f>H27</f>
        <v>100</v>
      </c>
      <c r="V27" s="701" t="s">
        <v>14</v>
      </c>
      <c r="W27" s="702">
        <f>J27</f>
        <v>100</v>
      </c>
      <c r="X27" s="703"/>
      <c r="Y27" s="367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72"/>
      <c r="Q28" s="1343"/>
      <c r="R28" s="701"/>
      <c r="S28" s="702"/>
      <c r="T28" s="701"/>
      <c r="U28" s="702"/>
      <c r="V28" s="701"/>
      <c r="W28" s="702"/>
      <c r="X28" s="703"/>
      <c r="Y28" s="3672"/>
      <c r="Z28" s="52"/>
      <c r="AA28" s="1353">
        <v>1</v>
      </c>
      <c r="AB28" s="1353">
        <v>1</v>
      </c>
      <c r="AC28" s="1353">
        <v>1</v>
      </c>
    </row>
    <row r="29" spans="1:29" s="108" customFormat="1" ht="41.4">
      <c r="A29" s="597"/>
      <c r="B29" s="1131" t="s">
        <v>1777</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72"/>
      <c r="Q29" s="1343" t="str">
        <f t="shared" ref="Q29" si="9">B29</f>
        <v>基础设施水平</v>
      </c>
      <c r="R29" s="701" t="s">
        <v>14</v>
      </c>
      <c r="S29" s="702">
        <f>F29</f>
        <v>100</v>
      </c>
      <c r="T29" s="701" t="s">
        <v>14</v>
      </c>
      <c r="U29" s="702">
        <f>H29</f>
        <v>100</v>
      </c>
      <c r="V29" s="701" t="s">
        <v>14</v>
      </c>
      <c r="W29" s="702">
        <f>J29</f>
        <v>100</v>
      </c>
      <c r="X29" s="703"/>
      <c r="Y29" s="367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72"/>
      <c r="Q30" s="1343"/>
      <c r="R30" s="701"/>
      <c r="S30" s="702"/>
      <c r="T30" s="701"/>
      <c r="U30" s="702"/>
      <c r="V30" s="701"/>
      <c r="W30" s="702"/>
      <c r="X30" s="703"/>
      <c r="Y30" s="3672"/>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7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2"/>
      <c r="Z31" s="1356" t="str">
        <f t="shared" ref="Z31:Z45" si="13">Q31</f>
        <v>临街状况</v>
      </c>
      <c r="AA31" s="1353">
        <f t="shared" si="3"/>
        <v>1</v>
      </c>
      <c r="AB31" s="1353">
        <f t="shared" si="4"/>
        <v>1</v>
      </c>
      <c r="AC31" s="1353">
        <f t="shared" si="5"/>
        <v>1</v>
      </c>
    </row>
    <row r="32" spans="1:29" ht="28.8">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72"/>
      <c r="Q32" s="1352" t="str">
        <f t="shared" si="8"/>
        <v>毗邻道路的类型与等级</v>
      </c>
      <c r="R32" s="705" t="s">
        <v>14</v>
      </c>
      <c r="S32" s="706">
        <f t="shared" si="10"/>
        <v>100</v>
      </c>
      <c r="T32" s="705" t="s">
        <v>14</v>
      </c>
      <c r="U32" s="706">
        <f t="shared" si="11"/>
        <v>100</v>
      </c>
      <c r="V32" s="705" t="s">
        <v>14</v>
      </c>
      <c r="W32" s="706">
        <f t="shared" si="12"/>
        <v>100</v>
      </c>
      <c r="X32" s="1355"/>
      <c r="Y32" s="367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72"/>
      <c r="Q33" s="1352"/>
      <c r="R33" s="705"/>
      <c r="S33" s="706"/>
      <c r="T33" s="705"/>
      <c r="U33" s="706"/>
      <c r="V33" s="705"/>
      <c r="W33" s="706"/>
      <c r="X33" s="1355"/>
      <c r="Y33" s="3672"/>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72"/>
      <c r="Q34" s="1352" t="str">
        <f t="shared" si="8"/>
        <v>土地级别</v>
      </c>
      <c r="R34" s="705" t="s">
        <v>14</v>
      </c>
      <c r="S34" s="706">
        <f t="shared" si="10"/>
        <v>100</v>
      </c>
      <c r="T34" s="705" t="s">
        <v>14</v>
      </c>
      <c r="U34" s="706">
        <f t="shared" si="11"/>
        <v>100</v>
      </c>
      <c r="V34" s="705" t="s">
        <v>14</v>
      </c>
      <c r="W34" s="706">
        <f t="shared" si="12"/>
        <v>100</v>
      </c>
      <c r="X34" s="1355"/>
      <c r="Y34" s="367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72"/>
      <c r="Q35" s="1352">
        <f t="shared" si="8"/>
        <v>111</v>
      </c>
      <c r="R35" s="705" t="s">
        <v>14</v>
      </c>
      <c r="S35" s="706">
        <f t="shared" si="10"/>
        <v>100</v>
      </c>
      <c r="T35" s="705" t="s">
        <v>14</v>
      </c>
      <c r="U35" s="706">
        <f t="shared" si="11"/>
        <v>100</v>
      </c>
      <c r="V35" s="705" t="s">
        <v>14</v>
      </c>
      <c r="W35" s="706">
        <f t="shared" si="12"/>
        <v>100</v>
      </c>
      <c r="X35" s="1355"/>
      <c r="Y35" s="367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7" t="s">
        <v>1694</v>
      </c>
      <c r="Q36" s="1352">
        <f t="shared" si="8"/>
        <v>111</v>
      </c>
      <c r="R36" s="705" t="s">
        <v>14</v>
      </c>
      <c r="S36" s="706">
        <f t="shared" si="10"/>
        <v>100</v>
      </c>
      <c r="T36" s="705" t="s">
        <v>14</v>
      </c>
      <c r="U36" s="706">
        <f t="shared" si="11"/>
        <v>100</v>
      </c>
      <c r="V36" s="705" t="s">
        <v>14</v>
      </c>
      <c r="W36" s="706">
        <f t="shared" si="12"/>
        <v>100</v>
      </c>
      <c r="X36" s="1355"/>
      <c r="Y36" s="3676" t="s">
        <v>1694</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6"/>
      <c r="Q37" s="1352">
        <f t="shared" si="8"/>
        <v>111</v>
      </c>
      <c r="R37" s="708" t="s">
        <v>14</v>
      </c>
      <c r="S37" s="709">
        <f t="shared" si="10"/>
        <v>100</v>
      </c>
      <c r="T37" s="708" t="s">
        <v>14</v>
      </c>
      <c r="U37" s="709">
        <f t="shared" si="11"/>
        <v>100</v>
      </c>
      <c r="V37" s="708" t="s">
        <v>14</v>
      </c>
      <c r="W37" s="709">
        <f t="shared" si="12"/>
        <v>100</v>
      </c>
      <c r="X37" s="710"/>
      <c r="Y37" s="3676"/>
      <c r="Z37" s="711">
        <f t="shared" si="13"/>
        <v>111</v>
      </c>
      <c r="AA37" s="1353">
        <f t="shared" si="3"/>
        <v>1</v>
      </c>
      <c r="AB37" s="1353">
        <f t="shared" si="4"/>
        <v>1</v>
      </c>
      <c r="AC37" s="1353">
        <f t="shared" si="5"/>
        <v>1</v>
      </c>
    </row>
    <row r="38" spans="1:29" ht="15.6">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6"/>
      <c r="Q38" s="1352" t="str">
        <f>B38</f>
        <v>宗地面积</v>
      </c>
      <c r="R38" s="705" t="s">
        <v>14</v>
      </c>
      <c r="S38" s="706" t="e">
        <f t="shared" si="10"/>
        <v>#N/A</v>
      </c>
      <c r="T38" s="705" t="s">
        <v>14</v>
      </c>
      <c r="U38" s="706" t="e">
        <f t="shared" si="11"/>
        <v>#N/A</v>
      </c>
      <c r="V38" s="705" t="s">
        <v>14</v>
      </c>
      <c r="W38" s="706" t="e">
        <f t="shared" si="12"/>
        <v>#N/A</v>
      </c>
      <c r="X38" s="1355"/>
      <c r="Y38" s="3676"/>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76"/>
      <c r="Q39" s="1352" t="str">
        <f t="shared" ref="Q39:Q45" si="14">B39</f>
        <v>宗地形状</v>
      </c>
      <c r="R39" s="705" t="s">
        <v>14</v>
      </c>
      <c r="S39" s="706">
        <f t="shared" si="10"/>
        <v>100</v>
      </c>
      <c r="T39" s="705" t="s">
        <v>14</v>
      </c>
      <c r="U39" s="706">
        <f t="shared" si="11"/>
        <v>100</v>
      </c>
      <c r="V39" s="705" t="s">
        <v>14</v>
      </c>
      <c r="W39" s="706">
        <f t="shared" si="12"/>
        <v>100</v>
      </c>
      <c r="X39" s="1355"/>
      <c r="Y39" s="3676"/>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76"/>
      <c r="Q40" s="1352" t="str">
        <f t="shared" si="14"/>
        <v>临街宽度及深度</v>
      </c>
      <c r="R40" s="705" t="s">
        <v>14</v>
      </c>
      <c r="S40" s="706">
        <f t="shared" si="10"/>
        <v>100</v>
      </c>
      <c r="T40" s="705" t="s">
        <v>14</v>
      </c>
      <c r="U40" s="706">
        <f t="shared" si="11"/>
        <v>100</v>
      </c>
      <c r="V40" s="705" t="s">
        <v>14</v>
      </c>
      <c r="W40" s="706">
        <f t="shared" si="12"/>
        <v>100</v>
      </c>
      <c r="X40" s="1355"/>
      <c r="Y40" s="3676"/>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76"/>
      <c r="Q41" s="1352" t="str">
        <f t="shared" si="14"/>
        <v>宗地开发程度</v>
      </c>
      <c r="R41" s="701" t="s">
        <v>14</v>
      </c>
      <c r="S41" s="702">
        <f t="shared" si="10"/>
        <v>100</v>
      </c>
      <c r="T41" s="701" t="s">
        <v>14</v>
      </c>
      <c r="U41" s="702">
        <f t="shared" si="11"/>
        <v>100</v>
      </c>
      <c r="V41" s="701" t="s">
        <v>14</v>
      </c>
      <c r="W41" s="702">
        <f t="shared" si="12"/>
        <v>100</v>
      </c>
      <c r="X41" s="703"/>
      <c r="Y41" s="3676"/>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76" t="s">
        <v>1694</v>
      </c>
      <c r="Q42" s="1352" t="str">
        <f t="shared" si="14"/>
        <v>工程地质条件</v>
      </c>
      <c r="R42" s="705" t="s">
        <v>14</v>
      </c>
      <c r="S42" s="706">
        <f t="shared" si="10"/>
        <v>100</v>
      </c>
      <c r="T42" s="705" t="s">
        <v>14</v>
      </c>
      <c r="U42" s="706">
        <f t="shared" si="11"/>
        <v>100</v>
      </c>
      <c r="V42" s="705" t="s">
        <v>14</v>
      </c>
      <c r="W42" s="706">
        <f t="shared" si="12"/>
        <v>100</v>
      </c>
      <c r="X42" s="1355"/>
      <c r="Y42" s="3676"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6"/>
      <c r="Q43" s="1352">
        <f t="shared" si="14"/>
        <v>111</v>
      </c>
      <c r="R43" s="705" t="s">
        <v>14</v>
      </c>
      <c r="S43" s="706">
        <f t="shared" si="10"/>
        <v>100</v>
      </c>
      <c r="T43" s="705" t="s">
        <v>14</v>
      </c>
      <c r="U43" s="706">
        <f t="shared" si="11"/>
        <v>100</v>
      </c>
      <c r="V43" s="705" t="s">
        <v>14</v>
      </c>
      <c r="W43" s="706">
        <f t="shared" si="12"/>
        <v>100</v>
      </c>
      <c r="X43" s="1355"/>
      <c r="Y43" s="367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6"/>
      <c r="Q44" s="1352">
        <f t="shared" si="14"/>
        <v>111</v>
      </c>
      <c r="R44" s="705" t="s">
        <v>14</v>
      </c>
      <c r="S44" s="706">
        <f t="shared" si="10"/>
        <v>100</v>
      </c>
      <c r="T44" s="705" t="s">
        <v>14</v>
      </c>
      <c r="U44" s="706">
        <f t="shared" si="11"/>
        <v>100</v>
      </c>
      <c r="V44" s="705" t="s">
        <v>14</v>
      </c>
      <c r="W44" s="706">
        <f t="shared" si="12"/>
        <v>100</v>
      </c>
      <c r="X44" s="1355"/>
      <c r="Y44" s="3676"/>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6"/>
      <c r="Q45" s="1352">
        <f t="shared" si="14"/>
        <v>111</v>
      </c>
      <c r="R45" s="708" t="s">
        <v>14</v>
      </c>
      <c r="S45" s="709">
        <f t="shared" si="10"/>
        <v>100</v>
      </c>
      <c r="T45" s="708" t="s">
        <v>14</v>
      </c>
      <c r="U45" s="709">
        <f t="shared" si="11"/>
        <v>100</v>
      </c>
      <c r="V45" s="708" t="s">
        <v>14</v>
      </c>
      <c r="W45" s="709">
        <f t="shared" si="12"/>
        <v>100</v>
      </c>
      <c r="X45" s="710"/>
      <c r="Y45" s="3676"/>
      <c r="Z45" s="711">
        <f t="shared" si="13"/>
        <v>111</v>
      </c>
      <c r="AA45" s="1353">
        <f t="shared" si="3"/>
        <v>1</v>
      </c>
      <c r="AB45" s="1353">
        <f t="shared" si="4"/>
        <v>1</v>
      </c>
      <c r="AC45" s="1353">
        <f t="shared" si="5"/>
        <v>1</v>
      </c>
    </row>
    <row r="46" spans="1:29" ht="14.4">
      <c r="A46" s="430" t="s">
        <v>1842</v>
      </c>
      <c r="B46" s="1982" t="s">
        <v>1877</v>
      </c>
      <c r="C46" s="630" t="s">
        <v>0</v>
      </c>
      <c r="D46" s="432"/>
      <c r="E46" s="433"/>
      <c r="F46" s="434"/>
      <c r="G46" s="435"/>
      <c r="H46" s="436"/>
      <c r="I46" s="433"/>
      <c r="J46" s="436"/>
      <c r="K46" s="714"/>
      <c r="L46" s="2723"/>
      <c r="M46" s="2724"/>
      <c r="N46" s="2715"/>
      <c r="O46" s="2724"/>
      <c r="P46" s="3669" t="str">
        <f>A46</f>
        <v>成交单价</v>
      </c>
      <c r="Q46" s="3669"/>
      <c r="R46" s="3700">
        <f>E46</f>
        <v>0</v>
      </c>
      <c r="S46" s="3700"/>
      <c r="T46" s="3700">
        <f>G46</f>
        <v>0</v>
      </c>
      <c r="U46" s="3700"/>
      <c r="V46" s="3700">
        <f>I46</f>
        <v>0</v>
      </c>
      <c r="W46" s="3700"/>
      <c r="X46" s="690"/>
      <c r="Y46" s="712"/>
      <c r="Z46" s="690"/>
      <c r="AA46" s="690"/>
      <c r="AB46" s="690"/>
      <c r="AC46" s="690"/>
    </row>
    <row r="47" spans="1:29" ht="15" thickBot="1">
      <c r="A47" s="437" t="s">
        <v>1791</v>
      </c>
      <c r="B47" s="631"/>
      <c r="C47" s="440" t="e">
        <f>R48</f>
        <v>#DIV/0!</v>
      </c>
      <c r="D47" s="2317" t="s">
        <v>2136</v>
      </c>
      <c r="E47" s="440" t="e">
        <f>R47</f>
        <v>#DIV/0!</v>
      </c>
      <c r="F47" s="2318"/>
      <c r="G47" s="439" t="e">
        <f>T47</f>
        <v>#DIV/0!</v>
      </c>
      <c r="H47" s="2318"/>
      <c r="I47" s="440" t="e">
        <f>V47</f>
        <v>#DIV/0!</v>
      </c>
      <c r="J47" s="2318"/>
      <c r="K47" s="2320">
        <f>F47+H47+J47</f>
        <v>0</v>
      </c>
      <c r="L47" s="2723"/>
      <c r="M47" s="2724"/>
      <c r="N47" s="2724"/>
      <c r="O47" s="2724"/>
      <c r="P47" s="3669" t="str">
        <f>A47</f>
        <v>比较价值（元/平方米）</v>
      </c>
      <c r="Q47" s="3669"/>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 thickBot="1">
      <c r="A48" s="441" t="s">
        <v>1878</v>
      </c>
      <c r="B48" s="442"/>
      <c r="C48" s="443" t="e">
        <f>R48</f>
        <v>#DIV/0!</v>
      </c>
      <c r="D48" s="443"/>
      <c r="E48" s="443"/>
      <c r="F48" s="443"/>
      <c r="G48" s="443"/>
      <c r="H48" s="443"/>
      <c r="I48" s="443"/>
      <c r="J48" s="443"/>
      <c r="K48" s="715"/>
      <c r="L48" s="2723"/>
      <c r="M48" s="2724"/>
      <c r="N48" s="2724"/>
      <c r="O48" s="2724"/>
      <c r="P48" s="3666" t="str">
        <f>A48</f>
        <v>估价对象XX用房的比较价值（楼面单价，元/平方米）</v>
      </c>
      <c r="Q48" s="3667"/>
      <c r="R48" s="3730" t="e">
        <f>ROUND(IF(D47="简单平均",AVERAGE(R47:W47),R47*F47+T47*H47+V47*J47),0)</f>
        <v>#DIV/0!</v>
      </c>
      <c r="S48" s="3730"/>
      <c r="T48" s="3730"/>
      <c r="U48" s="3730"/>
      <c r="V48" s="3730"/>
      <c r="W48" s="373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1879</v>
      </c>
      <c r="B55" s="633" t="s">
        <v>1880</v>
      </c>
      <c r="C55" s="1983" t="s">
        <v>1881</v>
      </c>
      <c r="D55" s="1984" t="s">
        <v>1882</v>
      </c>
      <c r="E55" s="634" t="s">
        <v>1883</v>
      </c>
      <c r="F55" s="890" t="s">
        <v>1884</v>
      </c>
      <c r="G55" s="3684" t="s">
        <v>1885</v>
      </c>
      <c r="H55" s="3731"/>
      <c r="I55" s="135" t="s">
        <v>1886</v>
      </c>
      <c r="J55" s="1985">
        <f>项目基本情况!F35</f>
        <v>0</v>
      </c>
      <c r="K55" s="1986" t="s">
        <v>1887</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1888</v>
      </c>
      <c r="B56" s="637" t="e">
        <f>C48</f>
        <v>#DIV/0!</v>
      </c>
      <c r="C56" s="638">
        <v>1</v>
      </c>
      <c r="D56" s="944">
        <v>1</v>
      </c>
      <c r="E56" s="638">
        <f>'数据-汇总表'!E8+'数据-汇总表'!E9</f>
        <v>9850.5600000000013</v>
      </c>
      <c r="F56" s="886" t="e">
        <f t="shared" ref="F56:F64" si="15">ROUND(B56*E56/10000,0)</f>
        <v>#DIV/0!</v>
      </c>
      <c r="G56" s="3680"/>
      <c r="H56" s="3669"/>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1889</v>
      </c>
      <c r="B57" s="218" t="e">
        <f>ROUND($C$48*C57*D57,0)</f>
        <v>#DIV/0!</v>
      </c>
      <c r="C57" s="171">
        <f t="shared" ref="C57:C64" si="16">IF($C$55="北京市系数",I57,J57)</f>
        <v>0</v>
      </c>
      <c r="D57" s="945">
        <v>0.25</v>
      </c>
      <c r="E57" s="642"/>
      <c r="F57" s="886" t="e">
        <f t="shared" si="15"/>
        <v>#DIV/0!</v>
      </c>
      <c r="G57" s="3005" t="s">
        <v>1890</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1891</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1892</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1901</v>
      </c>
      <c r="B65" s="644" t="s">
        <v>22</v>
      </c>
      <c r="C65" s="644" t="s">
        <v>23</v>
      </c>
      <c r="D65" s="644" t="s">
        <v>392</v>
      </c>
      <c r="E65" s="644">
        <f>IF(B46="楼面地价",SUM(E56:E64),'数据-汇总表'!D3)</f>
        <v>9850.5600000000013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4"/>
      <c r="Q67" s="2724"/>
      <c r="R67" s="2724"/>
      <c r="S67" s="2724"/>
      <c r="T67" s="2724"/>
      <c r="U67" s="2724"/>
      <c r="V67" s="2724"/>
      <c r="W67" s="2724"/>
      <c r="X67" s="2724"/>
      <c r="Y67" s="2724"/>
      <c r="Z67" s="2724"/>
      <c r="AA67" s="2724"/>
      <c r="AB67" s="2724"/>
      <c r="AC67" s="2724"/>
    </row>
    <row r="68" spans="1:29" ht="22.2" thickBot="1">
      <c r="A68" s="694" t="s">
        <v>1796</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9" t="s">
        <v>1902</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1714</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1679</v>
      </c>
      <c r="B72" s="459"/>
      <c r="C72" s="471" t="s">
        <v>1774</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1717</v>
      </c>
      <c r="B74" s="477" t="s">
        <v>1683</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1686</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1688</v>
      </c>
      <c r="B87" s="477" t="s">
        <v>1718</v>
      </c>
      <c r="C87" s="522" t="s">
        <v>1719</v>
      </c>
      <c r="D87" s="522" t="s">
        <v>1720</v>
      </c>
      <c r="E87" s="522" t="s">
        <v>1721</v>
      </c>
      <c r="F87" s="522" t="s">
        <v>1722</v>
      </c>
      <c r="G87" s="522" t="s">
        <v>1723</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1904</v>
      </c>
      <c r="C89" s="527" t="s">
        <v>1719</v>
      </c>
      <c r="D89" s="527" t="s">
        <v>1720</v>
      </c>
      <c r="E89" s="527" t="s">
        <v>1721</v>
      </c>
      <c r="F89" s="527" t="s">
        <v>1722</v>
      </c>
      <c r="G89" s="527" t="s">
        <v>1723</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1819</v>
      </c>
      <c r="C91" s="527" t="s">
        <v>1719</v>
      </c>
      <c r="D91" s="527" t="s">
        <v>1720</v>
      </c>
      <c r="E91" s="527" t="s">
        <v>1721</v>
      </c>
      <c r="F91" s="527" t="s">
        <v>1722</v>
      </c>
      <c r="G91" s="527" t="s">
        <v>1723</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1724</v>
      </c>
      <c r="C93" s="527" t="s">
        <v>1719</v>
      </c>
      <c r="D93" s="527" t="s">
        <v>1720</v>
      </c>
      <c r="E93" s="527" t="s">
        <v>1721</v>
      </c>
      <c r="F93" s="527" t="s">
        <v>1722</v>
      </c>
      <c r="G93" s="527" t="s">
        <v>1723</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1905</v>
      </c>
      <c r="C95" s="527" t="s">
        <v>1719</v>
      </c>
      <c r="D95" s="527" t="s">
        <v>1720</v>
      </c>
      <c r="E95" s="527" t="s">
        <v>1721</v>
      </c>
      <c r="F95" s="527" t="s">
        <v>1722</v>
      </c>
      <c r="G95" s="527" t="s">
        <v>1723</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1906</v>
      </c>
      <c r="C97" s="522" t="s">
        <v>1719</v>
      </c>
      <c r="D97" s="522" t="s">
        <v>1720</v>
      </c>
      <c r="E97" s="522" t="s">
        <v>1721</v>
      </c>
      <c r="F97" s="522" t="s">
        <v>1722</v>
      </c>
      <c r="G97" s="522" t="s">
        <v>1723</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1776</v>
      </c>
      <c r="C99" s="522" t="s">
        <v>1719</v>
      </c>
      <c r="D99" s="522" t="s">
        <v>1720</v>
      </c>
      <c r="E99" s="522" t="s">
        <v>1721</v>
      </c>
      <c r="F99" s="522" t="s">
        <v>1722</v>
      </c>
      <c r="G99" s="522" t="s">
        <v>1723</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1777</v>
      </c>
      <c r="C101" s="608" t="s">
        <v>1797</v>
      </c>
      <c r="D101" s="608" t="s">
        <v>1798</v>
      </c>
      <c r="E101" s="608" t="s">
        <v>1799</v>
      </c>
      <c r="F101" s="608" t="s">
        <v>1800</v>
      </c>
      <c r="G101" s="608" t="s">
        <v>1801</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1907</v>
      </c>
      <c r="D103" s="488" t="s">
        <v>1908</v>
      </c>
      <c r="E103" s="488" t="s">
        <v>1909</v>
      </c>
      <c r="F103" s="488" t="s">
        <v>1910</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1813</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1871</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1912</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1913</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1914</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1915</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63" sqref="N63"/>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1767</v>
      </c>
      <c r="B4" s="356"/>
      <c r="C4" s="3684" t="s">
        <v>1768</v>
      </c>
      <c r="D4" s="3685"/>
      <c r="E4" s="3686" t="s">
        <v>1769</v>
      </c>
      <c r="F4" s="3687"/>
      <c r="G4" s="3684" t="s">
        <v>1770</v>
      </c>
      <c r="H4" s="3685"/>
      <c r="I4" s="3684" t="s">
        <v>1771</v>
      </c>
      <c r="J4" s="3685"/>
      <c r="K4" s="559" t="s">
        <v>1772</v>
      </c>
      <c r="L4" s="2714"/>
      <c r="M4" s="2715"/>
      <c r="N4" s="2715"/>
      <c r="O4" s="2715"/>
      <c r="P4" s="3688" t="s">
        <v>1773</v>
      </c>
      <c r="Q4" s="3689"/>
      <c r="R4" s="3694" t="s">
        <v>1769</v>
      </c>
      <c r="S4" s="3695"/>
      <c r="T4" s="3694" t="s">
        <v>1770</v>
      </c>
      <c r="U4" s="3695"/>
      <c r="V4" s="3700" t="s">
        <v>1771</v>
      </c>
      <c r="W4" s="3700"/>
      <c r="X4" s="1355"/>
      <c r="Y4" s="3694" t="s">
        <v>1773</v>
      </c>
      <c r="Z4" s="3695"/>
      <c r="AA4" s="3681" t="s">
        <v>1769</v>
      </c>
      <c r="AB4" s="3682" t="s">
        <v>1770</v>
      </c>
      <c r="AC4" s="3681" t="s">
        <v>1771</v>
      </c>
    </row>
    <row r="5" spans="1:29">
      <c r="A5" s="358"/>
      <c r="B5" s="359"/>
      <c r="C5" s="3703" t="s">
        <v>1671</v>
      </c>
      <c r="D5" s="3704"/>
      <c r="E5" s="3710" t="s">
        <v>1672</v>
      </c>
      <c r="F5" s="3711"/>
      <c r="G5" s="3703" t="s">
        <v>1673</v>
      </c>
      <c r="H5" s="3704"/>
      <c r="I5" s="3703" t="s">
        <v>1674</v>
      </c>
      <c r="J5" s="3704"/>
      <c r="K5" s="559"/>
      <c r="L5" s="2714"/>
      <c r="M5" s="2715"/>
      <c r="N5" s="2715"/>
      <c r="O5" s="2715"/>
      <c r="P5" s="3690"/>
      <c r="Q5" s="3691"/>
      <c r="R5" s="3696"/>
      <c r="S5" s="3697"/>
      <c r="T5" s="3696"/>
      <c r="U5" s="3697"/>
      <c r="V5" s="3700"/>
      <c r="W5" s="3700"/>
      <c r="X5" s="1355"/>
      <c r="Y5" s="3696"/>
      <c r="Z5" s="3697"/>
      <c r="AA5" s="3682"/>
      <c r="AB5" s="3682"/>
      <c r="AC5" s="3682"/>
    </row>
    <row r="6" spans="1:29" ht="15" thickBot="1">
      <c r="A6" s="360"/>
      <c r="B6" s="361"/>
      <c r="C6" s="3732" t="s">
        <v>1917</v>
      </c>
      <c r="D6" s="3733"/>
      <c r="E6" s="3734" t="s">
        <v>1917</v>
      </c>
      <c r="F6" s="3735"/>
      <c r="G6" s="3732" t="s">
        <v>1917</v>
      </c>
      <c r="H6" s="3733"/>
      <c r="I6" s="3732" t="s">
        <v>1917</v>
      </c>
      <c r="J6" s="3733"/>
      <c r="K6" s="559" t="s">
        <v>1676</v>
      </c>
      <c r="L6" s="2714"/>
      <c r="M6" s="2715"/>
      <c r="N6" s="2715"/>
      <c r="O6" s="2715"/>
      <c r="P6" s="3692"/>
      <c r="Q6" s="3693"/>
      <c r="R6" s="3696"/>
      <c r="S6" s="3697"/>
      <c r="T6" s="3698"/>
      <c r="U6" s="3699"/>
      <c r="V6" s="3700"/>
      <c r="W6" s="3700"/>
      <c r="X6" s="1355"/>
      <c r="Y6" s="3698"/>
      <c r="Z6" s="3699"/>
      <c r="AA6" s="3683"/>
      <c r="AB6" s="3683"/>
      <c r="AC6" s="3683"/>
    </row>
    <row r="7" spans="1:29" s="108" customFormat="1" ht="15" thickBot="1">
      <c r="A7" s="362" t="s">
        <v>1677</v>
      </c>
      <c r="B7" s="363"/>
      <c r="C7" s="364">
        <f>'数据-取费表'!B2</f>
        <v>45224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05" t="s">
        <v>1678</v>
      </c>
      <c r="Q7" s="3707"/>
      <c r="R7" s="701" t="s">
        <v>14</v>
      </c>
      <c r="S7" s="702">
        <f t="shared" ref="S7:S15" si="0">F7</f>
        <v>0</v>
      </c>
      <c r="T7" s="701" t="s">
        <v>14</v>
      </c>
      <c r="U7" s="702">
        <f t="shared" ref="U7:U15" si="1">H7</f>
        <v>0</v>
      </c>
      <c r="V7" s="701" t="s">
        <v>14</v>
      </c>
      <c r="W7" s="702">
        <f t="shared" ref="W7:W15" si="2">J7</f>
        <v>0</v>
      </c>
      <c r="X7" s="703"/>
      <c r="Y7" s="3705" t="s">
        <v>1678</v>
      </c>
      <c r="Z7" s="3706"/>
      <c r="AA7" s="704" t="e">
        <f>D7/F7</f>
        <v>#DIV/0!</v>
      </c>
      <c r="AB7" s="704" t="e">
        <f>D7/H7</f>
        <v>#DIV/0!</v>
      </c>
      <c r="AC7" s="704" t="e">
        <f>D7/J7</f>
        <v>#DIV/0!</v>
      </c>
    </row>
    <row r="8" spans="1:29" s="108" customFormat="1" ht="1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5" t="s">
        <v>1681</v>
      </c>
      <c r="Q8" s="3706"/>
      <c r="R8" s="701" t="s">
        <v>14</v>
      </c>
      <c r="S8" s="702">
        <f t="shared" si="0"/>
        <v>0</v>
      </c>
      <c r="T8" s="701" t="s">
        <v>14</v>
      </c>
      <c r="U8" s="702">
        <f t="shared" si="1"/>
        <v>0</v>
      </c>
      <c r="V8" s="701" t="s">
        <v>14</v>
      </c>
      <c r="W8" s="702">
        <f t="shared" si="2"/>
        <v>0</v>
      </c>
      <c r="X8" s="703"/>
      <c r="Y8" s="3705" t="s">
        <v>1681</v>
      </c>
      <c r="Z8" s="3706"/>
      <c r="AA8" s="704" t="e">
        <f t="shared" ref="AA8:AA40" si="3">D8/F8</f>
        <v>#DIV/0!</v>
      </c>
      <c r="AB8" s="704" t="e">
        <f t="shared" ref="AB8:AB40" si="4">D8/H8</f>
        <v>#DIV/0!</v>
      </c>
      <c r="AC8" s="704" t="e">
        <f t="shared" ref="AC8:AC40" si="5">D8/J8</f>
        <v>#DIV/0!</v>
      </c>
    </row>
    <row r="9" spans="1:29" s="108" customFormat="1" ht="14.4">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69" t="s">
        <v>1684</v>
      </c>
      <c r="Q9" s="1343" t="str">
        <f t="shared" ref="Q9:Q15" si="6">B9</f>
        <v>用途</v>
      </c>
      <c r="R9" s="701" t="s">
        <v>14</v>
      </c>
      <c r="S9" s="702">
        <f t="shared" si="0"/>
        <v>100</v>
      </c>
      <c r="T9" s="701" t="s">
        <v>14</v>
      </c>
      <c r="U9" s="702">
        <f t="shared" si="1"/>
        <v>100</v>
      </c>
      <c r="V9" s="701" t="s">
        <v>14</v>
      </c>
      <c r="W9" s="702">
        <f t="shared" si="2"/>
        <v>100</v>
      </c>
      <c r="X9" s="703"/>
      <c r="Y9" s="3544" t="s">
        <v>1685</v>
      </c>
      <c r="Z9" s="52" t="str">
        <f t="shared" ref="Z9:Z15" si="7">Q9</f>
        <v>用途</v>
      </c>
      <c r="AA9" s="704">
        <f t="shared" si="3"/>
        <v>1</v>
      </c>
      <c r="AB9" s="704">
        <f t="shared" si="4"/>
        <v>1</v>
      </c>
      <c r="AC9" s="704">
        <f t="shared" si="5"/>
        <v>1</v>
      </c>
    </row>
    <row r="10" spans="1:29" s="378" customFormat="1" ht="28.8">
      <c r="A10" s="374"/>
      <c r="B10" s="375" t="s">
        <v>1686</v>
      </c>
      <c r="C10" s="383"/>
      <c r="D10" s="127">
        <v>100</v>
      </c>
      <c r="E10" s="383"/>
      <c r="F10" s="127">
        <f>ROUND(100/'数据-取费表'!G16,0)</f>
        <v>121</v>
      </c>
      <c r="G10" s="383"/>
      <c r="H10" s="127">
        <f>ROUND(100/'数据-取费表'!G16,0)</f>
        <v>121</v>
      </c>
      <c r="I10" s="383"/>
      <c r="J10" s="127">
        <f>ROUND(100/'数据-取费表'!G16,0)</f>
        <v>121</v>
      </c>
      <c r="K10" s="620"/>
      <c r="L10" s="2718"/>
      <c r="M10" s="2719"/>
      <c r="N10" s="2719"/>
      <c r="O10" s="2772"/>
      <c r="P10" s="3669"/>
      <c r="Q10" s="1343" t="str">
        <f t="shared" si="6"/>
        <v>土地使用年限（年）</v>
      </c>
      <c r="R10" s="701" t="s">
        <v>14</v>
      </c>
      <c r="S10" s="702">
        <f t="shared" si="0"/>
        <v>121</v>
      </c>
      <c r="T10" s="701" t="s">
        <v>14</v>
      </c>
      <c r="U10" s="702">
        <f t="shared" si="1"/>
        <v>121</v>
      </c>
      <c r="V10" s="701" t="s">
        <v>14</v>
      </c>
      <c r="W10" s="702">
        <f t="shared" si="2"/>
        <v>121</v>
      </c>
      <c r="X10" s="703"/>
      <c r="Y10" s="3544"/>
      <c r="Z10" s="52" t="str">
        <f t="shared" si="7"/>
        <v>土地使用年限（年）</v>
      </c>
      <c r="AA10" s="704">
        <f t="shared" si="3"/>
        <v>0.82644628099173556</v>
      </c>
      <c r="AB10" s="704">
        <f t="shared" si="4"/>
        <v>0.82644628099173556</v>
      </c>
      <c r="AC10" s="704">
        <f t="shared" si="5"/>
        <v>0.82644628099173556</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69"/>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69">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1" t="s">
        <v>1689</v>
      </c>
      <c r="Q15" s="1352" t="str">
        <f t="shared" si="6"/>
        <v>产业集聚程度</v>
      </c>
      <c r="R15" s="705" t="s">
        <v>14</v>
      </c>
      <c r="S15" s="706">
        <f t="shared" si="0"/>
        <v>100</v>
      </c>
      <c r="T15" s="705" t="s">
        <v>14</v>
      </c>
      <c r="U15" s="706">
        <f t="shared" si="1"/>
        <v>100</v>
      </c>
      <c r="V15" s="705" t="s">
        <v>14</v>
      </c>
      <c r="W15" s="706">
        <f t="shared" si="2"/>
        <v>100</v>
      </c>
      <c r="X15" s="1355"/>
      <c r="Y15" s="3671"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72"/>
      <c r="Q16" s="1352"/>
      <c r="R16" s="705"/>
      <c r="S16" s="706"/>
      <c r="T16" s="705"/>
      <c r="U16" s="706"/>
      <c r="V16" s="705"/>
      <c r="W16" s="706"/>
      <c r="X16" s="1355"/>
      <c r="Y16" s="3672"/>
      <c r="Z16" s="1356"/>
      <c r="AA16" s="1353">
        <v>1</v>
      </c>
      <c r="AB16" s="1353">
        <v>1</v>
      </c>
      <c r="AC16" s="1353">
        <v>1</v>
      </c>
    </row>
    <row r="17" spans="1:29" ht="96.6">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72"/>
      <c r="Q18" s="1352"/>
      <c r="R18" s="705"/>
      <c r="S18" s="706"/>
      <c r="T18" s="705"/>
      <c r="U18" s="706"/>
      <c r="V18" s="705"/>
      <c r="W18" s="706"/>
      <c r="X18" s="1355"/>
      <c r="Y18" s="3672"/>
      <c r="Z18" s="1356"/>
      <c r="AA18" s="1353">
        <v>1</v>
      </c>
      <c r="AB18" s="1353">
        <v>1</v>
      </c>
      <c r="AC18" s="1353">
        <v>1</v>
      </c>
    </row>
    <row r="19" spans="1:29" ht="28.8">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72"/>
      <c r="Q19" s="1352" t="str">
        <f t="shared" ref="Q19:Q33" si="8">B19</f>
        <v>区域土地利用方向</v>
      </c>
      <c r="R19" s="705" t="s">
        <v>14</v>
      </c>
      <c r="S19" s="706">
        <f>F19</f>
        <v>100</v>
      </c>
      <c r="T19" s="705" t="s">
        <v>14</v>
      </c>
      <c r="U19" s="706">
        <f>H19</f>
        <v>100</v>
      </c>
      <c r="V19" s="705" t="s">
        <v>14</v>
      </c>
      <c r="W19" s="706">
        <f>J19</f>
        <v>100</v>
      </c>
      <c r="X19" s="1355"/>
      <c r="Y19" s="367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72"/>
      <c r="Q20" s="1352"/>
      <c r="R20" s="705"/>
      <c r="S20" s="706"/>
      <c r="T20" s="705"/>
      <c r="U20" s="706"/>
      <c r="V20" s="705"/>
      <c r="W20" s="706"/>
      <c r="X20" s="1355"/>
      <c r="Y20" s="3672"/>
      <c r="Z20" s="1356"/>
      <c r="AA20" s="1353"/>
      <c r="AB20" s="1353"/>
      <c r="AC20" s="1353"/>
    </row>
    <row r="21" spans="1:29" ht="82.8">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72"/>
      <c r="Q21" s="1352" t="str">
        <f t="shared" si="8"/>
        <v>环境状况</v>
      </c>
      <c r="R21" s="705" t="s">
        <v>14</v>
      </c>
      <c r="S21" s="706">
        <f>F21</f>
        <v>100</v>
      </c>
      <c r="T21" s="705" t="s">
        <v>14</v>
      </c>
      <c r="U21" s="706">
        <f>H21</f>
        <v>100</v>
      </c>
      <c r="V21" s="705" t="s">
        <v>14</v>
      </c>
      <c r="W21" s="706">
        <f>J21</f>
        <v>100</v>
      </c>
      <c r="X21" s="1355"/>
      <c r="Y21" s="367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72"/>
      <c r="Q22" s="1352"/>
      <c r="R22" s="705"/>
      <c r="S22" s="706"/>
      <c r="T22" s="705"/>
      <c r="U22" s="706"/>
      <c r="V22" s="705"/>
      <c r="W22" s="706"/>
      <c r="X22" s="1355"/>
      <c r="Y22" s="3672"/>
      <c r="Z22" s="1356"/>
      <c r="AA22" s="1353">
        <v>1</v>
      </c>
      <c r="AB22" s="1353">
        <v>1</v>
      </c>
      <c r="AC22" s="1353">
        <v>1</v>
      </c>
    </row>
    <row r="23" spans="1:29" s="108" customFormat="1" ht="41.4">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72"/>
      <c r="Q23" s="1343" t="str">
        <f t="shared" si="8"/>
        <v>公共配套设施</v>
      </c>
      <c r="R23" s="701" t="s">
        <v>14</v>
      </c>
      <c r="S23" s="702">
        <f>F23</f>
        <v>100</v>
      </c>
      <c r="T23" s="701" t="s">
        <v>14</v>
      </c>
      <c r="U23" s="702">
        <f>H23</f>
        <v>100</v>
      </c>
      <c r="V23" s="701" t="s">
        <v>14</v>
      </c>
      <c r="W23" s="702">
        <f>J23</f>
        <v>100</v>
      </c>
      <c r="X23" s="703"/>
      <c r="Y23" s="367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72"/>
      <c r="Q24" s="1343"/>
      <c r="R24" s="701"/>
      <c r="S24" s="702"/>
      <c r="T24" s="701"/>
      <c r="U24" s="702"/>
      <c r="V24" s="701"/>
      <c r="W24" s="702"/>
      <c r="X24" s="703"/>
      <c r="Y24" s="3672"/>
      <c r="Z24" s="52"/>
      <c r="AA24" s="704">
        <v>1</v>
      </c>
      <c r="AB24" s="704">
        <v>1</v>
      </c>
      <c r="AC24" s="704">
        <v>1</v>
      </c>
    </row>
    <row r="25" spans="1:29" s="108" customFormat="1" ht="41.4">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72"/>
      <c r="Q25" s="1343" t="str">
        <f t="shared" ref="Q25" si="9">B25</f>
        <v>基础设施水平</v>
      </c>
      <c r="R25" s="701" t="s">
        <v>14</v>
      </c>
      <c r="S25" s="702">
        <f>F25</f>
        <v>100</v>
      </c>
      <c r="T25" s="701" t="s">
        <v>14</v>
      </c>
      <c r="U25" s="702">
        <f>H25</f>
        <v>100</v>
      </c>
      <c r="V25" s="701" t="s">
        <v>14</v>
      </c>
      <c r="W25" s="702">
        <f>J25</f>
        <v>100</v>
      </c>
      <c r="X25" s="703"/>
      <c r="Y25" s="367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72"/>
      <c r="Q26" s="1343"/>
      <c r="R26" s="701"/>
      <c r="S26" s="702"/>
      <c r="T26" s="701"/>
      <c r="U26" s="702"/>
      <c r="V26" s="701"/>
      <c r="W26" s="702"/>
      <c r="X26" s="703"/>
      <c r="Y26" s="3672"/>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7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2"/>
      <c r="Z27" s="1356" t="str">
        <f t="shared" ref="Z27:Z40" si="13">Q27</f>
        <v>临街状况</v>
      </c>
      <c r="AA27" s="1353">
        <f t="shared" si="3"/>
        <v>1</v>
      </c>
      <c r="AB27" s="1353">
        <f t="shared" si="4"/>
        <v>1</v>
      </c>
      <c r="AC27" s="1353">
        <f t="shared" si="5"/>
        <v>1</v>
      </c>
    </row>
    <row r="28" spans="1:29" ht="28.8">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72"/>
      <c r="Q28" s="1352" t="str">
        <f t="shared" si="8"/>
        <v>毗邻道路的类型与等级</v>
      </c>
      <c r="R28" s="705" t="s">
        <v>14</v>
      </c>
      <c r="S28" s="706">
        <f t="shared" si="10"/>
        <v>100</v>
      </c>
      <c r="T28" s="705" t="s">
        <v>14</v>
      </c>
      <c r="U28" s="706">
        <f t="shared" si="11"/>
        <v>100</v>
      </c>
      <c r="V28" s="705" t="s">
        <v>14</v>
      </c>
      <c r="W28" s="706">
        <f t="shared" si="12"/>
        <v>100</v>
      </c>
      <c r="X28" s="1355"/>
      <c r="Y28" s="367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72"/>
      <c r="Q29" s="1352"/>
      <c r="R29" s="705"/>
      <c r="S29" s="706"/>
      <c r="T29" s="705"/>
      <c r="U29" s="706"/>
      <c r="V29" s="705"/>
      <c r="W29" s="706"/>
      <c r="X29" s="1355"/>
      <c r="Y29" s="3672"/>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72"/>
      <c r="Q30" s="1352" t="str">
        <f t="shared" si="8"/>
        <v>土地级别</v>
      </c>
      <c r="R30" s="705" t="s">
        <v>14</v>
      </c>
      <c r="S30" s="706">
        <f t="shared" si="10"/>
        <v>100</v>
      </c>
      <c r="T30" s="705" t="s">
        <v>14</v>
      </c>
      <c r="U30" s="706">
        <f t="shared" si="11"/>
        <v>100</v>
      </c>
      <c r="V30" s="705" t="s">
        <v>14</v>
      </c>
      <c r="W30" s="706">
        <f t="shared" si="12"/>
        <v>100</v>
      </c>
      <c r="X30" s="1355"/>
      <c r="Y30" s="367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2"/>
      <c r="Q31" s="1352">
        <f t="shared" si="8"/>
        <v>111</v>
      </c>
      <c r="R31" s="705" t="s">
        <v>14</v>
      </c>
      <c r="S31" s="706">
        <f t="shared" si="10"/>
        <v>100</v>
      </c>
      <c r="T31" s="705" t="s">
        <v>14</v>
      </c>
      <c r="U31" s="706">
        <f t="shared" si="11"/>
        <v>100</v>
      </c>
      <c r="V31" s="705" t="s">
        <v>14</v>
      </c>
      <c r="W31" s="706">
        <f t="shared" si="12"/>
        <v>100</v>
      </c>
      <c r="X31" s="1355"/>
      <c r="Y31" s="367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7" t="s">
        <v>1694</v>
      </c>
      <c r="Q32" s="1352">
        <f t="shared" si="8"/>
        <v>111</v>
      </c>
      <c r="R32" s="705" t="s">
        <v>14</v>
      </c>
      <c r="S32" s="706">
        <f t="shared" si="10"/>
        <v>100</v>
      </c>
      <c r="T32" s="705" t="s">
        <v>14</v>
      </c>
      <c r="U32" s="706">
        <f t="shared" si="11"/>
        <v>100</v>
      </c>
      <c r="V32" s="705" t="s">
        <v>14</v>
      </c>
      <c r="W32" s="706">
        <f t="shared" si="12"/>
        <v>100</v>
      </c>
      <c r="X32" s="1355"/>
      <c r="Y32" s="3676" t="s">
        <v>1694</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6"/>
      <c r="Q33" s="1352">
        <f t="shared" si="8"/>
        <v>111</v>
      </c>
      <c r="R33" s="708" t="s">
        <v>14</v>
      </c>
      <c r="S33" s="709">
        <f t="shared" si="10"/>
        <v>100</v>
      </c>
      <c r="T33" s="708" t="s">
        <v>14</v>
      </c>
      <c r="U33" s="709">
        <f t="shared" si="11"/>
        <v>100</v>
      </c>
      <c r="V33" s="708" t="s">
        <v>14</v>
      </c>
      <c r="W33" s="709">
        <f t="shared" si="12"/>
        <v>100</v>
      </c>
      <c r="X33" s="710"/>
      <c r="Y33" s="3676"/>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6"/>
      <c r="Q34" s="1352" t="str">
        <f>B34</f>
        <v>宗地面积</v>
      </c>
      <c r="R34" s="705" t="s">
        <v>14</v>
      </c>
      <c r="S34" s="706" t="e">
        <f t="shared" si="10"/>
        <v>#N/A</v>
      </c>
      <c r="T34" s="705" t="s">
        <v>14</v>
      </c>
      <c r="U34" s="706" t="e">
        <f t="shared" si="11"/>
        <v>#N/A</v>
      </c>
      <c r="V34" s="705" t="s">
        <v>14</v>
      </c>
      <c r="W34" s="706" t="e">
        <f t="shared" si="12"/>
        <v>#N/A</v>
      </c>
      <c r="X34" s="1355"/>
      <c r="Y34" s="3676"/>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76"/>
      <c r="Q35" s="1352" t="str">
        <f t="shared" ref="Q35:Q40" si="14">B35</f>
        <v>宗地形状</v>
      </c>
      <c r="R35" s="705" t="s">
        <v>14</v>
      </c>
      <c r="S35" s="706">
        <f t="shared" si="10"/>
        <v>100</v>
      </c>
      <c r="T35" s="705" t="s">
        <v>14</v>
      </c>
      <c r="U35" s="706">
        <f t="shared" si="11"/>
        <v>100</v>
      </c>
      <c r="V35" s="705" t="s">
        <v>14</v>
      </c>
      <c r="W35" s="706">
        <f t="shared" si="12"/>
        <v>100</v>
      </c>
      <c r="X35" s="1355"/>
      <c r="Y35" s="3676"/>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76"/>
      <c r="Q36" s="1352" t="str">
        <f t="shared" si="14"/>
        <v>宗地开发程度</v>
      </c>
      <c r="R36" s="701" t="s">
        <v>14</v>
      </c>
      <c r="S36" s="702">
        <f t="shared" si="10"/>
        <v>100</v>
      </c>
      <c r="T36" s="701" t="s">
        <v>14</v>
      </c>
      <c r="U36" s="702">
        <f t="shared" si="11"/>
        <v>100</v>
      </c>
      <c r="V36" s="701" t="s">
        <v>14</v>
      </c>
      <c r="W36" s="702">
        <f t="shared" si="12"/>
        <v>100</v>
      </c>
      <c r="X36" s="703"/>
      <c r="Y36" s="3676"/>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76" t="s">
        <v>1694</v>
      </c>
      <c r="Q37" s="1352" t="str">
        <f t="shared" si="14"/>
        <v>工程地质条件</v>
      </c>
      <c r="R37" s="705" t="s">
        <v>14</v>
      </c>
      <c r="S37" s="706">
        <f t="shared" si="10"/>
        <v>100</v>
      </c>
      <c r="T37" s="705" t="s">
        <v>14</v>
      </c>
      <c r="U37" s="706">
        <f t="shared" si="11"/>
        <v>100</v>
      </c>
      <c r="V37" s="705" t="s">
        <v>14</v>
      </c>
      <c r="W37" s="706">
        <f t="shared" si="12"/>
        <v>100</v>
      </c>
      <c r="X37" s="1355"/>
      <c r="Y37" s="3676"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6"/>
      <c r="Q38" s="1352">
        <f t="shared" si="14"/>
        <v>111</v>
      </c>
      <c r="R38" s="705" t="s">
        <v>14</v>
      </c>
      <c r="S38" s="706">
        <f t="shared" si="10"/>
        <v>100</v>
      </c>
      <c r="T38" s="705" t="s">
        <v>14</v>
      </c>
      <c r="U38" s="706">
        <f t="shared" si="11"/>
        <v>100</v>
      </c>
      <c r="V38" s="705" t="s">
        <v>14</v>
      </c>
      <c r="W38" s="706">
        <f t="shared" si="12"/>
        <v>100</v>
      </c>
      <c r="X38" s="1355"/>
      <c r="Y38" s="367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6"/>
      <c r="Q39" s="1352">
        <f t="shared" si="14"/>
        <v>111</v>
      </c>
      <c r="R39" s="705" t="s">
        <v>14</v>
      </c>
      <c r="S39" s="706">
        <f t="shared" si="10"/>
        <v>100</v>
      </c>
      <c r="T39" s="705" t="s">
        <v>14</v>
      </c>
      <c r="U39" s="706">
        <f t="shared" si="11"/>
        <v>100</v>
      </c>
      <c r="V39" s="705" t="s">
        <v>14</v>
      </c>
      <c r="W39" s="706">
        <f t="shared" si="12"/>
        <v>100</v>
      </c>
      <c r="X39" s="1355"/>
      <c r="Y39" s="3676"/>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6"/>
      <c r="Q40" s="1352">
        <f t="shared" si="14"/>
        <v>111</v>
      </c>
      <c r="R40" s="708" t="s">
        <v>14</v>
      </c>
      <c r="S40" s="709">
        <f t="shared" si="10"/>
        <v>100</v>
      </c>
      <c r="T40" s="708" t="s">
        <v>14</v>
      </c>
      <c r="U40" s="709">
        <f t="shared" si="11"/>
        <v>100</v>
      </c>
      <c r="V40" s="708" t="s">
        <v>14</v>
      </c>
      <c r="W40" s="709">
        <f t="shared" si="12"/>
        <v>100</v>
      </c>
      <c r="X40" s="710"/>
      <c r="Y40" s="3676"/>
      <c r="Z40" s="711">
        <f t="shared" si="13"/>
        <v>111</v>
      </c>
      <c r="AA40" s="1353">
        <f t="shared" si="3"/>
        <v>1</v>
      </c>
      <c r="AB40" s="1353">
        <f t="shared" si="4"/>
        <v>1</v>
      </c>
      <c r="AC40" s="1353">
        <f t="shared" si="5"/>
        <v>1</v>
      </c>
    </row>
    <row r="41" spans="1:31" ht="14.4">
      <c r="A41" s="430" t="s">
        <v>1842</v>
      </c>
      <c r="B41" s="1982" t="s">
        <v>1920</v>
      </c>
      <c r="C41" s="630" t="s">
        <v>0</v>
      </c>
      <c r="D41" s="432"/>
      <c r="E41" s="433"/>
      <c r="F41" s="434"/>
      <c r="G41" s="435"/>
      <c r="H41" s="436"/>
      <c r="I41" s="433"/>
      <c r="J41" s="436"/>
      <c r="K41" s="714"/>
      <c r="L41" s="2723"/>
      <c r="M41" s="2715"/>
      <c r="N41" s="2715"/>
      <c r="O41" s="2724"/>
      <c r="P41" s="3669" t="str">
        <f>A41</f>
        <v>成交单价</v>
      </c>
      <c r="Q41" s="3669"/>
      <c r="R41" s="3700">
        <f>E41</f>
        <v>0</v>
      </c>
      <c r="S41" s="3700"/>
      <c r="T41" s="3700">
        <f>G41</f>
        <v>0</v>
      </c>
      <c r="U41" s="3700"/>
      <c r="V41" s="3700">
        <f>I41</f>
        <v>0</v>
      </c>
      <c r="W41" s="3700"/>
      <c r="X41" s="690"/>
      <c r="Y41" s="712"/>
      <c r="Z41" s="690"/>
      <c r="AA41" s="690"/>
      <c r="AB41" s="690"/>
      <c r="AC41" s="690"/>
    </row>
    <row r="42" spans="1:31" ht="15" thickBot="1">
      <c r="A42" s="437" t="s">
        <v>1791</v>
      </c>
      <c r="B42" s="631"/>
      <c r="C42" s="440" t="e">
        <f>R43</f>
        <v>#DIV/0!</v>
      </c>
      <c r="D42" s="2317" t="s">
        <v>2136</v>
      </c>
      <c r="E42" s="440" t="e">
        <f>R42</f>
        <v>#DIV/0!</v>
      </c>
      <c r="F42" s="2318"/>
      <c r="G42" s="439" t="e">
        <f>T42</f>
        <v>#DIV/0!</v>
      </c>
      <c r="H42" s="2318"/>
      <c r="I42" s="440" t="e">
        <f>V42</f>
        <v>#DIV/0!</v>
      </c>
      <c r="J42" s="2318"/>
      <c r="K42" s="2320">
        <f>F42+H42+J42</f>
        <v>0</v>
      </c>
      <c r="L42" s="2723"/>
      <c r="M42" s="2715"/>
      <c r="N42" s="2715"/>
      <c r="O42" s="2724"/>
      <c r="P42" s="3669" t="str">
        <f>A42</f>
        <v>比较价值（元/平方米）</v>
      </c>
      <c r="Q42" s="3669"/>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 thickBot="1">
      <c r="A43" s="441" t="s">
        <v>1792</v>
      </c>
      <c r="B43" s="442"/>
      <c r="C43" s="443" t="e">
        <f>R43</f>
        <v>#DIV/0!</v>
      </c>
      <c r="D43" s="443"/>
      <c r="E43" s="443"/>
      <c r="F43" s="443"/>
      <c r="G43" s="443"/>
      <c r="H43" s="443"/>
      <c r="I43" s="443"/>
      <c r="J43" s="443"/>
      <c r="K43" s="715"/>
      <c r="L43" s="2723"/>
      <c r="M43" s="2715"/>
      <c r="N43" s="2715"/>
      <c r="O43" s="2724"/>
      <c r="P43" s="3666" t="str">
        <f>A43</f>
        <v>估价对象XX用房的比较价值（楼面单价，元/平方米）</v>
      </c>
      <c r="Q43" s="3667"/>
      <c r="R43" s="3730" t="e">
        <f>ROUND(IF(D42="简单平均",AVERAGE(R42:W42),R42*F42+T42*H42+V42*J42),0)</f>
        <v>#DIV/0!</v>
      </c>
      <c r="S43" s="3730"/>
      <c r="T43" s="3730"/>
      <c r="U43" s="3730"/>
      <c r="V43" s="3730"/>
      <c r="W43" s="373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1879</v>
      </c>
      <c r="B50" s="633" t="s">
        <v>1880</v>
      </c>
      <c r="C50" s="1983" t="s">
        <v>1881</v>
      </c>
      <c r="D50" s="1984" t="s">
        <v>1882</v>
      </c>
      <c r="E50" s="634" t="s">
        <v>1883</v>
      </c>
      <c r="F50" s="635" t="s">
        <v>1884</v>
      </c>
      <c r="G50" s="3684" t="s">
        <v>1885</v>
      </c>
      <c r="H50" s="3731"/>
      <c r="I50" s="1356" t="s">
        <v>1921</v>
      </c>
      <c r="J50" s="1356">
        <f>项目基本情况!F35</f>
        <v>0</v>
      </c>
      <c r="K50" s="1986" t="s">
        <v>1887</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1888</v>
      </c>
      <c r="B51" s="637" t="e">
        <f>C43</f>
        <v>#DIV/0!</v>
      </c>
      <c r="C51" s="638">
        <v>1</v>
      </c>
      <c r="D51" s="944">
        <v>1</v>
      </c>
      <c r="E51" s="638">
        <f>'数据-汇总表'!E8+'数据-汇总表'!E9</f>
        <v>9850.5600000000013</v>
      </c>
      <c r="F51" s="639" t="e">
        <f t="shared" ref="F51:F60" si="15">ROUND(B51*E51/10000,0)</f>
        <v>#DIV/0!</v>
      </c>
      <c r="G51" s="3680"/>
      <c r="H51" s="3669"/>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1889</v>
      </c>
      <c r="B52" s="218" t="e">
        <f>ROUND($C$43*C52*D52,0)</f>
        <v>#DIV/0!</v>
      </c>
      <c r="C52" s="171">
        <f t="shared" ref="C52:C60" si="16">IF($C$50="北京市系数",I52,J52)</f>
        <v>0</v>
      </c>
      <c r="D52" s="945">
        <v>0.25</v>
      </c>
      <c r="E52" s="642"/>
      <c r="F52" s="639" t="e">
        <f t="shared" si="15"/>
        <v>#DIV/0!</v>
      </c>
      <c r="G52" s="3005" t="s">
        <v>1890</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1891</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1892</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1901</v>
      </c>
      <c r="B61" s="644" t="s">
        <v>22</v>
      </c>
      <c r="C61" s="644" t="s">
        <v>23</v>
      </c>
      <c r="D61" s="644" t="s">
        <v>392</v>
      </c>
      <c r="E61" s="644">
        <f>IF(B41="楼面地价",SUM(E51:E60),'数据-汇总表'!D3)</f>
        <v>23335</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4"/>
      <c r="Q63" s="2724"/>
      <c r="R63" s="2724"/>
      <c r="S63" s="2724"/>
      <c r="T63" s="2724"/>
      <c r="U63" s="2724"/>
      <c r="V63" s="2724"/>
      <c r="W63" s="2724"/>
      <c r="X63" s="2724"/>
      <c r="Y63" s="2724"/>
      <c r="Z63" s="2724"/>
      <c r="AA63" s="2724"/>
      <c r="AB63" s="2724"/>
      <c r="AC63" s="2724"/>
      <c r="AD63" s="2724"/>
      <c r="AE63" s="2724"/>
    </row>
    <row r="64" spans="1:31" ht="22.2" thickBot="1">
      <c r="A64" s="694" t="s">
        <v>1796</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9" t="s">
        <v>1902</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1714</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1679</v>
      </c>
      <c r="B68" s="459"/>
      <c r="C68" s="471" t="s">
        <v>1774</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1717</v>
      </c>
      <c r="B70" s="477" t="s">
        <v>1683</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1686</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1688</v>
      </c>
      <c r="B83" s="477" t="s">
        <v>1827</v>
      </c>
      <c r="C83" s="522" t="s">
        <v>1719</v>
      </c>
      <c r="D83" s="522" t="s">
        <v>1720</v>
      </c>
      <c r="E83" s="522" t="s">
        <v>1721</v>
      </c>
      <c r="F83" s="522" t="s">
        <v>1722</v>
      </c>
      <c r="G83" s="522" t="s">
        <v>1723</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1724</v>
      </c>
      <c r="C85" s="527" t="s">
        <v>1719</v>
      </c>
      <c r="D85" s="527" t="s">
        <v>1720</v>
      </c>
      <c r="E85" s="527" t="s">
        <v>1721</v>
      </c>
      <c r="F85" s="527" t="s">
        <v>1722</v>
      </c>
      <c r="G85" s="527" t="s">
        <v>1723</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1905</v>
      </c>
      <c r="C87" s="522" t="s">
        <v>1719</v>
      </c>
      <c r="D87" s="522" t="s">
        <v>1720</v>
      </c>
      <c r="E87" s="522" t="s">
        <v>1721</v>
      </c>
      <c r="F87" s="522" t="s">
        <v>1722</v>
      </c>
      <c r="G87" s="522" t="s">
        <v>1723</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1906</v>
      </c>
      <c r="C89" s="522" t="s">
        <v>1719</v>
      </c>
      <c r="D89" s="522" t="s">
        <v>1720</v>
      </c>
      <c r="E89" s="522" t="s">
        <v>1721</v>
      </c>
      <c r="F89" s="522" t="s">
        <v>1722</v>
      </c>
      <c r="G89" s="522" t="s">
        <v>1723</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1776</v>
      </c>
      <c r="C91" s="522" t="s">
        <v>1719</v>
      </c>
      <c r="D91" s="522" t="s">
        <v>1720</v>
      </c>
      <c r="E91" s="522" t="s">
        <v>1721</v>
      </c>
      <c r="F91" s="522" t="s">
        <v>1722</v>
      </c>
      <c r="G91" s="522" t="s">
        <v>1723</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1923</v>
      </c>
      <c r="C93" s="608" t="s">
        <v>1797</v>
      </c>
      <c r="D93" s="608" t="s">
        <v>1798</v>
      </c>
      <c r="E93" s="608" t="s">
        <v>1799</v>
      </c>
      <c r="F93" s="608" t="s">
        <v>1800</v>
      </c>
      <c r="G93" s="608" t="s">
        <v>1801</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1907</v>
      </c>
      <c r="D95" s="488" t="s">
        <v>1908</v>
      </c>
      <c r="E95" s="488" t="s">
        <v>1909</v>
      </c>
      <c r="F95" s="488" t="s">
        <v>1910</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1813</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1871</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1912</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1914</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1915</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63" sqref="N63"/>
      <selection pane="bottomLeft" activeCell="N63" sqref="N63"/>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39" t="s">
        <v>2082</v>
      </c>
      <c r="D1" s="3740"/>
      <c r="E1" s="3740"/>
      <c r="F1" s="3740"/>
      <c r="G1" s="3740"/>
      <c r="H1" s="3740"/>
      <c r="I1" s="3740"/>
      <c r="J1" s="3740"/>
      <c r="K1" s="3740"/>
      <c r="L1" s="3740"/>
      <c r="M1" s="3740"/>
      <c r="N1" s="3740"/>
      <c r="O1" s="3740"/>
      <c r="P1" s="3740"/>
      <c r="Q1" s="3740"/>
      <c r="R1" s="3740"/>
      <c r="S1" s="3741"/>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2"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6">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63" sqref="N6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2079</v>
      </c>
      <c r="B1" s="2147"/>
      <c r="C1" s="2147"/>
      <c r="D1" s="2147"/>
      <c r="E1" s="2147"/>
      <c r="F1" s="2792"/>
      <c r="G1" s="2792"/>
      <c r="H1" s="2792"/>
      <c r="I1" s="2792"/>
      <c r="J1" s="2792"/>
      <c r="K1" s="2792"/>
      <c r="L1" s="2792"/>
      <c r="M1" s="2792"/>
      <c r="N1" s="2792"/>
      <c r="O1" s="2792"/>
      <c r="P1" s="2792"/>
    </row>
    <row r="2" spans="1:16" ht="15.6">
      <c r="A2" s="2145" t="s">
        <v>2071</v>
      </c>
      <c r="B2" s="2601">
        <f ca="1">SUMIF(B6:B13,"&lt;&gt;#ref!",B6:B13)</f>
        <v>1969</v>
      </c>
      <c r="C2" s="2145" t="s">
        <v>2072</v>
      </c>
      <c r="D2" s="2145" t="s">
        <v>2073</v>
      </c>
      <c r="E2" s="2611">
        <f ca="1">SUMIF(E6:E13,"&lt;&gt;#ref!",E6:E13)</f>
        <v>23335</v>
      </c>
      <c r="F2" s="2792"/>
      <c r="G2" s="2792"/>
      <c r="H2" s="2792"/>
      <c r="I2" s="2792"/>
      <c r="J2" s="2792"/>
      <c r="K2" s="2792"/>
      <c r="L2" s="2792"/>
      <c r="M2" s="2792"/>
      <c r="N2" s="2792"/>
      <c r="O2" s="2792"/>
      <c r="P2" s="2792"/>
    </row>
    <row r="3" spans="1:16" ht="15.6">
      <c r="A3" s="2145" t="s">
        <v>2074</v>
      </c>
      <c r="B3" s="2601">
        <f ca="1">ROUND(B2*10000/E2,0)</f>
        <v>844</v>
      </c>
      <c r="C3" s="2145" t="s">
        <v>2080</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2075</v>
      </c>
      <c r="B5" s="2609" t="s">
        <v>2076</v>
      </c>
      <c r="C5" s="2146"/>
      <c r="D5" s="2792"/>
      <c r="E5" s="2610" t="s">
        <v>2077</v>
      </c>
      <c r="F5" s="2792"/>
      <c r="G5" s="2792"/>
      <c r="H5" s="2792"/>
      <c r="I5" s="2792"/>
      <c r="J5" s="2792"/>
      <c r="K5" s="2792"/>
      <c r="L5" s="2792"/>
      <c r="M5" s="2792"/>
      <c r="N5" s="2792"/>
      <c r="O5" s="2792"/>
      <c r="P5" s="2792"/>
    </row>
    <row r="6" spans="1:16" ht="15.6">
      <c r="A6" s="2608" t="s">
        <v>2078</v>
      </c>
      <c r="B6" s="2601">
        <f ca="1">SUMIF(INDIRECT("'"&amp;A6&amp;"'"&amp;"!A:A"),"总价",INDIRECT("'"&amp;A6&amp;"'"&amp;"!B:B"))</f>
        <v>1969</v>
      </c>
      <c r="C6" s="2145" t="s">
        <v>2072</v>
      </c>
      <c r="D6" s="2792"/>
      <c r="E6" s="2611">
        <f ca="1">SUMIF(INDIRECT("'"&amp;A6&amp;"'"&amp;"!C:C"),"建筑面积",INDIRECT("'"&amp;A6&amp;"'"&amp;"!D:D"))</f>
        <v>23335</v>
      </c>
      <c r="F6" s="2792"/>
      <c r="G6" s="2792"/>
      <c r="H6" s="2792"/>
      <c r="I6" s="2792"/>
      <c r="J6" s="2792"/>
      <c r="K6" s="2792"/>
      <c r="L6" s="2792"/>
      <c r="M6" s="2792"/>
      <c r="N6" s="2792"/>
      <c r="O6" s="2792"/>
      <c r="P6" s="2792"/>
    </row>
    <row r="7" spans="1:16" ht="15.6">
      <c r="A7" s="2608"/>
      <c r="B7" s="2601" t="e">
        <f ca="1">SUMIF(INDIRECT("'"&amp;A7&amp;"'"&amp;"!A:A"),"总价",INDIRECT("'"&amp;A7&amp;"'"&amp;"!B:B"))</f>
        <v>#REF!</v>
      </c>
      <c r="C7" s="2145" t="s">
        <v>2072</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5" t="s">
        <v>2072</v>
      </c>
      <c r="D8" s="2792"/>
      <c r="E8" s="2611" t="e">
        <f t="shared" ca="1" si="0"/>
        <v>#REF!</v>
      </c>
      <c r="F8" s="2792"/>
      <c r="G8" s="2792"/>
      <c r="H8" s="2792"/>
      <c r="I8" s="2792"/>
      <c r="J8" s="2792"/>
      <c r="K8" s="2792"/>
      <c r="L8" s="2792"/>
      <c r="M8" s="2792"/>
      <c r="N8" s="2792"/>
      <c r="O8" s="2792"/>
      <c r="P8" s="2792"/>
    </row>
    <row r="9" spans="1:16" ht="15.6">
      <c r="A9" s="2608"/>
      <c r="B9" s="2601" t="e">
        <f t="shared" ca="1" si="1"/>
        <v>#REF!</v>
      </c>
      <c r="C9" s="2145" t="s">
        <v>2072</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5" t="s">
        <v>2072</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5" t="s">
        <v>2072</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5" t="s">
        <v>2072</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5" t="s">
        <v>2072</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85" zoomScaleNormal="80" zoomScaleSheetLayoutView="85" workbookViewId="0">
      <selection activeCell="F30" sqref="F30"/>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1924</v>
      </c>
      <c r="B1" s="197"/>
      <c r="C1" s="201" t="s">
        <v>1925</v>
      </c>
      <c r="D1" s="342">
        <f>SUM(D33:D34,D37:D42)</f>
        <v>23335</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6">
      <c r="A2" s="201" t="s">
        <v>1932</v>
      </c>
      <c r="B2" s="204">
        <f>C30</f>
        <v>1969</v>
      </c>
      <c r="C2" s="1999" t="s">
        <v>1933</v>
      </c>
      <c r="D2" s="2000" t="s">
        <v>1934</v>
      </c>
      <c r="E2" s="3421" t="s">
        <v>3</v>
      </c>
      <c r="F2" s="2000" t="s">
        <v>1935</v>
      </c>
      <c r="G2" s="2001" t="str">
        <f>IF(E2="商业",项目基本情况!B37,IF(E2="办公",项目基本情况!C37,IF(E2="住宅",项目基本情况!D37,IF(E2="工业",项目基本情况!E37,项目基本情况!F37))))</f>
        <v>九级</v>
      </c>
      <c r="H2" s="2000" t="s">
        <v>1936</v>
      </c>
      <c r="I2" s="2001" t="str">
        <f>IF(E2="商业",项目基本情况!B38,IF(E2="办公",项目基本情况!C38,IF(E2="住宅",项目基本情况!D38,IF(E2="工业",项目基本情况!E38,项目基本情况!F38))))</f>
        <v>Ⅸ-通1</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1.5418000000000001</v>
      </c>
      <c r="T2" s="3360">
        <f t="shared" ref="T2:T16" si="0">ROUND($C$5*$C$22*$C$23*$C$24*S2*$C$28,0)</f>
        <v>1302</v>
      </c>
      <c r="U2" s="1213"/>
      <c r="V2" s="3360">
        <f>ROUND(T2*U2/10000,0)</f>
        <v>0</v>
      </c>
      <c r="W2" s="1216"/>
      <c r="X2" s="1216"/>
      <c r="Y2" s="1216"/>
      <c r="Z2" s="1216"/>
      <c r="AA2" s="1216"/>
      <c r="AB2" s="1216"/>
      <c r="AC2" s="1217"/>
      <c r="AD2" s="1218"/>
      <c r="AE2" s="1218"/>
      <c r="AF2" s="1218"/>
      <c r="AG2" s="1218"/>
      <c r="AH2" s="1218"/>
      <c r="AI2" s="1218"/>
      <c r="AJ2" s="1219"/>
    </row>
    <row r="3" spans="1:36" ht="15.6">
      <c r="A3" s="203" t="s">
        <v>1938</v>
      </c>
      <c r="B3" s="204">
        <f>ROUND(B2*10000/D1,0)</f>
        <v>844</v>
      </c>
      <c r="C3" s="1999" t="s">
        <v>1939</v>
      </c>
      <c r="D3" s="2000" t="s">
        <v>1940</v>
      </c>
      <c r="E3" s="3419" t="s">
        <v>2480</v>
      </c>
      <c r="F3" s="2004" t="s">
        <v>3407</v>
      </c>
      <c r="G3" s="752">
        <f>IF(F3="宗地容积率",'数据-汇总表'!I4,IF(F3="估价对象容积率",'数据-汇总表'!I6,'数据-汇总表'!I7))</f>
        <v>1</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1.1883999999999999</v>
      </c>
      <c r="T3" s="3360">
        <f t="shared" si="0"/>
        <v>1003</v>
      </c>
      <c r="U3" s="1213"/>
      <c r="V3" s="3360">
        <f t="shared" ref="V3:V16" si="1">ROUND(T3*U3/10000,0)</f>
        <v>0</v>
      </c>
      <c r="W3" s="1216"/>
      <c r="X3" s="1216"/>
      <c r="Y3" s="1216"/>
      <c r="Z3" s="1216"/>
      <c r="AA3" s="1216"/>
      <c r="AB3" s="1216"/>
      <c r="AC3" s="1217"/>
      <c r="AD3" s="1218"/>
      <c r="AE3" s="1218"/>
      <c r="AF3" s="1218"/>
      <c r="AG3" s="1218"/>
      <c r="AH3" s="1218"/>
      <c r="AI3" s="1218"/>
      <c r="AJ3" s="1219"/>
    </row>
    <row r="4" spans="1:36" ht="15.6">
      <c r="A4" s="3749"/>
      <c r="B4" s="3750"/>
      <c r="C4" s="3750"/>
      <c r="D4" s="3751"/>
      <c r="E4" s="3751"/>
      <c r="F4" s="3751"/>
      <c r="G4" s="3751"/>
      <c r="H4" s="3751"/>
      <c r="I4" s="3751"/>
      <c r="J4" s="3752"/>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0.96940000000000004</v>
      </c>
      <c r="T4" s="3360">
        <f t="shared" si="0"/>
        <v>818</v>
      </c>
      <c r="U4" s="1213"/>
      <c r="V4" s="3360">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1945</v>
      </c>
      <c r="C5" s="753">
        <f>ROUND(IF(E2="商业",C6*C7*C17+C20,(IF(E2="住宅",C6*C13*C17+C20,IF(E2="办公",C6*C12*C17+C20,C6+C20)))),0)</f>
        <v>930</v>
      </c>
      <c r="D5" s="1339">
        <f>ROUND(C6*C17+C20,0)</f>
        <v>930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0.82299999999999995</v>
      </c>
      <c r="T5" s="3360">
        <f t="shared" si="0"/>
        <v>695</v>
      </c>
      <c r="U5" s="1213"/>
      <c r="V5" s="3360">
        <f t="shared" si="1"/>
        <v>0</v>
      </c>
      <c r="W5" s="1216"/>
      <c r="X5" s="1216"/>
      <c r="Y5" s="1216"/>
      <c r="Z5" s="1216"/>
      <c r="AA5" s="1216"/>
      <c r="AB5" s="1216"/>
      <c r="AC5" s="2011"/>
      <c r="AD5" s="2012"/>
      <c r="AE5" s="2012"/>
      <c r="AF5" s="2012"/>
      <c r="AG5" s="2012"/>
      <c r="AH5" s="2012"/>
      <c r="AI5" s="2012"/>
      <c r="AJ5" s="2013"/>
    </row>
    <row r="6" spans="1:36" ht="15.6" thickBot="1">
      <c r="A6" s="2015" t="s">
        <v>1947</v>
      </c>
      <c r="B6" s="2016" t="s">
        <v>1948</v>
      </c>
      <c r="C6" s="754">
        <f>SUMIF(L1:L12,G2,M1:M12)</f>
        <v>930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0.74980000000000002</v>
      </c>
      <c r="T6" s="3360">
        <f t="shared" si="0"/>
        <v>633</v>
      </c>
      <c r="U6" s="1213"/>
      <c r="V6" s="3360">
        <f t="shared" si="1"/>
        <v>0</v>
      </c>
      <c r="W6" s="1216"/>
      <c r="X6" s="1216"/>
      <c r="Y6" s="1216"/>
      <c r="Z6" s="1216"/>
      <c r="AA6" s="1216"/>
      <c r="AB6" s="1216"/>
      <c r="AC6" s="2011"/>
      <c r="AD6" s="2012"/>
      <c r="AE6" s="2012"/>
      <c r="AF6" s="2012"/>
      <c r="AG6" s="2012"/>
      <c r="AH6" s="2012"/>
      <c r="AI6" s="2012"/>
      <c r="AJ6" s="2013"/>
    </row>
    <row r="7" spans="1:36" ht="24.6" thickBot="1">
      <c r="A7" s="3303" t="s">
        <v>3240</v>
      </c>
      <c r="B7" s="2021"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1953</v>
      </c>
      <c r="X7" s="1214" t="str">
        <f>G2</f>
        <v>九级</v>
      </c>
      <c r="Y7" s="1214" t="s">
        <v>1954</v>
      </c>
      <c r="Z7" s="1215">
        <f>G3</f>
        <v>1</v>
      </c>
      <c r="AA7" s="1216"/>
      <c r="AB7" s="1216"/>
      <c r="AC7" s="1217"/>
      <c r="AD7" s="1218"/>
      <c r="AE7" s="1218"/>
      <c r="AF7" s="1218"/>
      <c r="AG7" s="1218"/>
      <c r="AH7" s="1218"/>
      <c r="AI7" s="1218"/>
      <c r="AJ7" s="1219"/>
    </row>
    <row r="8" spans="1:36" ht="26.4">
      <c r="A8" s="3298"/>
      <c r="B8" s="170" t="s">
        <v>1955</v>
      </c>
      <c r="C8" s="2026" t="s">
        <v>3403</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46" t="s">
        <v>1958</v>
      </c>
      <c r="X8" s="3747"/>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8"/>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930</v>
      </c>
      <c r="N9" s="866">
        <f>SUMPRODUCT((因素修正幅度!B277:B326=I2)*(因素修正幅度!C3:G3=E2)*(因素修正幅度!C277:G326))</f>
        <v>0.11</v>
      </c>
      <c r="O9" s="1119"/>
      <c r="P9" s="1119"/>
      <c r="Q9" s="1119"/>
      <c r="R9" s="1212">
        <v>8</v>
      </c>
      <c r="S9" s="1213"/>
      <c r="T9" s="3360">
        <f t="shared" si="0"/>
        <v>0</v>
      </c>
      <c r="U9" s="1213"/>
      <c r="V9" s="3360">
        <f t="shared" si="1"/>
        <v>0</v>
      </c>
      <c r="W9" s="3748"/>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4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8" thickBot="1">
      <c r="A12" s="3303" t="s">
        <v>3241</v>
      </c>
      <c r="B12" s="3304" t="s">
        <v>3242</v>
      </c>
      <c r="C12" s="3305"/>
      <c r="D12" s="3306" t="s">
        <v>3243</v>
      </c>
      <c r="E12" s="3307" t="s">
        <v>3244</v>
      </c>
      <c r="F12" s="3308"/>
      <c r="G12" s="3309"/>
      <c r="H12" s="3309"/>
      <c r="I12" s="3309"/>
      <c r="J12" s="3310"/>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24.6" thickBot="1">
      <c r="A13" s="3303" t="s">
        <v>3245</v>
      </c>
      <c r="B13" s="2034" t="s">
        <v>1980</v>
      </c>
      <c r="C13" s="755">
        <f>ROUND(C16*D16*E16*F16*G16*H16*I16*J16,4)</f>
        <v>0</v>
      </c>
      <c r="D13" s="2035" t="s">
        <v>1981</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24">
      <c r="A14" s="3297"/>
      <c r="B14" s="2040" t="s">
        <v>1983</v>
      </c>
      <c r="C14" s="2041" t="s">
        <v>1984</v>
      </c>
      <c r="D14" s="1350" t="s">
        <v>1985</v>
      </c>
      <c r="E14" s="27" t="s">
        <v>1986</v>
      </c>
      <c r="F14" s="3311" t="s">
        <v>3246</v>
      </c>
      <c r="G14" s="3311" t="s">
        <v>3246</v>
      </c>
      <c r="H14" s="3311" t="s">
        <v>3246</v>
      </c>
      <c r="I14" s="3311" t="s">
        <v>3246</v>
      </c>
      <c r="J14" s="3311" t="s">
        <v>3246</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3247</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6" thickBot="1">
      <c r="A16" s="3297"/>
      <c r="B16" s="3319" t="s">
        <v>1987</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ht="24">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2"/>
      <c r="B18" s="3009"/>
      <c r="C18" s="3327"/>
      <c r="D18" s="3322" t="s">
        <v>3251</v>
      </c>
      <c r="E18" s="3328"/>
      <c r="F18" s="3323" t="s">
        <v>3254</v>
      </c>
      <c r="G18" s="3327">
        <f>ROUND(1-(1/(POWER(1+G24,E18))),4)</f>
        <v>0</v>
      </c>
      <c r="H18" s="3323" t="s">
        <v>3256</v>
      </c>
      <c r="I18" s="3327">
        <f>ROUND(1-(1/(POWER(1+G24,J24))),4)</f>
        <v>0.91279999999999994</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4.4" thickBot="1">
      <c r="A19" s="3334"/>
      <c r="B19" s="3335"/>
      <c r="C19" s="3336"/>
      <c r="D19" s="3336" t="s">
        <v>3252</v>
      </c>
      <c r="E19" s="3337"/>
      <c r="F19" s="3338" t="s">
        <v>3255</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3.8">
      <c r="A20" s="3753" t="s">
        <v>3257</v>
      </c>
      <c r="B20" s="167" t="s">
        <v>1992</v>
      </c>
      <c r="C20" s="3324">
        <f>ROUND(IF(F21="与级别开发程度一致",0,(G21-E21)/C21),0)</f>
        <v>0</v>
      </c>
      <c r="D20" s="3340" t="s">
        <v>1996</v>
      </c>
      <c r="E20" s="3341"/>
      <c r="F20" s="3759" t="s">
        <v>1993</v>
      </c>
      <c r="G20" s="3760"/>
      <c r="H20" s="3325" t="s">
        <v>3387</v>
      </c>
      <c r="I20" s="3325" t="s">
        <v>3388</v>
      </c>
      <c r="J20" s="3326" t="s">
        <v>3389</v>
      </c>
      <c r="K20" s="2047" t="s">
        <v>3390</v>
      </c>
      <c r="L20" s="2047" t="s">
        <v>3391</v>
      </c>
      <c r="M20" s="2047" t="s">
        <v>3392</v>
      </c>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7" thickBot="1">
      <c r="A21" s="3754"/>
      <c r="B21" s="2164" t="s">
        <v>1995</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3406</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 thickBot="1">
      <c r="A22" s="2158" t="s">
        <v>363</v>
      </c>
      <c r="B22" s="2159" t="s">
        <v>1998</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1.0674999999999999</v>
      </c>
      <c r="D23" s="2054" t="s">
        <v>2000</v>
      </c>
      <c r="E23" s="761">
        <v>44197</v>
      </c>
      <c r="F23" s="2054" t="s">
        <v>2001</v>
      </c>
      <c r="G23" s="762">
        <f>'数据-取费表'!B2</f>
        <v>45224</v>
      </c>
      <c r="H23" s="3342" t="s">
        <v>3259</v>
      </c>
      <c r="I23" s="3343" t="str">
        <f>IF(H23="季度增幅（自定义）",SUMIF(N25:N28,E2,O25:O28),"")</f>
        <v/>
      </c>
      <c r="J23" s="3445" t="s">
        <v>3258</v>
      </c>
      <c r="K23" s="1125"/>
      <c r="L23" s="2055" t="s">
        <v>2002</v>
      </c>
      <c r="M23" s="1328">
        <f>ROUND(SUMIF(地价!B2:G2,E2,地价!B16:G16),0)</f>
        <v>318</v>
      </c>
      <c r="N23" s="2056" t="s">
        <v>2003</v>
      </c>
      <c r="O23" s="763">
        <f>ROUNDDOWN(DATEDIF(E23,G23,"M")/3,0)</f>
        <v>11</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2004</v>
      </c>
      <c r="C24" s="764">
        <f>ROUND(POWER(1+G24,J24-I24)*(POWER(1+G24,I24)-1)/(POWER(1+G24,J24)-1),4)</f>
        <v>0.82689999999999997</v>
      </c>
      <c r="D24" s="2060" t="s">
        <v>2005</v>
      </c>
      <c r="E24" s="1335">
        <f>存贷款利率!E24/100</f>
        <v>4.3499999999999997E-2</v>
      </c>
      <c r="F24" s="2060" t="s">
        <v>1997</v>
      </c>
      <c r="G24" s="768">
        <f>SUMIF(M30:Q30,E2,M33:Q33)</f>
        <v>0.05</v>
      </c>
      <c r="H24" s="2060" t="s">
        <v>2006</v>
      </c>
      <c r="I24" s="769">
        <f>SUMIF('数据-取费表'!C6:C15,E2,'数据-取费表'!F6:F15)/COUNTIF('数据-取费表'!C6:C15,E2)</f>
        <v>28.81</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5" t="s">
        <v>366</v>
      </c>
      <c r="B25" s="2066" t="s">
        <v>3338</v>
      </c>
      <c r="C25" s="771">
        <f>IF(B25="容积率修正",IF(G3&lt;10,D26,J26),C27)</f>
        <v>1</v>
      </c>
      <c r="D25" s="2067"/>
      <c r="E25" s="2067"/>
      <c r="F25" s="2067"/>
      <c r="G25" s="2067"/>
      <c r="H25" s="2067"/>
      <c r="I25" s="2067"/>
      <c r="J25" s="2068"/>
      <c r="K25" s="1125"/>
      <c r="L25" s="2787"/>
      <c r="M25" s="2787"/>
      <c r="N25" s="2069" t="s">
        <v>2011</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2012</v>
      </c>
      <c r="B26" s="2070" t="s">
        <v>2013</v>
      </c>
      <c r="C26" s="3344" t="s">
        <v>3260</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3261</v>
      </c>
      <c r="J26" s="772" t="str">
        <f>IF(G3&gt;=10,D115,"——")</f>
        <v>——</v>
      </c>
      <c r="K26" s="1125"/>
      <c r="L26" s="2787"/>
      <c r="M26" s="2787"/>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2018</v>
      </c>
      <c r="C28" s="760">
        <f>SUMIF(A47:A101,E2,B47:B101)</f>
        <v>1.0285</v>
      </c>
      <c r="D28" s="2052"/>
      <c r="E28" s="2077"/>
      <c r="F28" s="2077"/>
      <c r="G28" s="2077"/>
      <c r="H28" s="2077"/>
      <c r="I28" s="2077"/>
      <c r="J28" s="2078"/>
      <c r="K28" s="1125"/>
      <c r="L28" s="2787"/>
      <c r="M28" s="2787"/>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2020</v>
      </c>
      <c r="C29" s="765"/>
      <c r="D29" s="2024"/>
      <c r="E29" s="2024"/>
      <c r="F29" s="2081"/>
      <c r="G29" s="2024"/>
      <c r="H29" s="2024"/>
      <c r="I29" s="2024"/>
      <c r="J29" s="2025"/>
      <c r="K29" s="1119"/>
      <c r="L29" s="1997"/>
      <c r="M29" s="1997"/>
      <c r="N29" s="2784" t="s">
        <v>2021</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2022</v>
      </c>
      <c r="C30" s="2321">
        <f>IF(B25="容积率修正",E33+SUM(E37:E42),SUM(V2:V16)+SUM(E37:E42))</f>
        <v>1969</v>
      </c>
      <c r="D30" s="2083"/>
      <c r="E30" s="2046"/>
      <c r="F30" s="2084"/>
      <c r="G30" s="2046"/>
      <c r="H30" s="2046"/>
      <c r="I30" s="2046"/>
      <c r="J30" s="2085"/>
      <c r="K30" s="1119"/>
      <c r="L30" s="3350" t="s">
        <v>1934</v>
      </c>
      <c r="M30" s="3351" t="s">
        <v>1988</v>
      </c>
      <c r="N30" s="3351" t="s">
        <v>1989</v>
      </c>
      <c r="O30" s="3351" t="s">
        <v>1990</v>
      </c>
      <c r="P30" s="3351" t="s">
        <v>1991</v>
      </c>
      <c r="Q30" s="3354"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2023</v>
      </c>
      <c r="C31" s="766">
        <f>E34+SUM(I37:I42)</f>
        <v>0</v>
      </c>
      <c r="D31" s="2087"/>
      <c r="E31" s="2088"/>
      <c r="F31" s="2089"/>
      <c r="G31" s="2088"/>
      <c r="H31" s="2088"/>
      <c r="I31" s="2088"/>
      <c r="J31" s="2090"/>
      <c r="K31" s="1119"/>
      <c r="L31" s="3352" t="s">
        <v>1994</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2024</v>
      </c>
      <c r="C32" s="2093" t="s">
        <v>2025</v>
      </c>
      <c r="D32" s="2093" t="s">
        <v>2026</v>
      </c>
      <c r="E32" s="2094" t="s">
        <v>2027</v>
      </c>
      <c r="F32" s="2095"/>
      <c r="G32" s="2037"/>
      <c r="H32" s="2037"/>
      <c r="I32" s="2037"/>
      <c r="J32" s="2038"/>
      <c r="K32" s="1119"/>
      <c r="L32" s="3353" t="s">
        <v>1997</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2028</v>
      </c>
      <c r="C33" s="175">
        <f>ROUND(C5*C22*C23*C24*C25*C28,0)</f>
        <v>844</v>
      </c>
      <c r="D33" s="2098">
        <f>'数据-基础表'!A3</f>
        <v>23335</v>
      </c>
      <c r="E33" s="773">
        <f>ROUND(C33*D33/10000,0)</f>
        <v>1969</v>
      </c>
      <c r="F33" s="3345" t="s">
        <v>3263</v>
      </c>
      <c r="G33" s="2099"/>
      <c r="H33" s="2099"/>
      <c r="I33" s="2099"/>
      <c r="J33" s="2100"/>
      <c r="K33" s="1119"/>
      <c r="L33" s="3348" t="s">
        <v>3266</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2029</v>
      </c>
      <c r="C34" s="187">
        <f>ROUND(IF(E2="工业",C33*M42,IF(B25="楼层修正",SUM(V2:V16)*M41*10000/D34,C33*M41)),0)</f>
        <v>127</v>
      </c>
      <c r="D34" s="2103"/>
      <c r="E34" s="773">
        <f>ROUND(IF(B25="楼层修正",SUM(V2:V16)*M40,C34*D34/10000),0)</f>
        <v>0</v>
      </c>
      <c r="F34" s="2104" t="s">
        <v>2030</v>
      </c>
      <c r="G34" s="2105"/>
      <c r="H34" s="2105"/>
      <c r="I34" s="2105"/>
      <c r="J34" s="2106"/>
      <c r="K34" s="1119"/>
      <c r="L34" s="3348" t="s">
        <v>3267</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6" t="s">
        <v>3264</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2025</v>
      </c>
      <c r="D36" s="447" t="s">
        <v>2026</v>
      </c>
      <c r="E36" s="447" t="s">
        <v>2027</v>
      </c>
      <c r="F36" s="342" t="s">
        <v>2033</v>
      </c>
      <c r="G36" s="2112" t="s">
        <v>2025</v>
      </c>
      <c r="H36" s="2112" t="s">
        <v>2026</v>
      </c>
      <c r="I36" s="2112" t="s">
        <v>2027</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57"/>
      <c r="B37" s="2113" t="s">
        <v>2034</v>
      </c>
      <c r="C37" s="175">
        <f>ROUND(D5*C22*C23*C24*C28*F37,0)</f>
        <v>422</v>
      </c>
      <c r="D37" s="2098"/>
      <c r="E37" s="171">
        <f>ROUND(C37*D37/10000,0)</f>
        <v>0</v>
      </c>
      <c r="F37" s="171">
        <f>SUMIF(修正!A57:A68,G2,修正!B57:B68)</f>
        <v>0.5</v>
      </c>
      <c r="G37" s="171">
        <f>ROUND(IF(E2="工业",C37*$M$42,C37*$M$41),0)</f>
        <v>63</v>
      </c>
      <c r="H37" s="171">
        <f>D37</f>
        <v>0</v>
      </c>
      <c r="I37" s="171">
        <f>ROUND(G37*H37/10000,0)</f>
        <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2035</v>
      </c>
      <c r="C38" s="175">
        <f>ROUND(D5*C22*C23*C24*C28*F38,0)</f>
        <v>169</v>
      </c>
      <c r="D38" s="2098"/>
      <c r="E38" s="171">
        <f t="shared" ref="E38:E42" si="4">ROUND(C38*D38/10000,0)</f>
        <v>0</v>
      </c>
      <c r="F38" s="171">
        <f>SUMIF(修正!A57:A68,G2,修正!C57:C68)</f>
        <v>0.2</v>
      </c>
      <c r="G38" s="171">
        <f>ROUND(IF(E2="工业",C38*$M$42,C38*$M$41),0)</f>
        <v>25</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758"/>
      <c r="B39" s="2041" t="s">
        <v>3262</v>
      </c>
      <c r="C39" s="175">
        <f>ROUND(D5*C22*C23*C24*C28*F39,0)</f>
        <v>169</v>
      </c>
      <c r="D39" s="2098"/>
      <c r="E39" s="171">
        <f t="shared" si="4"/>
        <v>0</v>
      </c>
      <c r="F39" s="171">
        <f>SUMIF(修正!A57:A68,G2,修正!D57:D68)</f>
        <v>0.2</v>
      </c>
      <c r="G39" s="171">
        <f>ROUND(IF(E2="工业",C39*$M$42,C39*$M$41),0)</f>
        <v>25</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169</v>
      </c>
      <c r="D40" s="2098"/>
      <c r="E40" s="171">
        <f t="shared" si="4"/>
        <v>0</v>
      </c>
      <c r="F40" s="175">
        <f>SUMIF(修正!A57:A68,G2,修正!E57:E68)</f>
        <v>0.2</v>
      </c>
      <c r="G40" s="171">
        <f>ROUND(IF(E2="工业",C40*$M$42,C40*$M$41),0)</f>
        <v>25</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9" t="s">
        <v>3270</v>
      </c>
      <c r="M41" s="2118">
        <v>0.25</v>
      </c>
      <c r="Z41" s="1120"/>
      <c r="AA41" s="1120"/>
      <c r="AB41" s="1120"/>
      <c r="AC41" s="1120"/>
      <c r="AD41" s="1120"/>
      <c r="AE41" s="1120"/>
      <c r="AF41" s="1120"/>
      <c r="AG41" s="1120"/>
      <c r="AH41" s="1120"/>
      <c r="AI41" s="1120"/>
      <c r="AJ41" s="1120"/>
    </row>
    <row r="42" spans="1:37" s="1119" customFormat="1" ht="13.8" thickBot="1">
      <c r="A42" s="2101"/>
      <c r="B42" s="2119" t="s">
        <v>2039</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2120</v>
      </c>
      <c r="C44" s="342">
        <f>ROUND(POWER(1+E44,H44-G44)*(POWER(1+E44,G44)-1)/(POWER(1+E44,H44)-1),4)</f>
        <v>0</v>
      </c>
      <c r="D44" s="171" t="s">
        <v>1997</v>
      </c>
      <c r="E44" s="2153">
        <f>G24</f>
        <v>0.05</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39.6" hidden="1">
      <c r="A50" s="2130" t="s">
        <v>2050</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2051</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8" t="s">
        <v>3272</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2052</v>
      </c>
      <c r="B53" s="2135" t="s">
        <v>2053</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2054</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2055</v>
      </c>
      <c r="B55" s="2136" t="s">
        <v>2056</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2057</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2058</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2059</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9.6" hidden="1">
      <c r="A61" s="2130" t="s">
        <v>2062</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2051</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8" t="s">
        <v>3272</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2052</v>
      </c>
      <c r="B64" s="2135" t="s">
        <v>2053</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2054</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2055</v>
      </c>
      <c r="B66" s="2136" t="s">
        <v>2056</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2057</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2058</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2059</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hidden="1">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hidden="1">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2.8" hidden="1">
      <c r="A72" s="2130" t="s">
        <v>2064</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hidden="1">
      <c r="A73" s="2130" t="s">
        <v>2051</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hidden="1">
      <c r="A74" s="3368" t="s">
        <v>3272</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hidden="1">
      <c r="A75" s="2130" t="s">
        <v>2065</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hidden="1">
      <c r="A76" s="2130" t="s">
        <v>2057</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6.4" hidden="1">
      <c r="A77" s="2130" t="s">
        <v>2058</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36" hidden="1">
      <c r="A78" s="2130" t="s">
        <v>2055</v>
      </c>
      <c r="B78" s="2136" t="s">
        <v>2056</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9.6" hidden="1">
      <c r="A79" s="2130" t="s">
        <v>2059</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36.6" hidden="1" thickBot="1">
      <c r="A80" s="2138" t="s">
        <v>2066</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4.4">
      <c r="A81" s="2126" t="s">
        <v>2067</v>
      </c>
      <c r="B81" s="2127">
        <f>1+E83</f>
        <v>1.0285</v>
      </c>
      <c r="C81" s="741"/>
      <c r="D81" s="741"/>
      <c r="E81" s="742"/>
      <c r="F81" s="2129"/>
      <c r="G81" s="3"/>
      <c r="H81" s="3"/>
      <c r="I81" s="3"/>
      <c r="J81" s="4"/>
      <c r="K81" s="4"/>
      <c r="L81" s="4"/>
      <c r="M81" s="4"/>
      <c r="N81" s="4"/>
      <c r="Z81" s="1998"/>
      <c r="AA81" s="2053"/>
      <c r="AG81" s="1121"/>
      <c r="AK81" s="2053"/>
    </row>
    <row r="82" spans="1:37" ht="25.2">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9.6">
      <c r="A83" s="2130" t="s">
        <v>2068</v>
      </c>
      <c r="B83" s="2134" t="str">
        <f>估价对象房地状况!G15</f>
        <v>估价对象位于XX开发区，园区建设成熟度XX，产业集聚程度XX</v>
      </c>
      <c r="C83" s="3451" t="s">
        <v>3404</v>
      </c>
      <c r="D83" s="1065">
        <f t="shared" ref="D83:D90" si="22">SUMIF($J$82:$N$82,C83,J83:N83)</f>
        <v>1.43E-2</v>
      </c>
      <c r="E83" s="744">
        <f>ROUND(SUM(D83:D90),4)</f>
        <v>2.8500000000000001E-2</v>
      </c>
      <c r="F83" s="1814">
        <f>IF(E2="工业",SUMIF(L1:L12,G2,N1:N12),"——")</f>
        <v>0.11</v>
      </c>
      <c r="G83" s="1063">
        <v>1.43E-2</v>
      </c>
      <c r="H83" s="1066">
        <f t="shared" ref="H83:H90" si="23">IFERROR(ROUNDDOWN($F$83*I83/2,4),"——")</f>
        <v>1.43E-2</v>
      </c>
      <c r="I83" s="3366">
        <v>0.26</v>
      </c>
      <c r="J83" s="1064">
        <f t="shared" ref="J83:J90" si="24">K83+$G83</f>
        <v>2.86E-2</v>
      </c>
      <c r="K83" s="1064">
        <f t="shared" ref="K83:K90" si="25">$L83+$G83</f>
        <v>1.43E-2</v>
      </c>
      <c r="L83" s="1064">
        <v>0</v>
      </c>
      <c r="M83" s="1064">
        <f t="shared" ref="M83:N90" si="26">L83-$G83</f>
        <v>-1.43E-2</v>
      </c>
      <c r="N83" s="1064">
        <f t="shared" si="26"/>
        <v>-2.86E-2</v>
      </c>
      <c r="Z83" s="1998"/>
      <c r="AA83" s="2053"/>
      <c r="AG83" s="1121"/>
      <c r="AK83" s="2053"/>
    </row>
    <row r="84" spans="1:37" ht="52.8">
      <c r="A84" s="2130" t="s">
        <v>2051</v>
      </c>
      <c r="B84" s="2134" t="str">
        <f>估价对象房地状况!G16</f>
        <v>估价对象周边道路状况、公共交通通达情况、停车便捷程度，综合评价交通便捷度较好</v>
      </c>
      <c r="C84" s="3451" t="s">
        <v>3405</v>
      </c>
      <c r="D84" s="1065">
        <f t="shared" si="22"/>
        <v>0</v>
      </c>
      <c r="E84" s="747"/>
      <c r="F84" s="1814"/>
      <c r="G84" s="1063">
        <v>1.6500000000000001E-2</v>
      </c>
      <c r="H84" s="1066">
        <f t="shared" si="23"/>
        <v>1.6500000000000001E-2</v>
      </c>
      <c r="I84" s="3366">
        <v>0.3</v>
      </c>
      <c r="J84" s="1064">
        <f t="shared" si="24"/>
        <v>3.3000000000000002E-2</v>
      </c>
      <c r="K84" s="1064">
        <f t="shared" si="25"/>
        <v>1.6500000000000001E-2</v>
      </c>
      <c r="L84" s="1064">
        <v>0</v>
      </c>
      <c r="M84" s="1064">
        <f t="shared" si="26"/>
        <v>-1.6500000000000001E-2</v>
      </c>
      <c r="N84" s="1064">
        <f t="shared" si="26"/>
        <v>-3.3000000000000002E-2</v>
      </c>
      <c r="Z84" s="1998"/>
      <c r="AA84" s="2053"/>
      <c r="AG84" s="1121"/>
      <c r="AK84" s="2053"/>
    </row>
    <row r="85" spans="1:37" ht="48">
      <c r="A85" s="3368" t="s">
        <v>3273</v>
      </c>
      <c r="B85" s="2134">
        <f>估价对象房地状况!G17</f>
        <v>0</v>
      </c>
      <c r="C85" s="3451" t="s">
        <v>3404</v>
      </c>
      <c r="D85" s="1065">
        <f t="shared" si="22"/>
        <v>5.4999999999999997E-3</v>
      </c>
      <c r="E85" s="747"/>
      <c r="F85" s="1814"/>
      <c r="G85" s="1063">
        <v>5.4999999999999997E-3</v>
      </c>
      <c r="H85" s="1066">
        <f t="shared" si="23"/>
        <v>5.4999999999999997E-3</v>
      </c>
      <c r="I85" s="3366">
        <v>0.1</v>
      </c>
      <c r="J85" s="1064">
        <f t="shared" si="24"/>
        <v>1.0999999999999999E-2</v>
      </c>
      <c r="K85" s="1064">
        <f t="shared" si="25"/>
        <v>5.4999999999999997E-3</v>
      </c>
      <c r="L85" s="1064">
        <v>0</v>
      </c>
      <c r="M85" s="1064">
        <f t="shared" si="26"/>
        <v>-5.4999999999999997E-3</v>
      </c>
      <c r="N85" s="1064">
        <f t="shared" si="26"/>
        <v>-1.0999999999999999E-2</v>
      </c>
      <c r="Z85" s="1998"/>
      <c r="AA85" s="2053"/>
      <c r="AG85" s="1121"/>
      <c r="AK85" s="2053"/>
    </row>
    <row r="86" spans="1:37" ht="13.8">
      <c r="A86" s="2130" t="s">
        <v>2065</v>
      </c>
      <c r="B86" s="2134">
        <f>估价对象房地状况!G22</f>
        <v>0</v>
      </c>
      <c r="C86" s="3451" t="s">
        <v>3404</v>
      </c>
      <c r="D86" s="1065">
        <f t="shared" si="22"/>
        <v>2.7000000000000001E-3</v>
      </c>
      <c r="E86" s="747"/>
      <c r="F86" s="1814"/>
      <c r="G86" s="1063">
        <v>2.7000000000000001E-3</v>
      </c>
      <c r="H86" s="1066">
        <f t="shared" si="23"/>
        <v>2.7000000000000001E-3</v>
      </c>
      <c r="I86" s="3366">
        <v>0.05</v>
      </c>
      <c r="J86" s="1064">
        <f t="shared" si="24"/>
        <v>5.4000000000000003E-3</v>
      </c>
      <c r="K86" s="1064">
        <f t="shared" si="25"/>
        <v>2.7000000000000001E-3</v>
      </c>
      <c r="L86" s="1064">
        <v>0</v>
      </c>
      <c r="M86" s="1064">
        <f t="shared" si="26"/>
        <v>-2.7000000000000001E-3</v>
      </c>
      <c r="N86" s="1064">
        <f t="shared" si="26"/>
        <v>-5.4000000000000003E-3</v>
      </c>
      <c r="Z86" s="1998"/>
      <c r="AA86" s="2053"/>
      <c r="AG86" s="1121"/>
      <c r="AK86" s="2053"/>
    </row>
    <row r="87" spans="1:37" ht="26.4">
      <c r="A87" s="2130" t="s">
        <v>2057</v>
      </c>
      <c r="B87" s="1326" t="str">
        <f>估价对象房地状况!G19</f>
        <v>估价对象所在区域公共配套设施齐备情况</v>
      </c>
      <c r="C87" s="3451" t="s">
        <v>3405</v>
      </c>
      <c r="D87" s="1065">
        <f t="shared" si="22"/>
        <v>0</v>
      </c>
      <c r="E87" s="747"/>
      <c r="F87" s="1814"/>
      <c r="G87" s="1063">
        <v>3.3E-3</v>
      </c>
      <c r="H87" s="1066">
        <f t="shared" si="23"/>
        <v>3.3E-3</v>
      </c>
      <c r="I87" s="3366">
        <v>0.06</v>
      </c>
      <c r="J87" s="1064">
        <f t="shared" si="24"/>
        <v>6.6E-3</v>
      </c>
      <c r="K87" s="1064">
        <f t="shared" si="25"/>
        <v>3.3E-3</v>
      </c>
      <c r="L87" s="1064">
        <v>0</v>
      </c>
      <c r="M87" s="1064">
        <f t="shared" si="26"/>
        <v>-3.3E-3</v>
      </c>
      <c r="N87" s="1064">
        <f t="shared" si="26"/>
        <v>-6.6E-3</v>
      </c>
    </row>
    <row r="88" spans="1:37" ht="26.4">
      <c r="A88" s="2130" t="s">
        <v>2058</v>
      </c>
      <c r="B88" s="1326" t="str">
        <f>估价对象房地状况!G20</f>
        <v>估价对象所在区域基础设施水平</v>
      </c>
      <c r="C88" s="3451" t="s">
        <v>3405</v>
      </c>
      <c r="D88" s="1065">
        <f t="shared" si="22"/>
        <v>0</v>
      </c>
      <c r="E88" s="747"/>
      <c r="F88" s="1814"/>
      <c r="G88" s="1063">
        <v>6.6E-3</v>
      </c>
      <c r="H88" s="1066">
        <f t="shared" si="23"/>
        <v>6.6E-3</v>
      </c>
      <c r="I88" s="3366">
        <v>0.12</v>
      </c>
      <c r="J88" s="1064">
        <f t="shared" si="24"/>
        <v>1.32E-2</v>
      </c>
      <c r="K88" s="1064">
        <f t="shared" si="25"/>
        <v>6.6E-3</v>
      </c>
      <c r="L88" s="1064">
        <v>0</v>
      </c>
      <c r="M88" s="1064">
        <f t="shared" si="26"/>
        <v>-6.6E-3</v>
      </c>
      <c r="N88" s="1064">
        <f t="shared" si="26"/>
        <v>-1.32E-2</v>
      </c>
    </row>
    <row r="89" spans="1:37" ht="36">
      <c r="A89" s="2130" t="s">
        <v>2055</v>
      </c>
      <c r="B89" s="2136" t="s">
        <v>2069</v>
      </c>
      <c r="C89" s="3451" t="s">
        <v>3404</v>
      </c>
      <c r="D89" s="1065">
        <f t="shared" si="22"/>
        <v>3.3E-3</v>
      </c>
      <c r="E89" s="747"/>
      <c r="F89" s="1814"/>
      <c r="G89" s="1063">
        <v>3.3E-3</v>
      </c>
      <c r="H89" s="1066">
        <f t="shared" si="23"/>
        <v>3.3E-3</v>
      </c>
      <c r="I89" s="3366">
        <v>0.06</v>
      </c>
      <c r="J89" s="1064">
        <f t="shared" si="24"/>
        <v>6.6E-3</v>
      </c>
      <c r="K89" s="1064">
        <f t="shared" si="25"/>
        <v>3.3E-3</v>
      </c>
      <c r="L89" s="1064">
        <v>0</v>
      </c>
      <c r="M89" s="1064">
        <f t="shared" si="26"/>
        <v>-3.3E-3</v>
      </c>
      <c r="N89" s="1064">
        <f t="shared" si="26"/>
        <v>-6.6E-3</v>
      </c>
    </row>
    <row r="90" spans="1:37" ht="40.200000000000003" thickBot="1">
      <c r="A90" s="2138" t="s">
        <v>2070</v>
      </c>
      <c r="B90" s="2143" t="str">
        <f>估价对象房地状况!G18</f>
        <v>该园区内是否有污染型企业，绿化情况，卫生条件，整体环境状况判断</v>
      </c>
      <c r="C90" s="3451" t="s">
        <v>3404</v>
      </c>
      <c r="D90" s="1065">
        <f t="shared" si="22"/>
        <v>2.7000000000000001E-3</v>
      </c>
      <c r="E90" s="748"/>
      <c r="F90" s="1814"/>
      <c r="G90" s="1063">
        <v>2.7000000000000001E-3</v>
      </c>
      <c r="H90" s="1066">
        <f t="shared" si="23"/>
        <v>2.7000000000000001E-3</v>
      </c>
      <c r="I90" s="3367">
        <v>0.05</v>
      </c>
      <c r="J90" s="1064">
        <f t="shared" si="24"/>
        <v>5.4000000000000003E-3</v>
      </c>
      <c r="K90" s="1064">
        <f t="shared" si="25"/>
        <v>2.7000000000000001E-3</v>
      </c>
      <c r="L90" s="1064">
        <v>0</v>
      </c>
      <c r="M90" s="1064">
        <f t="shared" si="26"/>
        <v>-2.7000000000000001E-3</v>
      </c>
      <c r="N90" s="1064">
        <f t="shared" si="26"/>
        <v>-5.4000000000000003E-3</v>
      </c>
    </row>
    <row r="91" spans="1:37" ht="13.8">
      <c r="A91" s="3376" t="s">
        <v>2613</v>
      </c>
      <c r="B91" s="3377">
        <f>1+E93</f>
        <v>1</v>
      </c>
      <c r="C91" s="3370"/>
      <c r="D91" s="3371"/>
      <c r="E91" s="1814"/>
      <c r="F91" s="1814"/>
      <c r="G91" s="3372"/>
      <c r="H91" s="3373"/>
      <c r="I91" s="3374"/>
      <c r="J91" s="3375"/>
      <c r="K91" s="3375"/>
      <c r="L91" s="3375"/>
      <c r="M91" s="3375"/>
      <c r="N91" s="3375"/>
    </row>
    <row r="92" spans="1:37" ht="25.2">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3276</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3272</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3277</v>
      </c>
      <c r="B96" s="3384" t="s">
        <v>3288</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3279</v>
      </c>
      <c r="B98" s="3385" t="s">
        <v>3289</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3280</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3281</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3282</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5" t="s">
        <v>3297</v>
      </c>
      <c r="B103" s="3755"/>
      <c r="C103" s="3755"/>
      <c r="D103" s="3755"/>
      <c r="E103" s="3755"/>
      <c r="F103" s="3755"/>
      <c r="G103" s="3755"/>
      <c r="H103" s="3755"/>
      <c r="I103" s="3755"/>
      <c r="J103" s="3755"/>
      <c r="K103" s="3389"/>
      <c r="L103" s="3389"/>
      <c r="M103" s="3389"/>
      <c r="N103" s="3389"/>
    </row>
    <row r="104" spans="1:14">
      <c r="A104" s="3756" t="s">
        <v>3298</v>
      </c>
      <c r="B104" s="3756" t="s">
        <v>3299</v>
      </c>
      <c r="C104" s="3390" t="s">
        <v>3300</v>
      </c>
      <c r="D104" s="3391"/>
      <c r="E104" s="3391"/>
      <c r="F104" s="3391"/>
      <c r="G104" s="3391"/>
      <c r="H104" s="3391"/>
      <c r="I104" s="3391"/>
      <c r="J104" s="3392"/>
      <c r="K104" s="3393"/>
      <c r="L104" s="3393"/>
      <c r="M104" s="3393"/>
      <c r="N104" s="3393"/>
    </row>
    <row r="105" spans="1:14">
      <c r="A105" s="3756"/>
      <c r="B105" s="3756"/>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42"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3"/>
      <c r="B111" s="3394" t="s">
        <v>3271</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4"/>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5" t="s">
        <v>3314</v>
      </c>
      <c r="B113" s="3745"/>
      <c r="C113" s="3745"/>
      <c r="D113" s="3745"/>
      <c r="E113" s="3745"/>
      <c r="F113" s="3745"/>
      <c r="G113" s="3745"/>
      <c r="H113" s="3745"/>
      <c r="I113" s="3745"/>
      <c r="J113" s="374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3315</v>
      </c>
      <c r="B116" s="3415">
        <f>G3</f>
        <v>1</v>
      </c>
      <c r="C116" s="3399" t="s">
        <v>3316</v>
      </c>
      <c r="D116" s="3400">
        <f>SUMPRODUCT((A118:A122=F116)*(B117:M117=H116)*B118:M122)</f>
        <v>0.57150000000000001</v>
      </c>
      <c r="E116" s="2000" t="s">
        <v>3317</v>
      </c>
      <c r="F116" s="3401" t="str">
        <f>E2</f>
        <v>工业</v>
      </c>
      <c r="G116" s="2000" t="s">
        <v>3318</v>
      </c>
      <c r="H116" s="3401" t="str">
        <f>G2</f>
        <v>九级</v>
      </c>
      <c r="I116" s="2000"/>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5">I118</f>
        <v>0.8306</v>
      </c>
      <c r="K118" s="3387">
        <f t="shared" si="35"/>
        <v>0.8306</v>
      </c>
      <c r="L118" s="3387">
        <f t="shared" si="35"/>
        <v>0.8306</v>
      </c>
      <c r="M118" s="3410">
        <f t="shared" si="35"/>
        <v>0.8306</v>
      </c>
      <c r="N118" s="3397"/>
    </row>
    <row r="119" spans="1:14">
      <c r="A119" s="3409" t="s">
        <v>3332</v>
      </c>
      <c r="B119" s="3387">
        <f>ROUND(0.993-0.0112*B116,4)</f>
        <v>0.98180000000000001</v>
      </c>
      <c r="C119" s="3387">
        <f>B119</f>
        <v>0.98180000000000001</v>
      </c>
      <c r="D119" s="3387">
        <f>ROUND(0.9415-0.0142*B116,4)</f>
        <v>0.92730000000000001</v>
      </c>
      <c r="E119" s="3387">
        <f t="shared" ref="E119:H120" si="36">D119</f>
        <v>0.92730000000000001</v>
      </c>
      <c r="F119" s="3387">
        <f t="shared" si="36"/>
        <v>0.92730000000000001</v>
      </c>
      <c r="G119" s="3387">
        <f t="shared" si="36"/>
        <v>0.92730000000000001</v>
      </c>
      <c r="H119" s="3387">
        <f t="shared" si="36"/>
        <v>0.92730000000000001</v>
      </c>
      <c r="I119" s="3387">
        <f>ROUND(0.838-0.0182*B116,4)</f>
        <v>0.81979999999999997</v>
      </c>
      <c r="J119" s="3387">
        <f t="shared" si="35"/>
        <v>0.81979999999999997</v>
      </c>
      <c r="K119" s="3387">
        <f t="shared" si="35"/>
        <v>0.81979999999999997</v>
      </c>
      <c r="L119" s="3387">
        <f t="shared" si="35"/>
        <v>0.81979999999999997</v>
      </c>
      <c r="M119" s="3410">
        <f t="shared" si="35"/>
        <v>0.81979999999999997</v>
      </c>
      <c r="N119" s="3397"/>
    </row>
    <row r="120" spans="1:14">
      <c r="A120" s="3409" t="s">
        <v>3333</v>
      </c>
      <c r="B120" s="3387">
        <f>ROUND(0.9448-0.0115*B116,4)</f>
        <v>0.93330000000000002</v>
      </c>
      <c r="C120" s="3387">
        <f>B120</f>
        <v>0.93330000000000002</v>
      </c>
      <c r="D120" s="3387">
        <f>ROUND(0.937-0.0145*B116,4)</f>
        <v>0.92249999999999999</v>
      </c>
      <c r="E120" s="3387">
        <f t="shared" si="36"/>
        <v>0.92249999999999999</v>
      </c>
      <c r="F120" s="3387">
        <f t="shared" si="36"/>
        <v>0.92249999999999999</v>
      </c>
      <c r="G120" s="3387">
        <f t="shared" si="36"/>
        <v>0.92249999999999999</v>
      </c>
      <c r="H120" s="3387">
        <f t="shared" si="36"/>
        <v>0.92249999999999999</v>
      </c>
      <c r="I120" s="3387">
        <f>ROUND(0.7965-0.0185*B116,4)</f>
        <v>0.77800000000000002</v>
      </c>
      <c r="J120" s="3387">
        <f t="shared" si="35"/>
        <v>0.77800000000000002</v>
      </c>
      <c r="K120" s="3387">
        <f t="shared" si="35"/>
        <v>0.77800000000000002</v>
      </c>
      <c r="L120" s="3387">
        <f t="shared" si="35"/>
        <v>0.77800000000000002</v>
      </c>
      <c r="M120" s="3410">
        <f t="shared" si="35"/>
        <v>0.77800000000000002</v>
      </c>
      <c r="N120" s="3397"/>
    </row>
    <row r="121" spans="1:14" ht="13.8" thickBot="1">
      <c r="A121" s="3411" t="s">
        <v>3334</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5"/>
        <v>0.57150000000000001</v>
      </c>
      <c r="K121" s="3412">
        <f t="shared" si="35"/>
        <v>0.57150000000000001</v>
      </c>
      <c r="L121" s="3412">
        <f t="shared" si="35"/>
        <v>0.57150000000000001</v>
      </c>
      <c r="M121" s="3413">
        <f t="shared" si="35"/>
        <v>0.57150000000000001</v>
      </c>
      <c r="N121" s="3397"/>
    </row>
    <row r="122" spans="1:14">
      <c r="A122" s="3414" t="s">
        <v>2613</v>
      </c>
      <c r="B122" s="3387">
        <f>ROUND(0.9404-0.0106*B116,4)</f>
        <v>0.92979999999999996</v>
      </c>
      <c r="C122" s="3387">
        <f>B122</f>
        <v>0.92979999999999996</v>
      </c>
      <c r="D122" s="3387">
        <f>ROUND(0.8955-0.0135*B116,4)</f>
        <v>0.88200000000000001</v>
      </c>
      <c r="E122" s="3387">
        <f t="shared" ref="E122:H122" si="37">D122</f>
        <v>0.88200000000000001</v>
      </c>
      <c r="F122" s="3387">
        <f t="shared" si="37"/>
        <v>0.88200000000000001</v>
      </c>
      <c r="G122" s="3387">
        <f t="shared" si="37"/>
        <v>0.88200000000000001</v>
      </c>
      <c r="H122" s="3387">
        <f t="shared" si="37"/>
        <v>0.88200000000000001</v>
      </c>
      <c r="I122" s="3387">
        <f>ROUND(0.7632-0.0166*B116,4)</f>
        <v>0.74660000000000004</v>
      </c>
      <c r="J122" s="3387">
        <f t="shared" si="35"/>
        <v>0.74660000000000004</v>
      </c>
      <c r="K122" s="3387">
        <f t="shared" si="35"/>
        <v>0.74660000000000004</v>
      </c>
      <c r="L122" s="3387">
        <f t="shared" si="35"/>
        <v>0.74660000000000004</v>
      </c>
      <c r="M122" s="3410">
        <f t="shared" si="35"/>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770" t="s">
        <v>2608</v>
      </c>
      <c r="B20" s="3765" t="s">
        <v>2629</v>
      </c>
      <c r="C20" s="3102" t="s">
        <v>2440</v>
      </c>
      <c r="D20" s="3103"/>
      <c r="E20" s="3104">
        <v>1</v>
      </c>
      <c r="F20" s="3105" t="s">
        <v>2441</v>
      </c>
      <c r="G20" s="3105"/>
    </row>
    <row r="21" spans="1:13" ht="19.5" customHeight="1">
      <c r="A21" s="3771"/>
      <c r="B21" s="3764"/>
      <c r="C21" s="3106" t="s">
        <v>2442</v>
      </c>
      <c r="D21" s="3107"/>
      <c r="E21" s="3108">
        <v>1</v>
      </c>
      <c r="F21" s="3105" t="s">
        <v>2443</v>
      </c>
      <c r="G21" s="3105"/>
    </row>
    <row r="22" spans="1:13" ht="19.5" customHeight="1">
      <c r="A22" s="3771"/>
      <c r="B22" s="3764"/>
      <c r="C22" s="3106" t="s">
        <v>2444</v>
      </c>
      <c r="D22" s="3107"/>
      <c r="E22" s="3108">
        <v>0.9</v>
      </c>
      <c r="F22" s="3105" t="s">
        <v>2445</v>
      </c>
      <c r="G22" s="3105"/>
    </row>
    <row r="23" spans="1:13" ht="19.5" customHeight="1">
      <c r="A23" s="3771"/>
      <c r="B23" s="3764"/>
      <c r="C23" s="3106" t="s">
        <v>2446</v>
      </c>
      <c r="D23" s="3107"/>
      <c r="E23" s="3108">
        <v>0.9</v>
      </c>
      <c r="F23" s="3105" t="s">
        <v>2447</v>
      </c>
      <c r="G23" s="3105"/>
    </row>
    <row r="24" spans="1:13" ht="19.5" customHeight="1">
      <c r="A24" s="3771"/>
      <c r="B24" s="3764"/>
      <c r="C24" s="3106" t="s">
        <v>2448</v>
      </c>
      <c r="D24" s="3107"/>
      <c r="E24" s="3108">
        <v>0.8</v>
      </c>
      <c r="F24" s="3105" t="s">
        <v>2449</v>
      </c>
      <c r="G24" s="3105"/>
    </row>
    <row r="25" spans="1:13" ht="19.5" customHeight="1" thickBot="1">
      <c r="A25" s="3772"/>
      <c r="B25" s="3766"/>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767" t="s">
        <v>2632</v>
      </c>
      <c r="B27" s="3765" t="s">
        <v>2613</v>
      </c>
      <c r="C27" s="3102" t="s">
        <v>2453</v>
      </c>
      <c r="D27" s="3103"/>
      <c r="E27" s="3104">
        <v>1</v>
      </c>
      <c r="F27" s="3105" t="s">
        <v>2454</v>
      </c>
      <c r="G27" s="3105"/>
    </row>
    <row r="28" spans="1:13" ht="19.5" customHeight="1">
      <c r="A28" s="3768"/>
      <c r="B28" s="3764"/>
      <c r="C28" s="3106" t="s">
        <v>2455</v>
      </c>
      <c r="D28" s="3107"/>
      <c r="E28" s="3108">
        <v>1</v>
      </c>
      <c r="F28" s="3105" t="s">
        <v>2456</v>
      </c>
      <c r="G28" s="3105"/>
    </row>
    <row r="29" spans="1:13" ht="19.5" customHeight="1">
      <c r="A29" s="3768"/>
      <c r="B29" s="3764"/>
      <c r="C29" s="3106" t="s">
        <v>2457</v>
      </c>
      <c r="D29" s="3107"/>
      <c r="E29" s="3108">
        <v>0.8</v>
      </c>
      <c r="F29" s="3105" t="s">
        <v>2458</v>
      </c>
      <c r="G29" s="3105"/>
    </row>
    <row r="30" spans="1:13" ht="19.5" customHeight="1">
      <c r="A30" s="3768"/>
      <c r="B30" s="3764"/>
      <c r="C30" s="3106" t="s">
        <v>2459</v>
      </c>
      <c r="D30" s="3107"/>
      <c r="E30" s="3108">
        <v>0.8</v>
      </c>
      <c r="F30" s="3105" t="s">
        <v>2460</v>
      </c>
      <c r="G30" s="3105"/>
    </row>
    <row r="31" spans="1:13" ht="19.5" customHeight="1">
      <c r="A31" s="3768"/>
      <c r="B31" s="3764"/>
      <c r="C31" s="3106" t="s">
        <v>2461</v>
      </c>
      <c r="D31" s="3107"/>
      <c r="E31" s="3108">
        <v>0.8</v>
      </c>
      <c r="F31" s="3105" t="s">
        <v>2462</v>
      </c>
      <c r="G31" s="3105"/>
    </row>
    <row r="32" spans="1:13" ht="19.5" customHeight="1">
      <c r="A32" s="3768"/>
      <c r="B32" s="3764"/>
      <c r="C32" s="3106" t="s">
        <v>2463</v>
      </c>
      <c r="D32" s="3107"/>
      <c r="E32" s="3108">
        <v>0.7</v>
      </c>
      <c r="F32" s="3105" t="s">
        <v>2464</v>
      </c>
      <c r="G32" s="3105"/>
    </row>
    <row r="33" spans="1:7" ht="19.5" customHeight="1">
      <c r="A33" s="3768"/>
      <c r="B33" s="3764"/>
      <c r="C33" s="3106" t="s">
        <v>2465</v>
      </c>
      <c r="D33" s="3107"/>
      <c r="E33" s="3108">
        <v>0.8</v>
      </c>
      <c r="F33" s="3105" t="s">
        <v>2466</v>
      </c>
      <c r="G33" s="3105"/>
    </row>
    <row r="34" spans="1:7" ht="19.5" customHeight="1">
      <c r="A34" s="3768"/>
      <c r="B34" s="3764"/>
      <c r="C34" s="3106" t="s">
        <v>2467</v>
      </c>
      <c r="D34" s="3107"/>
      <c r="E34" s="3108">
        <v>0.6</v>
      </c>
      <c r="F34" s="3105" t="s">
        <v>2468</v>
      </c>
      <c r="G34" s="3105"/>
    </row>
    <row r="35" spans="1:7" ht="19.5" customHeight="1">
      <c r="A35" s="3768"/>
      <c r="B35" s="3764"/>
      <c r="C35" s="3106" t="s">
        <v>2469</v>
      </c>
      <c r="D35" s="3107"/>
      <c r="E35" s="3108">
        <v>0.2</v>
      </c>
      <c r="F35" s="3105" t="s">
        <v>2470</v>
      </c>
      <c r="G35" s="3105"/>
    </row>
    <row r="36" spans="1:7" ht="19.5" customHeight="1">
      <c r="A36" s="3768"/>
      <c r="B36" s="3764"/>
      <c r="C36" s="3106" t="s">
        <v>2471</v>
      </c>
      <c r="D36" s="3107"/>
      <c r="E36" s="3108">
        <v>0.2</v>
      </c>
      <c r="F36" s="3105" t="s">
        <v>2472</v>
      </c>
      <c r="G36" s="3105"/>
    </row>
    <row r="37" spans="1:7" ht="19.5" customHeight="1">
      <c r="A37" s="3768"/>
      <c r="B37" s="3762" t="s">
        <v>2633</v>
      </c>
      <c r="C37" s="3106" t="s">
        <v>2473</v>
      </c>
      <c r="D37" s="3107"/>
      <c r="E37" s="3108">
        <v>0.6</v>
      </c>
      <c r="F37" s="3105" t="s">
        <v>2474</v>
      </c>
      <c r="G37" s="3105"/>
    </row>
    <row r="38" spans="1:7" ht="19.5" customHeight="1">
      <c r="A38" s="3768"/>
      <c r="B38" s="3764"/>
      <c r="C38" s="3106" t="s">
        <v>2475</v>
      </c>
      <c r="D38" s="3107"/>
      <c r="E38" s="3108">
        <v>0.6</v>
      </c>
      <c r="F38" s="3105" t="s">
        <v>2476</v>
      </c>
      <c r="G38" s="3105"/>
    </row>
    <row r="39" spans="1:7" ht="19.5" customHeight="1" thickBot="1">
      <c r="A39" s="3769"/>
      <c r="B39" s="3766"/>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770" t="s">
        <v>2611</v>
      </c>
      <c r="B41" s="3765" t="s">
        <v>2635</v>
      </c>
      <c r="C41" s="3102" t="s">
        <v>2480</v>
      </c>
      <c r="D41" s="3103"/>
      <c r="E41" s="3104">
        <v>1</v>
      </c>
      <c r="F41" s="3105" t="s">
        <v>2481</v>
      </c>
      <c r="G41" s="3105"/>
    </row>
    <row r="42" spans="1:7" ht="19.5" customHeight="1">
      <c r="A42" s="3771"/>
      <c r="B42" s="3764"/>
      <c r="C42" s="3106" t="s">
        <v>2482</v>
      </c>
      <c r="D42" s="3107"/>
      <c r="E42" s="3108">
        <v>1</v>
      </c>
      <c r="F42" s="3105" t="s">
        <v>2483</v>
      </c>
      <c r="G42" s="3105"/>
    </row>
    <row r="43" spans="1:7" ht="19.5" customHeight="1">
      <c r="A43" s="3771"/>
      <c r="B43" s="3763"/>
      <c r="C43" s="3106" t="s">
        <v>2484</v>
      </c>
      <c r="D43" s="3107"/>
      <c r="E43" s="3108">
        <v>1.5</v>
      </c>
      <c r="F43" s="3105" t="s">
        <v>2485</v>
      </c>
      <c r="G43" s="3105"/>
    </row>
    <row r="44" spans="1:7" ht="19.5" customHeight="1">
      <c r="A44" s="3771"/>
      <c r="B44" s="3117" t="s">
        <v>2636</v>
      </c>
      <c r="C44" s="3106" t="s">
        <v>2637</v>
      </c>
      <c r="D44" s="3107"/>
      <c r="E44" s="3108">
        <v>2</v>
      </c>
      <c r="F44" s="3105" t="s">
        <v>2486</v>
      </c>
      <c r="G44" s="3105"/>
    </row>
    <row r="45" spans="1:7" ht="19.5" customHeight="1">
      <c r="A45" s="3771"/>
      <c r="B45" s="3762" t="s">
        <v>2638</v>
      </c>
      <c r="C45" s="3106" t="s">
        <v>2487</v>
      </c>
      <c r="D45" s="3107"/>
      <c r="E45" s="3108">
        <v>1</v>
      </c>
      <c r="F45" s="3105" t="s">
        <v>2488</v>
      </c>
      <c r="G45" s="3105"/>
    </row>
    <row r="46" spans="1:7" ht="19.5" customHeight="1">
      <c r="A46" s="3771"/>
      <c r="B46" s="3764"/>
      <c r="C46" s="3106" t="s">
        <v>2489</v>
      </c>
      <c r="D46" s="3107"/>
      <c r="E46" s="3108">
        <v>1</v>
      </c>
      <c r="F46" s="3105" t="s">
        <v>2490</v>
      </c>
      <c r="G46" s="3105"/>
    </row>
    <row r="47" spans="1:7" ht="19.5" customHeight="1">
      <c r="A47" s="3771"/>
      <c r="B47" s="3764"/>
      <c r="C47" s="3106" t="s">
        <v>2491</v>
      </c>
      <c r="D47" s="3107"/>
      <c r="E47" s="3108">
        <v>1</v>
      </c>
      <c r="F47" s="3105" t="s">
        <v>2492</v>
      </c>
      <c r="G47" s="3105"/>
    </row>
    <row r="48" spans="1:7" ht="19.5" customHeight="1">
      <c r="A48" s="3771"/>
      <c r="B48" s="3764"/>
      <c r="C48" s="3106" t="s">
        <v>2493</v>
      </c>
      <c r="D48" s="3107"/>
      <c r="E48" s="3108">
        <v>1</v>
      </c>
      <c r="F48" s="3105" t="s">
        <v>2494</v>
      </c>
      <c r="G48" s="3105"/>
    </row>
    <row r="49" spans="1:7" ht="19.5" customHeight="1">
      <c r="A49" s="3771"/>
      <c r="B49" s="3764"/>
      <c r="C49" s="3106" t="s">
        <v>2495</v>
      </c>
      <c r="D49" s="3107"/>
      <c r="E49" s="3108">
        <v>1</v>
      </c>
      <c r="F49" s="3105" t="s">
        <v>2496</v>
      </c>
      <c r="G49" s="3105"/>
    </row>
    <row r="50" spans="1:7" ht="19.5" customHeight="1">
      <c r="A50" s="3771"/>
      <c r="B50" s="3764"/>
      <c r="C50" s="3106" t="s">
        <v>2497</v>
      </c>
      <c r="D50" s="3107"/>
      <c r="E50" s="3108">
        <v>1</v>
      </c>
      <c r="F50" s="3105" t="s">
        <v>2498</v>
      </c>
      <c r="G50" s="3105"/>
    </row>
    <row r="51" spans="1:7" ht="19.5" customHeight="1" thickBot="1">
      <c r="A51" s="3772"/>
      <c r="B51" s="3766"/>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4.4">
      <c r="A72" s="3117"/>
      <c r="B72" s="3117"/>
      <c r="C72" s="3117" t="s">
        <v>2651</v>
      </c>
      <c r="D72" s="3117"/>
      <c r="E72" s="3117" t="s">
        <v>2622</v>
      </c>
      <c r="F72" s="3117" t="s">
        <v>2622</v>
      </c>
    </row>
    <row r="73" spans="1:7" ht="14.4">
      <c r="A73" s="3117">
        <v>1</v>
      </c>
      <c r="B73" s="3762" t="s">
        <v>2652</v>
      </c>
      <c r="C73" s="3091" t="s">
        <v>2653</v>
      </c>
      <c r="D73" s="3091" t="s">
        <v>2654</v>
      </c>
      <c r="E73" s="3117">
        <v>0.2</v>
      </c>
      <c r="F73" s="3117">
        <v>25</v>
      </c>
    </row>
    <row r="74" spans="1:7" ht="24">
      <c r="A74" s="3117">
        <v>2</v>
      </c>
      <c r="B74" s="3764"/>
      <c r="C74" s="3091" t="s">
        <v>2655</v>
      </c>
      <c r="D74" s="3091" t="s">
        <v>2656</v>
      </c>
      <c r="E74" s="3117">
        <v>0.2</v>
      </c>
      <c r="F74" s="3117">
        <v>25</v>
      </c>
    </row>
    <row r="75" spans="1:7" ht="24">
      <c r="A75" s="3117">
        <v>3</v>
      </c>
      <c r="B75" s="3764"/>
      <c r="C75" s="3091" t="s">
        <v>2657</v>
      </c>
      <c r="D75" s="3091" t="s">
        <v>2658</v>
      </c>
      <c r="E75" s="3117">
        <v>0.2</v>
      </c>
      <c r="F75" s="3117">
        <v>25</v>
      </c>
    </row>
    <row r="76" spans="1:7" ht="14.4">
      <c r="A76" s="3117">
        <v>4</v>
      </c>
      <c r="B76" s="3764"/>
      <c r="C76" s="3091" t="s">
        <v>2659</v>
      </c>
      <c r="D76" s="3091" t="s">
        <v>2660</v>
      </c>
      <c r="E76" s="3117">
        <v>0.15</v>
      </c>
      <c r="F76" s="3117">
        <v>20</v>
      </c>
    </row>
    <row r="77" spans="1:7" ht="24">
      <c r="A77" s="3117">
        <v>5</v>
      </c>
      <c r="B77" s="3764"/>
      <c r="C77" s="3091" t="s">
        <v>2661</v>
      </c>
      <c r="D77" s="3091" t="s">
        <v>2662</v>
      </c>
      <c r="E77" s="3117">
        <v>0.15</v>
      </c>
      <c r="F77" s="3117">
        <v>20</v>
      </c>
    </row>
    <row r="78" spans="1:7" ht="24">
      <c r="A78" s="3117">
        <v>6</v>
      </c>
      <c r="B78" s="3764"/>
      <c r="C78" s="3091" t="s">
        <v>2663</v>
      </c>
      <c r="D78" s="3091" t="s">
        <v>2664</v>
      </c>
      <c r="E78" s="3117">
        <v>0.15</v>
      </c>
      <c r="F78" s="3117">
        <v>20</v>
      </c>
    </row>
    <row r="79" spans="1:7" ht="24">
      <c r="A79" s="3117">
        <v>7</v>
      </c>
      <c r="B79" s="3764"/>
      <c r="C79" s="3091" t="s">
        <v>2665</v>
      </c>
      <c r="D79" s="3091" t="s">
        <v>2666</v>
      </c>
      <c r="E79" s="3117">
        <v>0.15</v>
      </c>
      <c r="F79" s="3117">
        <v>20</v>
      </c>
    </row>
    <row r="80" spans="1:7" ht="24">
      <c r="A80" s="3117">
        <v>8</v>
      </c>
      <c r="B80" s="3764"/>
      <c r="C80" s="3091" t="s">
        <v>2667</v>
      </c>
      <c r="D80" s="3091" t="s">
        <v>2668</v>
      </c>
      <c r="E80" s="3117">
        <v>0.1</v>
      </c>
      <c r="F80" s="3117">
        <v>15</v>
      </c>
    </row>
    <row r="81" spans="1:6" ht="24">
      <c r="A81" s="3117">
        <v>9</v>
      </c>
      <c r="B81" s="3764"/>
      <c r="C81" s="3091" t="s">
        <v>2669</v>
      </c>
      <c r="D81" s="3091" t="s">
        <v>2670</v>
      </c>
      <c r="E81" s="3117">
        <v>0.1</v>
      </c>
      <c r="F81" s="3117">
        <v>15</v>
      </c>
    </row>
    <row r="82" spans="1:6" ht="24">
      <c r="A82" s="3117">
        <v>10</v>
      </c>
      <c r="B82" s="3764"/>
      <c r="C82" s="3091" t="s">
        <v>2671</v>
      </c>
      <c r="D82" s="3091" t="s">
        <v>2672</v>
      </c>
      <c r="E82" s="3117">
        <v>0.1</v>
      </c>
      <c r="F82" s="3117">
        <v>15</v>
      </c>
    </row>
    <row r="83" spans="1:6" ht="24">
      <c r="A83" s="3117">
        <v>11</v>
      </c>
      <c r="B83" s="3764"/>
      <c r="C83" s="3091" t="s">
        <v>2673</v>
      </c>
      <c r="D83" s="3091" t="s">
        <v>2674</v>
      </c>
      <c r="E83" s="3117">
        <v>0.1</v>
      </c>
      <c r="F83" s="3117">
        <v>15</v>
      </c>
    </row>
    <row r="84" spans="1:6" ht="24">
      <c r="A84" s="3117">
        <v>12</v>
      </c>
      <c r="B84" s="3764"/>
      <c r="C84" s="3091" t="s">
        <v>2675</v>
      </c>
      <c r="D84" s="3091" t="s">
        <v>2676</v>
      </c>
      <c r="E84" s="3117">
        <v>0.1</v>
      </c>
      <c r="F84" s="3117">
        <v>15</v>
      </c>
    </row>
    <row r="85" spans="1:6" ht="24">
      <c r="A85" s="3117">
        <v>13</v>
      </c>
      <c r="B85" s="3764"/>
      <c r="C85" s="3091" t="s">
        <v>2677</v>
      </c>
      <c r="D85" s="3091" t="s">
        <v>2678</v>
      </c>
      <c r="E85" s="3117">
        <v>0.1</v>
      </c>
      <c r="F85" s="3117">
        <v>15</v>
      </c>
    </row>
    <row r="86" spans="1:6" ht="24">
      <c r="A86" s="3117">
        <v>14</v>
      </c>
      <c r="B86" s="3764"/>
      <c r="C86" s="3091" t="s">
        <v>2679</v>
      </c>
      <c r="D86" s="3091" t="s">
        <v>2680</v>
      </c>
      <c r="E86" s="3117">
        <v>0.1</v>
      </c>
      <c r="F86" s="3117">
        <v>15</v>
      </c>
    </row>
    <row r="87" spans="1:6" ht="24">
      <c r="A87" s="3117">
        <v>15</v>
      </c>
      <c r="B87" s="3764"/>
      <c r="C87" s="3091" t="s">
        <v>2681</v>
      </c>
      <c r="D87" s="3091" t="s">
        <v>2682</v>
      </c>
      <c r="E87" s="3117">
        <v>0.1</v>
      </c>
      <c r="F87" s="3117">
        <v>15</v>
      </c>
    </row>
    <row r="88" spans="1:6" ht="24">
      <c r="A88" s="3117">
        <v>16</v>
      </c>
      <c r="B88" s="3764"/>
      <c r="C88" s="3091" t="s">
        <v>2683</v>
      </c>
      <c r="D88" s="3091" t="s">
        <v>2684</v>
      </c>
      <c r="E88" s="3117">
        <v>0.1</v>
      </c>
      <c r="F88" s="3117">
        <v>15</v>
      </c>
    </row>
    <row r="89" spans="1:6" ht="24">
      <c r="A89" s="3117">
        <v>17</v>
      </c>
      <c r="B89" s="3763"/>
      <c r="C89" s="3091" t="s">
        <v>2685</v>
      </c>
      <c r="D89" s="3091" t="s">
        <v>2686</v>
      </c>
      <c r="E89" s="3117">
        <v>0.1</v>
      </c>
      <c r="F89" s="3117">
        <v>15</v>
      </c>
    </row>
    <row r="90" spans="1:6" ht="14.4">
      <c r="A90" s="3117">
        <v>18</v>
      </c>
      <c r="B90" s="3762" t="s">
        <v>2687</v>
      </c>
      <c r="C90" s="3091" t="s">
        <v>2688</v>
      </c>
      <c r="D90" s="3091" t="s">
        <v>2689</v>
      </c>
      <c r="E90" s="3117">
        <v>0.2</v>
      </c>
      <c r="F90" s="3117">
        <v>25</v>
      </c>
    </row>
    <row r="91" spans="1:6" ht="24">
      <c r="A91" s="3117">
        <v>19</v>
      </c>
      <c r="B91" s="3764"/>
      <c r="C91" s="3091" t="s">
        <v>2690</v>
      </c>
      <c r="D91" s="3091" t="s">
        <v>2691</v>
      </c>
      <c r="E91" s="3117">
        <v>0.2</v>
      </c>
      <c r="F91" s="3117">
        <v>25</v>
      </c>
    </row>
    <row r="92" spans="1:6" ht="14.4">
      <c r="A92" s="3117">
        <v>20</v>
      </c>
      <c r="B92" s="3764"/>
      <c r="C92" s="3091" t="s">
        <v>2692</v>
      </c>
      <c r="D92" s="3091" t="s">
        <v>2693</v>
      </c>
      <c r="E92" s="3117">
        <v>0.15</v>
      </c>
      <c r="F92" s="3117">
        <v>20</v>
      </c>
    </row>
    <row r="93" spans="1:6" ht="24">
      <c r="A93" s="3117">
        <v>21</v>
      </c>
      <c r="B93" s="3764"/>
      <c r="C93" s="3091" t="s">
        <v>2694</v>
      </c>
      <c r="D93" s="3091" t="s">
        <v>2695</v>
      </c>
      <c r="E93" s="3117">
        <v>0.15</v>
      </c>
      <c r="F93" s="3117">
        <v>20</v>
      </c>
    </row>
    <row r="94" spans="1:6" ht="24">
      <c r="A94" s="3117">
        <v>22</v>
      </c>
      <c r="B94" s="3764"/>
      <c r="C94" s="3091" t="s">
        <v>2696</v>
      </c>
      <c r="D94" s="3091" t="s">
        <v>2697</v>
      </c>
      <c r="E94" s="3117">
        <v>0.15</v>
      </c>
      <c r="F94" s="3117">
        <v>20</v>
      </c>
    </row>
    <row r="95" spans="1:6" ht="36">
      <c r="A95" s="3117">
        <v>23</v>
      </c>
      <c r="B95" s="3764"/>
      <c r="C95" s="3091" t="s">
        <v>2698</v>
      </c>
      <c r="D95" s="3091" t="s">
        <v>2699</v>
      </c>
      <c r="E95" s="3117">
        <v>0.15</v>
      </c>
      <c r="F95" s="3117">
        <v>20</v>
      </c>
    </row>
    <row r="96" spans="1:6" ht="24">
      <c r="A96" s="3117">
        <v>24</v>
      </c>
      <c r="B96" s="3764"/>
      <c r="C96" s="3091" t="s">
        <v>2700</v>
      </c>
      <c r="D96" s="3091" t="s">
        <v>2701</v>
      </c>
      <c r="E96" s="3117">
        <v>0.1</v>
      </c>
      <c r="F96" s="3117">
        <v>15</v>
      </c>
    </row>
    <row r="97" spans="1:6" ht="24">
      <c r="A97" s="3117">
        <v>25</v>
      </c>
      <c r="B97" s="3764"/>
      <c r="C97" s="3091" t="s">
        <v>2702</v>
      </c>
      <c r="D97" s="3091" t="s">
        <v>2703</v>
      </c>
      <c r="E97" s="3117">
        <v>0.1</v>
      </c>
      <c r="F97" s="3117">
        <v>15</v>
      </c>
    </row>
    <row r="98" spans="1:6" ht="24">
      <c r="A98" s="3117">
        <v>26</v>
      </c>
      <c r="B98" s="3764"/>
      <c r="C98" s="3091" t="s">
        <v>2704</v>
      </c>
      <c r="D98" s="3091" t="s">
        <v>2705</v>
      </c>
      <c r="E98" s="3117">
        <v>0.1</v>
      </c>
      <c r="F98" s="3117">
        <v>15</v>
      </c>
    </row>
    <row r="99" spans="1:6" ht="24">
      <c r="A99" s="3117">
        <v>27</v>
      </c>
      <c r="B99" s="3764"/>
      <c r="C99" s="3091" t="s">
        <v>2706</v>
      </c>
      <c r="D99" s="3091" t="s">
        <v>2707</v>
      </c>
      <c r="E99" s="3117">
        <v>0.1</v>
      </c>
      <c r="F99" s="3117">
        <v>15</v>
      </c>
    </row>
    <row r="100" spans="1:6" ht="24">
      <c r="A100" s="3117">
        <v>28</v>
      </c>
      <c r="B100" s="3764"/>
      <c r="C100" s="3091" t="s">
        <v>2708</v>
      </c>
      <c r="D100" s="3091" t="s">
        <v>2709</v>
      </c>
      <c r="E100" s="3117">
        <v>0.1</v>
      </c>
      <c r="F100" s="3117">
        <v>15</v>
      </c>
    </row>
    <row r="101" spans="1:6" ht="24">
      <c r="A101" s="3117">
        <v>29</v>
      </c>
      <c r="B101" s="3764"/>
      <c r="C101" s="3091" t="s">
        <v>2710</v>
      </c>
      <c r="D101" s="3091" t="s">
        <v>2711</v>
      </c>
      <c r="E101" s="3117">
        <v>0.1</v>
      </c>
      <c r="F101" s="3117">
        <v>15</v>
      </c>
    </row>
    <row r="102" spans="1:6" ht="24">
      <c r="A102" s="3117">
        <v>30</v>
      </c>
      <c r="B102" s="3764"/>
      <c r="C102" s="3091" t="s">
        <v>2712</v>
      </c>
      <c r="D102" s="3091" t="s">
        <v>2713</v>
      </c>
      <c r="E102" s="3117">
        <v>0.1</v>
      </c>
      <c r="F102" s="3117">
        <v>15</v>
      </c>
    </row>
    <row r="103" spans="1:6" ht="24">
      <c r="A103" s="3117">
        <v>31</v>
      </c>
      <c r="B103" s="3764"/>
      <c r="C103" s="3091" t="s">
        <v>2714</v>
      </c>
      <c r="D103" s="3091" t="s">
        <v>2715</v>
      </c>
      <c r="E103" s="3117">
        <v>0.1</v>
      </c>
      <c r="F103" s="3117">
        <v>15</v>
      </c>
    </row>
    <row r="104" spans="1:6" ht="24">
      <c r="A104" s="3117">
        <v>32</v>
      </c>
      <c r="B104" s="3764"/>
      <c r="C104" s="3091" t="s">
        <v>2716</v>
      </c>
      <c r="D104" s="3091" t="s">
        <v>2717</v>
      </c>
      <c r="E104" s="3117">
        <v>0.1</v>
      </c>
      <c r="F104" s="3117">
        <v>15</v>
      </c>
    </row>
    <row r="105" spans="1:6" ht="24">
      <c r="A105" s="3117">
        <v>33</v>
      </c>
      <c r="B105" s="3764"/>
      <c r="C105" s="3091" t="s">
        <v>2718</v>
      </c>
      <c r="D105" s="3091" t="s">
        <v>2719</v>
      </c>
      <c r="E105" s="3117">
        <v>0.1</v>
      </c>
      <c r="F105" s="3117">
        <v>15</v>
      </c>
    </row>
    <row r="106" spans="1:6" ht="24">
      <c r="A106" s="3117">
        <v>34</v>
      </c>
      <c r="B106" s="3763"/>
      <c r="C106" s="3091" t="s">
        <v>2720</v>
      </c>
      <c r="D106" s="3091" t="s">
        <v>2721</v>
      </c>
      <c r="E106" s="3117">
        <v>0.1</v>
      </c>
      <c r="F106" s="3117">
        <v>15</v>
      </c>
    </row>
    <row r="107" spans="1:6" ht="36">
      <c r="A107" s="3117">
        <v>35</v>
      </c>
      <c r="B107" s="3762" t="s">
        <v>2722</v>
      </c>
      <c r="C107" s="3117" t="s">
        <v>2723</v>
      </c>
      <c r="D107" s="3091" t="s">
        <v>2724</v>
      </c>
      <c r="E107" s="3117">
        <v>0.15</v>
      </c>
      <c r="F107" s="3117">
        <v>20</v>
      </c>
    </row>
    <row r="108" spans="1:6" ht="24">
      <c r="A108" s="3117">
        <v>36</v>
      </c>
      <c r="B108" s="3764"/>
      <c r="C108" s="3117" t="s">
        <v>2725</v>
      </c>
      <c r="D108" s="3091" t="s">
        <v>2726</v>
      </c>
      <c r="E108" s="3117">
        <v>0.15</v>
      </c>
      <c r="F108" s="3117">
        <v>20</v>
      </c>
    </row>
    <row r="109" spans="1:6" ht="24">
      <c r="A109" s="3117">
        <v>37</v>
      </c>
      <c r="B109" s="3764"/>
      <c r="C109" s="3117" t="s">
        <v>2727</v>
      </c>
      <c r="D109" s="3091" t="s">
        <v>2728</v>
      </c>
      <c r="E109" s="3117">
        <v>0.15</v>
      </c>
      <c r="F109" s="3117">
        <v>20</v>
      </c>
    </row>
    <row r="110" spans="1:6" ht="24">
      <c r="A110" s="3117">
        <v>38</v>
      </c>
      <c r="B110" s="3764"/>
      <c r="C110" s="3117" t="s">
        <v>2729</v>
      </c>
      <c r="D110" s="3091" t="s">
        <v>2730</v>
      </c>
      <c r="E110" s="3117">
        <v>0.1</v>
      </c>
      <c r="F110" s="3117">
        <v>15</v>
      </c>
    </row>
    <row r="111" spans="1:6" ht="24">
      <c r="A111" s="3117">
        <v>39</v>
      </c>
      <c r="B111" s="3764"/>
      <c r="C111" s="3117" t="s">
        <v>2731</v>
      </c>
      <c r="D111" s="3091" t="s">
        <v>2732</v>
      </c>
      <c r="E111" s="3117">
        <v>0.1</v>
      </c>
      <c r="F111" s="3117">
        <v>15</v>
      </c>
    </row>
    <row r="112" spans="1:6" ht="24">
      <c r="A112" s="3117">
        <v>40</v>
      </c>
      <c r="B112" s="3763"/>
      <c r="C112" s="3117" t="s">
        <v>2733</v>
      </c>
      <c r="D112" s="3091" t="s">
        <v>2734</v>
      </c>
      <c r="E112" s="3117">
        <v>0.1</v>
      </c>
      <c r="F112" s="3117">
        <v>15</v>
      </c>
    </row>
    <row r="113" spans="1:6" ht="24">
      <c r="A113" s="3117">
        <v>41</v>
      </c>
      <c r="B113" s="3761" t="s">
        <v>2735</v>
      </c>
      <c r="C113" s="3117" t="s">
        <v>2736</v>
      </c>
      <c r="D113" s="3091" t="s">
        <v>2737</v>
      </c>
      <c r="E113" s="3117">
        <v>0.1</v>
      </c>
      <c r="F113" s="3117">
        <v>15</v>
      </c>
    </row>
    <row r="114" spans="1:6" ht="24">
      <c r="A114" s="3117">
        <v>42</v>
      </c>
      <c r="B114" s="3761"/>
      <c r="C114" s="3117" t="s">
        <v>2738</v>
      </c>
      <c r="D114" s="3091" t="s">
        <v>2739</v>
      </c>
      <c r="E114" s="3117">
        <v>0.1</v>
      </c>
      <c r="F114" s="3117">
        <v>15</v>
      </c>
    </row>
    <row r="115" spans="1:6" ht="24">
      <c r="A115" s="3117">
        <v>43</v>
      </c>
      <c r="B115" s="3761"/>
      <c r="C115" s="3117" t="s">
        <v>2740</v>
      </c>
      <c r="D115" s="3091" t="s">
        <v>2741</v>
      </c>
      <c r="E115" s="3117">
        <v>0.1</v>
      </c>
      <c r="F115" s="3117">
        <v>15</v>
      </c>
    </row>
    <row r="116" spans="1:6" ht="24">
      <c r="A116" s="3117">
        <v>44</v>
      </c>
      <c r="B116" s="3762" t="s">
        <v>2742</v>
      </c>
      <c r="C116" s="3117" t="s">
        <v>2743</v>
      </c>
      <c r="D116" s="3091" t="s">
        <v>2744</v>
      </c>
      <c r="E116" s="3117">
        <v>0.1</v>
      </c>
      <c r="F116" s="3117">
        <v>15</v>
      </c>
    </row>
    <row r="117" spans="1:6" ht="24">
      <c r="A117" s="3117">
        <v>45</v>
      </c>
      <c r="B117" s="3763"/>
      <c r="C117" s="3091" t="s">
        <v>2745</v>
      </c>
      <c r="D117" s="3091" t="s">
        <v>2746</v>
      </c>
      <c r="E117" s="3117">
        <v>0.1</v>
      </c>
      <c r="F117" s="3117">
        <v>15</v>
      </c>
    </row>
    <row r="118" spans="1:6" ht="24">
      <c r="A118" s="3117">
        <v>46</v>
      </c>
      <c r="B118" s="3762" t="s">
        <v>2747</v>
      </c>
      <c r="C118" s="3117" t="s">
        <v>2748</v>
      </c>
      <c r="D118" s="3091" t="s">
        <v>2749</v>
      </c>
      <c r="E118" s="3117">
        <v>0.1</v>
      </c>
      <c r="F118" s="3117">
        <v>15</v>
      </c>
    </row>
    <row r="119" spans="1:6" ht="24">
      <c r="A119" s="3117">
        <v>47</v>
      </c>
      <c r="B119" s="3763"/>
      <c r="C119" s="3117" t="s">
        <v>2750</v>
      </c>
      <c r="D119" s="3091" t="s">
        <v>2751</v>
      </c>
      <c r="E119" s="3117">
        <v>0.1</v>
      </c>
      <c r="F119" s="3117">
        <v>15</v>
      </c>
    </row>
    <row r="120" spans="1:6" ht="24">
      <c r="A120" s="3117">
        <v>48</v>
      </c>
      <c r="B120" s="3762" t="s">
        <v>2752</v>
      </c>
      <c r="C120" s="3117" t="s">
        <v>2753</v>
      </c>
      <c r="D120" s="3091" t="s">
        <v>2754</v>
      </c>
      <c r="E120" s="3117">
        <v>0.1</v>
      </c>
      <c r="F120" s="3117">
        <v>15</v>
      </c>
    </row>
    <row r="121" spans="1:6" ht="24">
      <c r="A121" s="3117">
        <v>49</v>
      </c>
      <c r="B121" s="3763"/>
      <c r="C121" s="3117" t="s">
        <v>2755</v>
      </c>
      <c r="D121" s="3091" t="s">
        <v>2756</v>
      </c>
      <c r="E121" s="3117">
        <v>0.1</v>
      </c>
      <c r="F121" s="3117">
        <v>15</v>
      </c>
    </row>
    <row r="122" spans="1:6" ht="24">
      <c r="A122" s="3117">
        <v>50</v>
      </c>
      <c r="B122" s="3761" t="s">
        <v>2757</v>
      </c>
      <c r="C122" s="3117" t="s">
        <v>2758</v>
      </c>
      <c r="D122" s="3091" t="s">
        <v>2759</v>
      </c>
      <c r="E122" s="3117">
        <v>0.1</v>
      </c>
      <c r="F122" s="3117">
        <v>15</v>
      </c>
    </row>
    <row r="123" spans="1:6" ht="24">
      <c r="A123" s="3117">
        <v>51</v>
      </c>
      <c r="B123" s="3761"/>
      <c r="C123" s="3117" t="s">
        <v>2760</v>
      </c>
      <c r="D123" s="3091" t="s">
        <v>2761</v>
      </c>
      <c r="E123" s="3117">
        <v>0.1</v>
      </c>
      <c r="F123" s="3117">
        <v>15</v>
      </c>
    </row>
    <row r="124" spans="1:6" ht="24">
      <c r="A124" s="3117">
        <v>52</v>
      </c>
      <c r="B124" s="3761" t="s">
        <v>2762</v>
      </c>
      <c r="C124" s="3117" t="s">
        <v>2763</v>
      </c>
      <c r="D124" s="3091" t="s">
        <v>2764</v>
      </c>
      <c r="E124" s="3117">
        <v>0.1</v>
      </c>
      <c r="F124" s="3117">
        <v>15</v>
      </c>
    </row>
    <row r="125" spans="1:6" ht="24">
      <c r="A125" s="3117">
        <v>53</v>
      </c>
      <c r="B125" s="3761"/>
      <c r="C125" s="3117" t="s">
        <v>2765</v>
      </c>
      <c r="D125" s="3091" t="s">
        <v>2766</v>
      </c>
      <c r="E125" s="3117">
        <v>0.1</v>
      </c>
      <c r="F125" s="3117">
        <v>15</v>
      </c>
    </row>
    <row r="126" spans="1:6" ht="24">
      <c r="A126" s="3117">
        <v>54</v>
      </c>
      <c r="B126" s="3117" t="s">
        <v>2767</v>
      </c>
      <c r="C126" s="3117" t="s">
        <v>2768</v>
      </c>
      <c r="D126" s="3091" t="s">
        <v>2769</v>
      </c>
      <c r="E126" s="3117">
        <v>0.1</v>
      </c>
      <c r="F126" s="3117">
        <v>15</v>
      </c>
    </row>
    <row r="127" spans="1:6" ht="24">
      <c r="A127" s="3117">
        <v>55</v>
      </c>
      <c r="B127" s="3761" t="s">
        <v>2770</v>
      </c>
      <c r="C127" s="3117" t="s">
        <v>2771</v>
      </c>
      <c r="D127" s="3091" t="s">
        <v>2772</v>
      </c>
      <c r="E127" s="3117">
        <v>0.1</v>
      </c>
      <c r="F127" s="3117">
        <v>15</v>
      </c>
    </row>
    <row r="128" spans="1:6" ht="24">
      <c r="A128" s="3117">
        <v>56</v>
      </c>
      <c r="B128" s="3761"/>
      <c r="C128" s="3117" t="s">
        <v>2773</v>
      </c>
      <c r="D128" s="3091" t="s">
        <v>2774</v>
      </c>
      <c r="E128" s="3117">
        <v>0.1</v>
      </c>
      <c r="F128" s="3117">
        <v>15</v>
      </c>
    </row>
    <row r="129" spans="1:6" ht="24">
      <c r="A129" s="3117">
        <v>57</v>
      </c>
      <c r="B129" s="3761"/>
      <c r="C129" s="3117" t="s">
        <v>2775</v>
      </c>
      <c r="D129" s="3091" t="s">
        <v>2776</v>
      </c>
      <c r="E129" s="3117">
        <v>0.1</v>
      </c>
      <c r="F129" s="3117">
        <v>15</v>
      </c>
    </row>
    <row r="130" spans="1:6" ht="24">
      <c r="A130" s="3117">
        <v>58</v>
      </c>
      <c r="B130" s="3761" t="s">
        <v>2777</v>
      </c>
      <c r="C130" s="3117" t="s">
        <v>2778</v>
      </c>
      <c r="D130" s="3091" t="s">
        <v>2779</v>
      </c>
      <c r="E130" s="3117">
        <v>0.1</v>
      </c>
      <c r="F130" s="3117">
        <v>15</v>
      </c>
    </row>
    <row r="131" spans="1:6" ht="24">
      <c r="A131" s="3117">
        <v>59</v>
      </c>
      <c r="B131" s="3761"/>
      <c r="C131" s="3117" t="s">
        <v>2780</v>
      </c>
      <c r="D131" s="3091" t="s">
        <v>2781</v>
      </c>
      <c r="E131" s="3117">
        <v>0.1</v>
      </c>
      <c r="F131" s="3117">
        <v>15</v>
      </c>
    </row>
    <row r="132" spans="1:6" ht="24">
      <c r="A132" s="3117">
        <v>60</v>
      </c>
      <c r="B132" s="3762" t="s">
        <v>2782</v>
      </c>
      <c r="C132" s="3117" t="s">
        <v>2783</v>
      </c>
      <c r="D132" s="3091" t="s">
        <v>2784</v>
      </c>
      <c r="E132" s="3117">
        <v>0.1</v>
      </c>
      <c r="F132" s="3117">
        <v>15</v>
      </c>
    </row>
    <row r="133" spans="1:6" ht="24">
      <c r="A133" s="3117">
        <v>61</v>
      </c>
      <c r="B133" s="3763"/>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24">
      <c r="A135" s="3117">
        <v>63</v>
      </c>
      <c r="B135" s="3761" t="s">
        <v>2790</v>
      </c>
      <c r="C135" s="3117" t="s">
        <v>2791</v>
      </c>
      <c r="D135" s="3091" t="s">
        <v>2792</v>
      </c>
      <c r="E135" s="3117">
        <v>0.1</v>
      </c>
      <c r="F135" s="3117">
        <v>15</v>
      </c>
    </row>
    <row r="136" spans="1:6" ht="24">
      <c r="A136" s="3117">
        <v>64</v>
      </c>
      <c r="B136" s="3761"/>
      <c r="C136" s="3117" t="s">
        <v>2793</v>
      </c>
      <c r="D136" s="3091" t="s">
        <v>2794</v>
      </c>
      <c r="E136" s="3117">
        <v>0.1</v>
      </c>
      <c r="F136" s="3117">
        <v>15</v>
      </c>
    </row>
    <row r="137" spans="1:6" ht="24">
      <c r="A137" s="3117">
        <v>65</v>
      </c>
      <c r="B137" s="3117" t="s">
        <v>2795</v>
      </c>
      <c r="C137" s="3117" t="s">
        <v>2796</v>
      </c>
      <c r="D137" s="3091" t="s">
        <v>2797</v>
      </c>
      <c r="E137" s="3117">
        <v>0.1</v>
      </c>
      <c r="F137" s="3117">
        <v>15</v>
      </c>
    </row>
    <row r="138" spans="1:6" ht="14.4">
      <c r="A138" s="3117"/>
      <c r="B138" s="3117"/>
      <c r="C138" s="3117"/>
      <c r="D138" s="3117"/>
      <c r="E138" s="3117" t="s">
        <v>2798</v>
      </c>
      <c r="F138" s="3117"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2799</v>
      </c>
      <c r="B1" s="3126"/>
      <c r="C1" s="3126"/>
      <c r="D1" s="3126"/>
      <c r="E1" s="3126"/>
      <c r="F1" s="3126"/>
      <c r="G1" s="3126"/>
      <c r="H1" s="3126"/>
      <c r="I1" s="3126"/>
      <c r="J1" s="3126"/>
      <c r="K1" s="3126"/>
      <c r="L1" s="3126"/>
      <c r="M1" s="3126"/>
      <c r="N1" s="749"/>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50">
        <f>SUMPRODUCT((A95:A184=ROUNDDOWN(基准地价修正!G3,1))*(B94:M94=基准地价修正!G2)*(B95:M184))</f>
        <v>1.2302</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50">
        <f>SUMPRODUCT((A371:A460=ROUNDDOWN(基准地价修正!G3,1))*(B370:M370=基准地价修正!G2)*(B371:M460))</f>
        <v>1.1198999999999999</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28778</v>
      </c>
      <c r="C2" s="2" t="s">
        <v>106</v>
      </c>
      <c r="D2" s="199"/>
      <c r="E2" s="199"/>
      <c r="F2" s="199"/>
      <c r="G2" s="199"/>
    </row>
    <row r="3" spans="1:7" s="200" customFormat="1" ht="18" customHeight="1" thickBot="1">
      <c r="A3" s="203" t="s">
        <v>58</v>
      </c>
      <c r="B3" s="204">
        <f ca="1">ROUND(B2*10000/'数据-汇总表'!E3,0)</f>
        <v>28627</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201</v>
      </c>
      <c r="D10" s="845">
        <f>'数据-汇总表'!E6</f>
        <v>10052.84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201</v>
      </c>
      <c r="D19" s="849">
        <f>'数据-汇总表'!E3</f>
        <v>10052.84</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725</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6.4">
      <c r="A27" s="777" t="s">
        <v>342</v>
      </c>
      <c r="B27" s="244" t="s">
        <v>85</v>
      </c>
      <c r="C27" s="245">
        <f>C28</f>
        <v>2123</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2123</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26018</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3028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2705</v>
      </c>
      <c r="D34" s="217"/>
      <c r="E34" s="220"/>
      <c r="F34" s="257">
        <f>IF('数据-取费表'!B24=0,1,'数据-取费表'!N16)</f>
        <v>1</v>
      </c>
      <c r="G34" s="219" t="s">
        <v>89</v>
      </c>
    </row>
    <row r="35" spans="1:7" ht="13.5" customHeight="1">
      <c r="A35" s="780" t="s">
        <v>351</v>
      </c>
      <c r="B35" s="215" t="s">
        <v>33</v>
      </c>
      <c r="C35" s="220">
        <f>ROUND(C34*F35,0)</f>
        <v>81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201</v>
      </c>
      <c r="D37" s="217">
        <f>'数据-汇总表'!E3</f>
        <v>10052.84</v>
      </c>
      <c r="E37" s="249">
        <f>'数据-取费表'!B35</f>
        <v>200</v>
      </c>
      <c r="F37" s="259"/>
      <c r="G37" s="261" t="s">
        <v>92</v>
      </c>
    </row>
    <row r="38" spans="1:7" ht="13.5" customHeight="1">
      <c r="A38" s="780" t="s">
        <v>354</v>
      </c>
      <c r="B38" s="215" t="s">
        <v>36</v>
      </c>
      <c r="C38" s="220">
        <f>ROUND(C34*F38,0)</f>
        <v>41</v>
      </c>
      <c r="D38" s="220"/>
      <c r="E38" s="220"/>
      <c r="F38" s="259">
        <f>'数据-取费表'!B36</f>
        <v>1.4999999999999999E-2</v>
      </c>
      <c r="G38" s="219" t="s">
        <v>90</v>
      </c>
    </row>
    <row r="39" spans="1:7" s="214" customFormat="1" ht="13.5" customHeight="1">
      <c r="A39" s="777" t="s">
        <v>338</v>
      </c>
      <c r="B39" s="210" t="s">
        <v>77</v>
      </c>
      <c r="C39" s="232">
        <f>ROUND(C33*F20,0)</f>
        <v>61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53</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52</v>
      </c>
      <c r="D42" s="238"/>
      <c r="E42" s="238"/>
      <c r="F42" s="239"/>
      <c r="G42" s="3637" t="s">
        <v>94</v>
      </c>
    </row>
    <row r="43" spans="1:7" ht="13.5" customHeight="1">
      <c r="A43" s="780" t="s">
        <v>347</v>
      </c>
      <c r="B43" s="215" t="s">
        <v>426</v>
      </c>
      <c r="C43" s="238">
        <f ca="1">ROUND(IF('数据-取费表'!B22&lt;=1,C39*F22*'数据-取费表'!B21/2,C39*(POWER((1+F22),'数据-取费表'!B21/2)-1)),0)</f>
        <v>1</v>
      </c>
      <c r="D43" s="238"/>
      <c r="E43" s="238"/>
      <c r="F43" s="239"/>
      <c r="G43" s="3638"/>
    </row>
    <row r="44" spans="1:7" ht="13.5" customHeight="1">
      <c r="A44" s="780" t="s">
        <v>348</v>
      </c>
      <c r="B44" s="215" t="s">
        <v>428</v>
      </c>
      <c r="C44" s="238">
        <f ca="1">ROUND(IF('数据-取费表'!B22&lt;=1,C40*F22*'数据-取费表'!B21/2,C40*(POWER((1+F22),'数据-取费表'!B21/2)-1)),4)</f>
        <v>2.9999999999999997E-4</v>
      </c>
      <c r="D44" s="238"/>
      <c r="E44" s="238"/>
      <c r="F44" s="239"/>
      <c r="G44" s="3639"/>
    </row>
    <row r="45" spans="1:7" s="214" customFormat="1" ht="13.5" customHeight="1">
      <c r="A45" s="777" t="s">
        <v>341</v>
      </c>
      <c r="B45" s="244" t="s">
        <v>85</v>
      </c>
      <c r="C45" s="245">
        <f>C46</f>
        <v>309</v>
      </c>
      <c r="D45" s="235">
        <f>C47</f>
        <v>2E-3</v>
      </c>
      <c r="E45" s="236" t="s">
        <v>102</v>
      </c>
      <c r="F45" s="246"/>
      <c r="G45" s="247" t="s">
        <v>434</v>
      </c>
    </row>
    <row r="46" spans="1:7" s="214" customFormat="1" ht="13.5" customHeight="1">
      <c r="A46" s="780" t="s">
        <v>349</v>
      </c>
      <c r="B46" s="248" t="s">
        <v>427</v>
      </c>
      <c r="C46" s="249">
        <f>ROUND((C33+C39)*F27,0)</f>
        <v>309</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3730</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2760</v>
      </c>
      <c r="D51" s="232"/>
      <c r="E51" s="232"/>
      <c r="F51" s="264"/>
      <c r="G51" s="234" t="s">
        <v>37</v>
      </c>
    </row>
    <row r="52" spans="1:7" s="208" customFormat="1" ht="16.8" thickBot="1">
      <c r="A52" s="265" t="s">
        <v>38</v>
      </c>
      <c r="B52" s="266"/>
      <c r="C52" s="267">
        <f ca="1">C31+C51</f>
        <v>28778</v>
      </c>
      <c r="D52" s="266"/>
      <c r="E52" s="266"/>
      <c r="F52" s="266"/>
      <c r="G52" s="268"/>
    </row>
    <row r="55" spans="1:7" ht="15">
      <c r="B55" s="270" t="s">
        <v>39</v>
      </c>
      <c r="C55" s="271"/>
    </row>
    <row r="56" spans="1:7">
      <c r="B56" s="273" t="s">
        <v>40</v>
      </c>
      <c r="C56" s="274">
        <f ca="1">ROUND(C51/C52,3)</f>
        <v>9.6000000000000002E-2</v>
      </c>
    </row>
    <row r="57" spans="1:7">
      <c r="B57" s="273" t="s">
        <v>41</v>
      </c>
      <c r="C57" s="275">
        <f ca="1">1-C56</f>
        <v>0.90400000000000003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7.399999999999999">
      <c r="A3" s="3460" t="str">
        <f>IF(项目基本情况!B9="房地产市场价值","估价结果一览表（市场价值不需“结果表-1”）","估价结果一览表")</f>
        <v>估价结果一览表</v>
      </c>
      <c r="B3" s="3460"/>
      <c r="C3" s="3460"/>
      <c r="D3" s="3460"/>
      <c r="E3" s="3460"/>
    </row>
    <row r="4" spans="1:5" ht="18" thickBot="1">
      <c r="A4" s="1493"/>
      <c r="B4" s="3458" t="s">
        <v>917</v>
      </c>
      <c r="C4" s="3458"/>
      <c r="D4" s="3458"/>
      <c r="E4" s="1493"/>
    </row>
    <row r="5" spans="1:5" ht="16.2" thickTop="1">
      <c r="A5" s="1491"/>
      <c r="B5" s="3456" t="s">
        <v>909</v>
      </c>
      <c r="C5" s="1494" t="s">
        <v>910</v>
      </c>
      <c r="D5" s="850">
        <f ca="1">结果表!H101</f>
        <v>5319</v>
      </c>
      <c r="E5" s="1491"/>
    </row>
    <row r="6" spans="1:5" ht="15.6">
      <c r="A6" s="1491"/>
      <c r="B6" s="3456"/>
      <c r="C6" s="1494" t="s">
        <v>911</v>
      </c>
      <c r="D6" s="850" t="str">
        <f ca="1">NUMBERSTRING(INT(D5*10000),2)&amp;"元整"</f>
        <v>伍仟叁佰壹拾玖万元整</v>
      </c>
      <c r="E6" s="1491"/>
    </row>
    <row r="7" spans="1:5" ht="15.6">
      <c r="A7" s="1491"/>
      <c r="B7" s="3461"/>
      <c r="C7" s="1495" t="s">
        <v>912</v>
      </c>
      <c r="D7" s="851">
        <f ca="1">结果表!H102</f>
        <v>5291</v>
      </c>
      <c r="E7" s="1491"/>
    </row>
    <row r="8" spans="1:5" ht="15.6">
      <c r="A8" s="1491"/>
      <c r="B8" s="3462" t="str">
        <f>结果表!E103</f>
        <v>2.估价师知悉的法定优先受偿款</v>
      </c>
      <c r="C8" s="1496" t="s">
        <v>913</v>
      </c>
      <c r="D8" s="851">
        <f>结果表!H103</f>
        <v>0</v>
      </c>
      <c r="E8" s="1491"/>
    </row>
    <row r="9" spans="1:5" ht="15.6">
      <c r="A9" s="1491"/>
      <c r="B9" s="3464"/>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55" t="str">
        <f>结果表!E107</f>
        <v>3.房地产抵押价值</v>
      </c>
      <c r="C13" s="1499" t="s">
        <v>910</v>
      </c>
      <c r="D13" s="853">
        <f ca="1">结果表!H107</f>
        <v>5319</v>
      </c>
      <c r="E13" s="1491"/>
    </row>
    <row r="14" spans="1:5" ht="15.6">
      <c r="A14" s="1491"/>
      <c r="B14" s="3456"/>
      <c r="C14" s="1494" t="s">
        <v>911</v>
      </c>
      <c r="D14" s="850" t="str">
        <f ca="1">NUMBERSTRING(INT(D13*10000),2)&amp;"元整"</f>
        <v>伍仟叁佰壹拾玖万元整</v>
      </c>
      <c r="E14" s="1491"/>
    </row>
    <row r="15" spans="1:5" ht="15.6">
      <c r="A15" s="1491"/>
      <c r="B15" s="3461"/>
      <c r="C15" s="1495" t="s">
        <v>921</v>
      </c>
      <c r="D15" s="859">
        <f ca="1">结果表!H108</f>
        <v>5291</v>
      </c>
      <c r="E15" s="1491"/>
    </row>
    <row r="16" spans="1:5" ht="15.6">
      <c r="A16" s="1491"/>
      <c r="B16" s="3462" t="str">
        <f>结果表!E109</f>
        <v>——</v>
      </c>
      <c r="C16" s="1499" t="s">
        <v>922</v>
      </c>
      <c r="D16" s="1500" t="str">
        <f>结果表!H109</f>
        <v>——</v>
      </c>
      <c r="E16" s="1491"/>
    </row>
    <row r="17" spans="1:5" ht="15.6">
      <c r="A17" s="1491"/>
      <c r="B17" s="3463"/>
      <c r="C17" s="1494" t="s">
        <v>923</v>
      </c>
      <c r="D17" s="850" t="e">
        <f>NUMBERSTRING(INT(D16*10000),2)&amp;"元整"</f>
        <v>#VALUE!</v>
      </c>
      <c r="E17" s="1491"/>
    </row>
    <row r="18" spans="1:5" ht="15.6">
      <c r="A18" s="1491"/>
      <c r="B18" s="3464"/>
      <c r="C18" s="1495" t="s">
        <v>912</v>
      </c>
      <c r="D18" s="859" t="str">
        <f>结果表!H110</f>
        <v>——</v>
      </c>
      <c r="E18" s="1491"/>
    </row>
    <row r="19" spans="1:5" ht="15.6">
      <c r="A19" s="1491"/>
      <c r="B19" s="3455" t="str">
        <f>结果表!E111</f>
        <v>——</v>
      </c>
      <c r="C19" s="1499" t="s">
        <v>910</v>
      </c>
      <c r="D19" s="851" t="str">
        <f>结果表!H111</f>
        <v>——</v>
      </c>
      <c r="E19" s="1491"/>
    </row>
    <row r="20" spans="1:5" ht="15.6">
      <c r="A20" s="1491"/>
      <c r="B20" s="3456"/>
      <c r="C20" s="1494" t="s">
        <v>923</v>
      </c>
      <c r="D20" s="850" t="e">
        <f>NUMBERSTRING(INT(D19*10000),2)&amp;"元整"</f>
        <v>#VALUE!</v>
      </c>
      <c r="E20" s="1491"/>
    </row>
    <row r="21" spans="1:5" ht="16.2" thickBot="1">
      <c r="A21" s="1491"/>
      <c r="B21" s="3457"/>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6:K11"/>
  <sheetViews>
    <sheetView workbookViewId="0">
      <selection activeCell="K8" sqref="K8"/>
    </sheetView>
  </sheetViews>
  <sheetFormatPr defaultRowHeight="14.4"/>
  <sheetData>
    <row r="6" spans="7:11">
      <c r="G6">
        <v>1</v>
      </c>
      <c r="H6">
        <f>'数据-基础表'!AL13</f>
        <v>104.01</v>
      </c>
      <c r="I6" s="3452" t="s">
        <v>3417</v>
      </c>
      <c r="J6">
        <f>ROUND(1-(1-2%)*(2023-2008)/50,2)</f>
        <v>0.71</v>
      </c>
      <c r="K6">
        <v>2200</v>
      </c>
    </row>
    <row r="7" spans="7:11">
      <c r="G7">
        <v>2</v>
      </c>
      <c r="H7">
        <f>'数据-基础表'!AL14</f>
        <v>68.349999999999994</v>
      </c>
      <c r="I7" s="3452" t="s">
        <v>3418</v>
      </c>
      <c r="J7">
        <f>ROUND(1-(1-2%)*(2023-2008)/70,2)</f>
        <v>0.79</v>
      </c>
      <c r="K7">
        <v>2200</v>
      </c>
    </row>
    <row r="8" spans="7:11">
      <c r="G8">
        <v>3</v>
      </c>
      <c r="H8">
        <f>'数据-基础表'!I15+'数据-基础表'!I16</f>
        <v>8790.44</v>
      </c>
      <c r="I8" s="3452" t="s">
        <v>3417</v>
      </c>
      <c r="J8">
        <f>ROUND(1-(1-2%)*(2023-2008)/50,2)</f>
        <v>0.71</v>
      </c>
      <c r="K8">
        <v>2800</v>
      </c>
    </row>
    <row r="9" spans="7:11">
      <c r="G9">
        <v>4</v>
      </c>
      <c r="H9">
        <f>'数据-基础表'!I18</f>
        <v>1060.1199999999999</v>
      </c>
      <c r="I9" s="3452" t="s">
        <v>3417</v>
      </c>
      <c r="J9">
        <f>ROUND(1-(1-2%)*(2023-2008)/50,2)</f>
        <v>0.71</v>
      </c>
      <c r="K9">
        <v>2500</v>
      </c>
    </row>
    <row r="10" spans="7:11">
      <c r="G10">
        <v>5</v>
      </c>
      <c r="H10">
        <f>'数据-基础表'!AL17</f>
        <v>29.92</v>
      </c>
      <c r="I10" s="3452" t="s">
        <v>3419</v>
      </c>
      <c r="J10">
        <f>ROUND(1-(1-0%)*(2023-2008)/60,2)</f>
        <v>0.75</v>
      </c>
      <c r="K10">
        <v>2200</v>
      </c>
    </row>
    <row r="11" spans="7:11">
      <c r="H11">
        <f>SUM(H6:H10)</f>
        <v>10052.840000000002</v>
      </c>
      <c r="J11">
        <f>ROUND((H6*J6+H7*J7+H8*J8+H9*J9+H10*J10)/H11,2)</f>
        <v>0.71</v>
      </c>
      <c r="K11">
        <f>ROUND((H6*K6+H7*K7+H8*K8+H9*K9+H10*K10)/H11,0)</f>
        <v>2756</v>
      </c>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775" t="s">
        <v>2842</v>
      </c>
      <c r="B1" s="3775"/>
      <c r="C1" s="3775"/>
      <c r="D1" s="3775"/>
      <c r="E1" s="3775"/>
      <c r="F1" s="3775"/>
      <c r="G1" s="3776"/>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1.4"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73" t="s">
        <v>2869</v>
      </c>
      <c r="B3" s="3229"/>
      <c r="C3" s="3230" t="s">
        <v>2812</v>
      </c>
      <c r="D3" s="3230" t="s">
        <v>2870</v>
      </c>
      <c r="E3" s="3230" t="s">
        <v>2814</v>
      </c>
      <c r="F3" s="3230" t="s">
        <v>2871</v>
      </c>
      <c r="G3" s="3230" t="s">
        <v>2632</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1.4" thickBot="1">
      <c r="A4" s="3774"/>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1.4"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1.4"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1.4"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1.4"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777" t="s">
        <v>3184</v>
      </c>
      <c r="B1" s="3777"/>
    </row>
    <row r="2" spans="1:7" ht="15" thickBot="1">
      <c r="A2" s="3254"/>
      <c r="B2" s="3254"/>
    </row>
    <row r="3" spans="1:7" ht="15" thickBot="1">
      <c r="A3" s="3254"/>
      <c r="B3" s="3254"/>
      <c r="C3" s="3255" t="s">
        <v>2812</v>
      </c>
      <c r="D3" s="3255" t="s">
        <v>2870</v>
      </c>
      <c r="E3" s="3255" t="s">
        <v>2814</v>
      </c>
      <c r="F3" s="3255" t="s">
        <v>2871</v>
      </c>
      <c r="G3" s="3255" t="s">
        <v>2632</v>
      </c>
    </row>
    <row r="4" spans="1:7" ht="1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778" t="s">
        <v>3235</v>
      </c>
      <c r="B1" s="3778"/>
      <c r="C1" s="3778"/>
      <c r="D1" s="3778"/>
      <c r="E1" s="3778"/>
      <c r="F1" s="3779"/>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U42" sqref="U42"/>
    </sheetView>
  </sheetViews>
  <sheetFormatPr defaultRowHeight="14.4"/>
  <cols>
    <col min="1" max="1" width="13.88671875" customWidth="1"/>
    <col min="11" max="17" width="0" hidden="1" customWidth="1"/>
    <col min="25" max="30" width="0" hidden="1" customWidth="1"/>
  </cols>
  <sheetData>
    <row r="1" spans="1:30">
      <c r="A1" s="3220">
        <f>基准地价修正!G23</f>
        <v>45224</v>
      </c>
      <c r="B1" s="3209" t="s">
        <v>2841</v>
      </c>
      <c r="C1" s="3210"/>
      <c r="D1" s="3210"/>
      <c r="E1" s="3210"/>
      <c r="F1" s="3210"/>
      <c r="G1" s="3210"/>
      <c r="H1" s="3210"/>
      <c r="I1" s="3210"/>
      <c r="J1" s="3164"/>
      <c r="K1" s="3210" t="s">
        <v>454</v>
      </c>
      <c r="L1" s="3210"/>
      <c r="M1" s="3210"/>
      <c r="N1" s="3210"/>
      <c r="O1" s="3210"/>
      <c r="P1" s="3210"/>
      <c r="Q1" s="3164"/>
      <c r="R1" s="3780" t="s">
        <v>456</v>
      </c>
      <c r="S1" s="3781"/>
      <c r="T1" s="3781"/>
      <c r="U1" s="3781"/>
      <c r="V1" s="3781"/>
      <c r="W1" s="3781"/>
      <c r="X1" s="3164"/>
      <c r="Y1" s="3780" t="s">
        <v>457</v>
      </c>
      <c r="Z1" s="3781"/>
      <c r="AA1" s="3781"/>
      <c r="AB1" s="3781"/>
      <c r="AC1" s="3781"/>
      <c r="AD1" s="3781"/>
    </row>
    <row r="2" spans="1:30" s="3142" customFormat="1" ht="1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3.2">
      <c r="A3" s="3148" t="s">
        <v>2820</v>
      </c>
      <c r="B3" s="3149"/>
      <c r="C3" s="3150"/>
      <c r="D3" s="3150">
        <f>ROUND(AVERAGEIF(D4:D16,"&lt;&gt;0"),2)</f>
        <v>0.78</v>
      </c>
      <c r="E3" s="3150">
        <f t="shared" ref="E3:H3" si="0">ROUND(AVERAGEIF(E4:E16,"&lt;&gt;0"),2)</f>
        <v>0.41</v>
      </c>
      <c r="F3" s="3150">
        <f t="shared" si="0"/>
        <v>0.23</v>
      </c>
      <c r="G3" s="3150">
        <f t="shared" si="0"/>
        <v>0.84</v>
      </c>
      <c r="H3" s="3150">
        <f t="shared" si="0"/>
        <v>0.63</v>
      </c>
      <c r="I3" s="3150">
        <f>F3</f>
        <v>0.23</v>
      </c>
      <c r="J3" s="3151"/>
      <c r="K3" s="3152">
        <f>ROUND(AVERAGEIF(K4:K16,"&lt;&gt;0"),4)</f>
        <v>7.7999999999999996E-3</v>
      </c>
      <c r="L3" s="3153">
        <f t="shared" ref="L3:O3" si="1">ROUND(AVERAGEIF(L4:L16,"&lt;&gt;0"),4)</f>
        <v>4.1000000000000003E-3</v>
      </c>
      <c r="M3" s="3153">
        <f t="shared" si="1"/>
        <v>2.3E-3</v>
      </c>
      <c r="N3" s="3153">
        <f t="shared" si="1"/>
        <v>8.3999999999999995E-3</v>
      </c>
      <c r="O3" s="3153">
        <f t="shared" si="1"/>
        <v>6.3E-3</v>
      </c>
      <c r="P3" s="3153">
        <f>M3</f>
        <v>2.3E-3</v>
      </c>
      <c r="Q3" s="3151"/>
      <c r="R3" s="3154">
        <f>ROUND(SUMPRODUCT(PRODUCT(1+K4:K16)),4)</f>
        <v>1.0888</v>
      </c>
      <c r="S3" s="3155">
        <f t="shared" ref="S3:V3" si="2">ROUND(SUMPRODUCT(PRODUCT(1+L4:L16)),4)</f>
        <v>1.0463</v>
      </c>
      <c r="T3" s="3155">
        <f t="shared" si="2"/>
        <v>1.0257000000000001</v>
      </c>
      <c r="U3" s="3155">
        <f t="shared" si="2"/>
        <v>1.0961000000000001</v>
      </c>
      <c r="V3" s="3155">
        <f t="shared" si="2"/>
        <v>1.0713999999999999</v>
      </c>
      <c r="W3" s="3154">
        <f>T3</f>
        <v>1.0257000000000001</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3175" t="s">
        <v>3371</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1.0783</v>
      </c>
      <c r="S5" s="3182">
        <f>ROUND(IF(项目基本情况!$B$8="出让",SUMPRODUCT(PRODUCT(1+L5:$L$16)),SUMPRODUCT(PRODUCT(1+L5:$L$15))),4)</f>
        <v>1.0447</v>
      </c>
      <c r="T5" s="3182">
        <f>ROUND(IF(项目基本情况!$B$8="出让",SUMPRODUCT(PRODUCT(1+M5:$M$16)),SUMPRODUCT(PRODUCT(1+M5:$M$15))),4)</f>
        <v>1.0282</v>
      </c>
      <c r="U5" s="3182">
        <f>ROUND(IF(项目基本情况!$B$8="出让",SUMPRODUCT(PRODUCT(1+N5:$N$16)),SUMPRODUCT(PRODUCT(1+N5:$N$15))),4)</f>
        <v>1.0841000000000001</v>
      </c>
      <c r="V5" s="3182">
        <f>ROUND(IF(项目基本情况!$B$8="出让",SUMPRODUCT(PRODUCT(1+O5:$O$16)),SUMPRODUCT(PRODUCT(1+O5:$O$15))),4)</f>
        <v>1.0674999999999999</v>
      </c>
      <c r="W5" s="3182">
        <f>T5</f>
        <v>1.0282</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3.2">
      <c r="A6" s="3175" t="s">
        <v>3372</v>
      </c>
      <c r="B6" s="3176">
        <v>2023</v>
      </c>
      <c r="C6" s="3177">
        <v>3</v>
      </c>
      <c r="D6" s="3178">
        <v>0.25</v>
      </c>
      <c r="E6" s="3178">
        <v>0.5</v>
      </c>
      <c r="F6" s="3178">
        <v>0.31</v>
      </c>
      <c r="G6" s="3178">
        <v>0.21</v>
      </c>
      <c r="H6" s="3178">
        <v>0.43</v>
      </c>
      <c r="I6" s="3179">
        <f t="shared" si="4"/>
        <v>0.31</v>
      </c>
      <c r="J6" s="3180"/>
      <c r="K6" s="3181">
        <f t="shared" ref="K6:K8" si="8">D6/100</f>
        <v>2.5000000000000001E-3</v>
      </c>
      <c r="L6" s="3171">
        <f t="shared" ref="L6:L8" si="9">E6/100</f>
        <v>5.0000000000000001E-3</v>
      </c>
      <c r="M6" s="3171">
        <f t="shared" ref="M6:M8" si="10">F6/100</f>
        <v>3.0999999999999999E-3</v>
      </c>
      <c r="N6" s="3171">
        <f t="shared" ref="N6:N8" si="11">G6/100</f>
        <v>2.0999999999999999E-3</v>
      </c>
      <c r="O6" s="3171">
        <f t="shared" ref="O6:O8" si="12">H6/100</f>
        <v>4.3E-3</v>
      </c>
      <c r="P6" s="3171">
        <f t="shared" ref="P6:P8" si="13">M6</f>
        <v>3.0999999999999999E-3</v>
      </c>
      <c r="Q6" s="3180"/>
      <c r="R6" s="3182">
        <f>ROUND(IF(项目基本情况!$B$8="出让",SUMPRODUCT(PRODUCT(1+K6:$K$16)),SUMPRODUCT(PRODUCT(1+K6:$K$15))),4)</f>
        <v>1.0783</v>
      </c>
      <c r="S6" s="3182">
        <f>ROUND(IF(项目基本情况!$B$8="出让",SUMPRODUCT(PRODUCT(1+L6:$L$16)),SUMPRODUCT(PRODUCT(1+L6:$L$15))),4)</f>
        <v>1.0447</v>
      </c>
      <c r="T6" s="3182">
        <f>ROUND(IF(项目基本情况!$B$8="出让",SUMPRODUCT(PRODUCT(1+M6:$M$16)),SUMPRODUCT(PRODUCT(1+M6:$M$15))),4)</f>
        <v>1.0282</v>
      </c>
      <c r="U6" s="3182">
        <f>ROUND(IF(项目基本情况!$B$8="出让",SUMPRODUCT(PRODUCT(1+N6:$N$16)),SUMPRODUCT(PRODUCT(1+N6:$N$15))),4)</f>
        <v>1.0841000000000001</v>
      </c>
      <c r="V6" s="3182">
        <f>ROUND(IF(项目基本情况!$B$8="出让",SUMPRODUCT(PRODUCT(1+O6:$O$16)),SUMPRODUCT(PRODUCT(1+O6:$O$15))),4)</f>
        <v>1.0674999999999999</v>
      </c>
      <c r="W6" s="3182">
        <f t="shared" ref="W6:W8" si="14">T6</f>
        <v>1.0282</v>
      </c>
      <c r="X6" s="3180"/>
      <c r="Y6" s="3183"/>
      <c r="Z6" s="3183"/>
      <c r="AA6" s="3183"/>
      <c r="AB6" s="3183"/>
      <c r="AC6" s="3183"/>
      <c r="AD6" s="3183"/>
    </row>
    <row r="7" spans="1:30" s="3194" customFormat="1" ht="13.2">
      <c r="A7" s="3185" t="s">
        <v>3376</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3.2">
      <c r="A8" s="3175" t="s">
        <v>3375</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3.2">
      <c r="A9" s="3175" t="s">
        <v>3373</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ROUND(IF(项目基本情况!B8="出让",SUMPRODUCT(PRODUCT(1+K9:K16)),SUMPRODUCT(PRODUCT(1+K9:K15))),4)</f>
        <v>1.0565</v>
      </c>
      <c r="S9" s="3182">
        <f>ROUND(IF(项目基本情况!B8="出让",SUMPRODUCT(PRODUCT(1+L9:L16)),SUMPRODUCT(PRODUCT(1+L9:L15))),4)</f>
        <v>1.0250999999999999</v>
      </c>
      <c r="T9" s="3182">
        <f>ROUND(IF(项目基本情况!B8="出让",SUMPRODUCT(PRODUCT(1+M9:M16)),SUMPRODUCT(PRODUCT(1+M9:M15))),4)</f>
        <v>1.0145</v>
      </c>
      <c r="U9" s="3182">
        <f>ROUND(IF(项目基本情况!B8="出让",SUMPRODUCT(PRODUCT(1+N9:N16)),SUMPRODUCT(PRODUCT(1+N9:N15))),4)</f>
        <v>1.0618000000000001</v>
      </c>
      <c r="V9" s="3182">
        <f>ROUND(IF(项目基本情况!B8="出让",SUMPRODUCT(PRODUCT(1+O9:O16)),SUMPRODUCT(PRODUCT(1+O9:O15))),4)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3.2">
      <c r="A10" s="3175" t="s">
        <v>3367</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ROUND(IF(项目基本情况!B8="出让",SUMPRODUCT(PRODUCT(1+K10:K16)),SUMPRODUCT(PRODUCT(1+K10:K15))),4)</f>
        <v>1.05</v>
      </c>
      <c r="S10" s="3182">
        <f>ROUND(IF(项目基本情况!B8="出让",SUMPRODUCT(PRODUCT(1+L10:L16)),SUMPRODUCT(PRODUCT(1+L10:L15))),4)</f>
        <v>1.0229999999999999</v>
      </c>
      <c r="T10" s="3182">
        <f>ROUND(IF(项目基本情况!B8="出让",SUMPRODUCT(PRODUCT(1+M10:M16)),SUMPRODUCT(PRODUCT(1+M10:M15))),4)</f>
        <v>1.0134000000000001</v>
      </c>
      <c r="U10" s="3182">
        <f>ROUND(IF(项目基本情况!B8="出让",SUMPRODUCT(PRODUCT(1+N10:N16)),SUMPRODUCT(PRODUCT(1+N10:N15))),4)</f>
        <v>1.0545</v>
      </c>
      <c r="V10" s="3182">
        <f>ROUND(IF(项目基本情况!B8="出让",SUMPRODUCT(PRODUCT(1+O10:O16)),SUMPRODUCT(PRODUCT(1+O10:O15))),4)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3.2">
      <c r="A11" s="3175" t="s">
        <v>3358</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ROUND(IF(项目基本情况!B8="出让",SUMPRODUCT(PRODUCT(1+K11:K16)),SUMPRODUCT(PRODUCT(1+K11:K15))),4)</f>
        <v>1.0430999999999999</v>
      </c>
      <c r="S11" s="3182">
        <f>ROUND(IF(项目基本情况!B8="出让",SUMPRODUCT(PRODUCT(1+L11:L16)),SUMPRODUCT(PRODUCT(1+L11:L15))),4)</f>
        <v>1.0197000000000001</v>
      </c>
      <c r="T11" s="3182">
        <f>ROUND(IF(项目基本情况!B8="出让",SUMPRODUCT(PRODUCT(1+M11:M16)),SUMPRODUCT(PRODUCT(1+M11:M15))),4)</f>
        <v>1.0109999999999999</v>
      </c>
      <c r="U11" s="3182">
        <f>ROUND(IF(项目基本情况!B8="出让",SUMPRODUCT(PRODUCT(1+N11:N16)),SUMPRODUCT(PRODUCT(1+N11:N15))),4)</f>
        <v>1.0468999999999999</v>
      </c>
      <c r="V11" s="3182">
        <f>ROUND(IF(项目基本情况!B8="出让",SUMPRODUCT(PRODUCT(1+O11:O16)),SUMPRODUCT(PRODUCT(1+O11:O15))),4)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3.2">
      <c r="A12" s="3175" t="s">
        <v>2821</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ROUND(IF(项目基本情况!B8="出让",SUMPRODUCT(PRODUCT(1+K12:K16)),SUMPRODUCT(PRODUCT(1+K12:K15))),4)</f>
        <v>1.0335000000000001</v>
      </c>
      <c r="S12" s="3182">
        <f>ROUND(IF(项目基本情况!B8="出让",SUMPRODUCT(PRODUCT(1+L12:L16)),SUMPRODUCT(PRODUCT(1+L12:L15))),4)</f>
        <v>1.0182</v>
      </c>
      <c r="T12" s="3182">
        <f>ROUND(IF(项目基本情况!B8="出让",SUMPRODUCT(PRODUCT(1+M12:M16)),SUMPRODUCT(PRODUCT(1+M12:M15))),4)</f>
        <v>1.0108999999999999</v>
      </c>
      <c r="U12" s="3182">
        <f>ROUND(IF(项目基本情况!B8="出让",SUMPRODUCT(PRODUCT(1+N12:N16)),SUMPRODUCT(PRODUCT(1+N12:N15))),4)</f>
        <v>1.0361</v>
      </c>
      <c r="V12" s="3182">
        <f>ROUND(IF(项目基本情况!B8="出让",SUMPRODUCT(PRODUCT(1+O12:O16)),SUMPRODUCT(PRODUCT(1+O12:O15))),4)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3.2">
      <c r="A13" s="3175" t="s">
        <v>2822</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ROUND(IF(项目基本情况!B8="出让",SUMPRODUCT(PRODUCT(1+K13:K16)),SUMPRODUCT(PRODUCT(1+K13:K15))),4)</f>
        <v>1.0244</v>
      </c>
      <c r="S13" s="3182">
        <f>ROUND(IF(项目基本情况!B8="出让",SUMPRODUCT(PRODUCT(1+L13:L16)),SUMPRODUCT(PRODUCT(1+L13:L15))),4)</f>
        <v>1.0138</v>
      </c>
      <c r="T13" s="3182">
        <f>ROUND(IF(项目基本情况!B8="出让",SUMPRODUCT(PRODUCT(1+M13:M16)),SUMPRODUCT(PRODUCT(1+M13:M15))),4)</f>
        <v>1.0072000000000001</v>
      </c>
      <c r="U13" s="3182">
        <f>ROUND(IF(项目基本情况!B8="出让",SUMPRODUCT(PRODUCT(1+N13:N16)),SUMPRODUCT(PRODUCT(1+N13:N15))),4)</f>
        <v>1.0262</v>
      </c>
      <c r="V13" s="3182">
        <f>ROUND(IF(项目基本情况!B8="出让",SUMPRODUCT(PRODUCT(1+O13:O16)),SUMPRODUCT(PRODUCT(1+O13:O15))),4)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3.2">
      <c r="A14" s="3175" t="s">
        <v>2823</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ROUND(IF(项目基本情况!B8="出让",SUMPRODUCT(PRODUCT(1+K14:K16)),SUMPRODUCT(PRODUCT(1+K14:K15))),4)</f>
        <v>1.0139</v>
      </c>
      <c r="S14" s="3182">
        <f>ROUND(IF(项目基本情况!B8="出让",SUMPRODUCT(PRODUCT(1+L14:L16)),SUMPRODUCT(PRODUCT(1+L14:L15))),4)</f>
        <v>1.0113000000000001</v>
      </c>
      <c r="T14" s="3182">
        <f>ROUND(IF(项目基本情况!B8="出让",SUMPRODUCT(PRODUCT(1+M14:M16)),SUMPRODUCT(PRODUCT(1+M14:M15))),4)</f>
        <v>1.0065</v>
      </c>
      <c r="U14" s="3182">
        <f>ROUND(IF(项目基本情况!B8="出让",SUMPRODUCT(PRODUCT(1+N14:N16)),SUMPRODUCT(PRODUCT(1+N14:N15))),4)</f>
        <v>1.0143</v>
      </c>
      <c r="V14" s="3182">
        <f>ROUND(IF(项目基本情况!B8="出让",SUMPRODUCT(PRODUCT(1+O14:O16)),SUMPRODUCT(PRODUCT(1+O14:O15))),4)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3.2">
      <c r="A15" s="3175" t="s">
        <v>2824</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ROUND(IF(项目基本情况!B8="出让",SUMPRODUCT(PRODUCT(1+K15:K16)),SUMPRODUCT(PRODUCT(1+K15:K15))),4)</f>
        <v>1.0092000000000001</v>
      </c>
      <c r="S15" s="3182">
        <f>ROUND(IF(项目基本情况!B8="出让",SUMPRODUCT(PRODUCT(1+L15:L16)),SUMPRODUCT(PRODUCT(1+L15:L15))),4)</f>
        <v>1.0072000000000001</v>
      </c>
      <c r="T15" s="3182">
        <f>ROUND(IF(项目基本情况!B8="出让",SUMPRODUCT(PRODUCT(1+M15:M16)),SUMPRODUCT(PRODUCT(1+M15:M15))),4)</f>
        <v>1.0041</v>
      </c>
      <c r="U15" s="3182">
        <f>ROUND(IF(项目基本情况!B8="出让",SUMPRODUCT(PRODUCT(1+N15:N16)),SUMPRODUCT(PRODUCT(1+N15:N15))),4)</f>
        <v>1.0095000000000001</v>
      </c>
      <c r="V15" s="3182">
        <f>ROUND(IF(项目基本情况!B8="出让",SUMPRODUCT(PRODUCT(1+O15:O16)),SUMPRODUCT(PRODUCT(1+O15:O15))),4)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ht="13.8" thickBot="1">
      <c r="A16" s="3196" t="s">
        <v>2825</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5" thickTop="1"/>
    <row r="18" spans="1:30" s="3008" customFormat="1">
      <c r="A18" s="3447" t="s">
        <v>3369</v>
      </c>
    </row>
    <row r="19" spans="1:30" s="3008" customFormat="1">
      <c r="I19" s="3207" t="s">
        <v>2826</v>
      </c>
    </row>
    <row r="20" spans="1:30" s="3008" customFormat="1"/>
    <row r="21" spans="1:30" s="3208" customFormat="1" ht="13.2">
      <c r="B21" s="3209" t="s">
        <v>2827</v>
      </c>
      <c r="C21" s="3210"/>
      <c r="D21" s="3210"/>
      <c r="E21" s="3210"/>
      <c r="F21" s="3210"/>
      <c r="G21" s="3210"/>
      <c r="H21" s="3210"/>
      <c r="I21" s="3210"/>
      <c r="J21" s="3164"/>
      <c r="K21" s="3210" t="s">
        <v>2828</v>
      </c>
      <c r="L21" s="3210"/>
      <c r="M21" s="3210"/>
      <c r="N21" s="3210"/>
      <c r="O21" s="3210"/>
      <c r="P21" s="3210"/>
      <c r="Q21" s="3164"/>
      <c r="R21" s="3780" t="s">
        <v>2829</v>
      </c>
      <c r="S21" s="3781"/>
      <c r="T21" s="3781"/>
      <c r="U21" s="3781"/>
      <c r="V21" s="3781"/>
      <c r="W21" s="3781"/>
      <c r="X21" s="3164"/>
      <c r="Y21" s="3780" t="s">
        <v>2830</v>
      </c>
      <c r="Z21" s="3781"/>
      <c r="AA21" s="3781"/>
      <c r="AB21" s="3781"/>
      <c r="AC21" s="3781"/>
      <c r="AD21" s="3781"/>
    </row>
    <row r="22" spans="1:30" s="3142" customFormat="1" ht="15" thickBot="1">
      <c r="B22" s="3143"/>
      <c r="C22" s="3144"/>
      <c r="D22" s="3145" t="s">
        <v>2831</v>
      </c>
      <c r="E22" s="3146" t="s">
        <v>2832</v>
      </c>
      <c r="F22" s="3146" t="s">
        <v>2833</v>
      </c>
      <c r="G22" s="3146" t="s">
        <v>2834</v>
      </c>
      <c r="H22" s="3146"/>
      <c r="I22" s="3146" t="s">
        <v>2835</v>
      </c>
      <c r="J22" s="3147"/>
      <c r="K22" s="3145" t="s">
        <v>2831</v>
      </c>
      <c r="L22" s="3146" t="s">
        <v>2832</v>
      </c>
      <c r="M22" s="3146" t="s">
        <v>2833</v>
      </c>
      <c r="N22" s="3146" t="s">
        <v>2834</v>
      </c>
      <c r="O22" s="3146"/>
      <c r="P22" s="3146" t="s">
        <v>2835</v>
      </c>
      <c r="Q22" s="3147"/>
      <c r="R22" s="3145" t="s">
        <v>2831</v>
      </c>
      <c r="S22" s="3146" t="s">
        <v>2832</v>
      </c>
      <c r="T22" s="3146" t="s">
        <v>2833</v>
      </c>
      <c r="U22" s="3146" t="s">
        <v>2834</v>
      </c>
      <c r="V22" s="3146"/>
      <c r="W22" s="3146" t="s">
        <v>2835</v>
      </c>
      <c r="X22" s="3147"/>
      <c r="Y22" s="3145" t="s">
        <v>2831</v>
      </c>
      <c r="Z22" s="3146" t="s">
        <v>2832</v>
      </c>
      <c r="AA22" s="3146" t="s">
        <v>2833</v>
      </c>
      <c r="AB22" s="3146" t="s">
        <v>2834</v>
      </c>
      <c r="AC22" s="3146"/>
      <c r="AD22" s="3146" t="s">
        <v>2835</v>
      </c>
    </row>
    <row r="23" spans="1:30" s="3160" customFormat="1" ht="13.2">
      <c r="A23" s="3148" t="s">
        <v>2836</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1.0468</v>
      </c>
      <c r="T23" s="3155">
        <f t="shared" ref="T23:U23" si="24">ROUND(SUMPRODUCT(PRODUCT(1+M24:M36)),4)</f>
        <v>1.0337000000000001</v>
      </c>
      <c r="U23" s="3155">
        <f t="shared" si="24"/>
        <v>1.0828</v>
      </c>
      <c r="V23" s="3155"/>
      <c r="W23" s="3154">
        <f>T23</f>
        <v>1.0337000000000001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3.2">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3.2">
      <c r="A25" s="3175" t="s">
        <v>3371</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ROUND(IF(项目基本情况!$B$8="出让",SUMPRODUCT(PRODUCT(1+L25:L$36)),SUMPRODUCT(PRODUCT(1+L25:L$35))),4)</f>
        <v>1.0431999999999999</v>
      </c>
      <c r="T25" s="3182">
        <f>ROUND(IF(项目基本情况!$B$8="出让",SUMPRODUCT(PRODUCT(1+M25:M$36)),SUMPRODUCT(PRODUCT(1+M25:M$35))),4)</f>
        <v>1.0286999999999999</v>
      </c>
      <c r="U25" s="3182">
        <f>ROUND(IF(项目基本情况!$B$8="出让",SUMPRODUCT(PRODUCT(1+N25:N$36)),SUMPRODUCT(PRODUCT(1+N25:N$35))),4)</f>
        <v>1.0723</v>
      </c>
      <c r="V25" s="3182"/>
      <c r="W25" s="3182">
        <f>T25</f>
        <v>1.0286999999999999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3.2">
      <c r="A26" s="3175" t="s">
        <v>3372</v>
      </c>
      <c r="B26" s="3176">
        <v>2023</v>
      </c>
      <c r="C26" s="3177">
        <v>3</v>
      </c>
      <c r="D26" s="3178"/>
      <c r="E26" s="3178">
        <v>0.35</v>
      </c>
      <c r="F26" s="3178">
        <v>0.17</v>
      </c>
      <c r="G26" s="3178">
        <v>0.52</v>
      </c>
      <c r="H26" s="3195"/>
      <c r="I26" s="3179">
        <f t="shared" si="26"/>
        <v>0.17</v>
      </c>
      <c r="J26" s="3180"/>
      <c r="K26" s="3181"/>
      <c r="L26" s="3171">
        <f t="shared" ref="L26:L28" si="28">E26/100</f>
        <v>3.4999999999999996E-3</v>
      </c>
      <c r="M26" s="3171">
        <f t="shared" ref="M26:M28" si="29">F26/100</f>
        <v>1.7000000000000001E-3</v>
      </c>
      <c r="N26" s="3171">
        <f t="shared" ref="N26:N28" si="30">G26/100</f>
        <v>5.1999999999999998E-3</v>
      </c>
      <c r="O26" s="3171"/>
      <c r="P26" s="3171">
        <f t="shared" ref="P26:P28" si="31">M26</f>
        <v>1.7000000000000001E-3</v>
      </c>
      <c r="Q26" s="3180"/>
      <c r="R26" s="3182"/>
      <c r="S26" s="3182">
        <f>ROUND(IF(项目基本情况!$B$8="出让",SUMPRODUCT(PRODUCT(1+L26:L$36)),SUMPRODUCT(PRODUCT(1+L26:L$35))),4)</f>
        <v>1.0431999999999999</v>
      </c>
      <c r="T26" s="3182">
        <f>ROUND(IF(项目基本情况!$B$8="出让",SUMPRODUCT(PRODUCT(1+M26:M$36)),SUMPRODUCT(PRODUCT(1+M26:M$35))),4)</f>
        <v>1.0286999999999999</v>
      </c>
      <c r="U26" s="3182">
        <f>ROUND(IF(项目基本情况!$B$8="出让",SUMPRODUCT(PRODUCT(1+N26:N$36)),SUMPRODUCT(PRODUCT(1+N26:N$35))),4)</f>
        <v>1.0723</v>
      </c>
      <c r="V26" s="3182"/>
      <c r="W26" s="3182">
        <f t="shared" ref="W26:W28" si="32">T26</f>
        <v>1.0286999999999999</v>
      </c>
      <c r="X26" s="3180"/>
      <c r="Y26" s="3183"/>
      <c r="Z26" s="3211"/>
      <c r="AA26" s="3448"/>
      <c r="AB26" s="3448"/>
      <c r="AC26" s="3212"/>
      <c r="AD26" s="3183"/>
    </row>
    <row r="27" spans="1:30" s="3194" customFormat="1" ht="13.2">
      <c r="A27" s="3185" t="s">
        <v>3374</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ROUND(IF(项目基本情况!$B$8="出让",SUMPRODUCT(PRODUCT(1+L27:L$36)),SUMPRODUCT(PRODUCT(1+L27:L$35))),4)</f>
        <v>1.0396000000000001</v>
      </c>
      <c r="T27" s="3191">
        <f>ROUND(IF(项目基本情况!$B$8="出让",SUMPRODUCT(PRODUCT(1+M27:M$36)),SUMPRODUCT(PRODUCT(1+M27:M$35))),4)</f>
        <v>1.0269999999999999</v>
      </c>
      <c r="U27" s="3191">
        <f>ROUND(IF(项目基本情况!$B$8="出让",SUMPRODUCT(PRODUCT(1+N27:N$36)),SUMPRODUCT(PRODUCT(1+N27:N$35))),4)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3.2">
      <c r="A28" s="3175" t="s">
        <v>3375</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ROUND(IF(项目基本情况!$B$8="出让",SUMPRODUCT(PRODUCT(1+L28:L$36)),SUMPRODUCT(PRODUCT(1+L28:L$35))),4)</f>
        <v>1.0344</v>
      </c>
      <c r="T28" s="3182">
        <f>ROUND(IF(项目基本情况!$B$8="出让",SUMPRODUCT(PRODUCT(1+M28:M$36)),SUMPRODUCT(PRODUCT(1+M28:M$35))),4)</f>
        <v>1.0224</v>
      </c>
      <c r="U28" s="3182">
        <f>ROUND(IF(项目基本情况!$B$8="出让",SUMPRODUCT(PRODUCT(1+N28:N$36)),SUMPRODUCT(PRODUCT(1+N28:N$35))),4)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3.2">
      <c r="A29" s="3175" t="s">
        <v>3373</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ROUND(IF(项目基本情况!$B$8="出让",SUMPRODUCT(PRODUCT(1+L29:L$36)),SUMPRODUCT(PRODUCT(1+L29:L$35))),4)</f>
        <v>1.0286999999999999</v>
      </c>
      <c r="T29" s="3182">
        <f>ROUND(IF(项目基本情况!$B$8="出让",SUMPRODUCT(PRODUCT(1+M29:M$36)),SUMPRODUCT(PRODUCT(1+M29:M$35))),4)</f>
        <v>1.0164</v>
      </c>
      <c r="U29" s="3182">
        <f>ROUND(IF(项目基本情况!$B$8="出让",SUMPRODUCT(PRODUCT(1+N29:N$36)),SUMPRODUCT(PRODUCT(1+N29:N$35))),4)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3.2">
      <c r="A30" s="3175" t="s">
        <v>3368</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ROUND(IF(项目基本情况!$B$8="出让",SUMPRODUCT(PRODUCT(1+L30:L$36)),SUMPRODUCT(PRODUCT(1+L30:L$35))),4)</f>
        <v>1.0241</v>
      </c>
      <c r="T30" s="3182">
        <f>ROUND(IF(项目基本情况!$B$8="出让",SUMPRODUCT(PRODUCT(1+M30:M$36)),SUMPRODUCT(PRODUCT(1+M30:M$35))),4)</f>
        <v>1.0144</v>
      </c>
      <c r="U30" s="3182">
        <f>ROUND(IF(项目基本情况!$B$8="出让",SUMPRODUCT(PRODUCT(1+N30:N$36)),SUMPRODUCT(PRODUCT(1+N30:N$35))),4)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3.2">
      <c r="A31" s="3175" t="s">
        <v>3358</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ROUND(IF(项目基本情况!$B$8="出让",SUMPRODUCT(PRODUCT(1+L31:L$36)),SUMPRODUCT(PRODUCT(1+L31:L$35))),4)</f>
        <v>1.0210999999999999</v>
      </c>
      <c r="T31" s="3182">
        <f>ROUND(IF(项目基本情况!$B$8="出让",SUMPRODUCT(PRODUCT(1+M31:M$36)),SUMPRODUCT(PRODUCT(1+M31:M$35))),4)</f>
        <v>1.0114000000000001</v>
      </c>
      <c r="U31" s="3182">
        <f>ROUND(IF(项目基本情况!$B$8="出让",SUMPRODUCT(PRODUCT(1+N31:N$36)),SUMPRODUCT(PRODUCT(1+N31:N$35))),4)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3.2">
      <c r="A32" s="3175" t="s">
        <v>2837</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ROUND(IF(项目基本情况!$B$8="出让",SUMPRODUCT(PRODUCT(1+L32:L$36)),SUMPRODUCT(PRODUCT(1+L32:L$35))),4)</f>
        <v>1.0222</v>
      </c>
      <c r="T32" s="3182">
        <f>ROUND(IF(项目基本情况!$B$8="出让",SUMPRODUCT(PRODUCT(1+M32:M$36)),SUMPRODUCT(PRODUCT(1+M32:M$35))),4)</f>
        <v>1.0127999999999999</v>
      </c>
      <c r="U32" s="3182">
        <f>ROUND(IF(项目基本情况!$B$8="出让",SUMPRODUCT(PRODUCT(1+N32:N$36)),SUMPRODUCT(PRODUCT(1+N32:N$35))),4)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3.2">
      <c r="A33" s="3175" t="s">
        <v>2838</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ROUND(IF(项目基本情况!$B$8="出让",SUMPRODUCT(PRODUCT(1+L33:L$36)),SUMPRODUCT(PRODUCT(1+L33:L$35))),4)</f>
        <v>1.0161</v>
      </c>
      <c r="T33" s="3182">
        <f>ROUND(IF(项目基本情况!$B$8="出让",SUMPRODUCT(PRODUCT(1+M33:M$36)),SUMPRODUCT(PRODUCT(1+M33:M$35))),4)</f>
        <v>1.0082</v>
      </c>
      <c r="U33" s="3182">
        <f>ROUND(IF(项目基本情况!$B$8="出让",SUMPRODUCT(PRODUCT(1+N33:N$36)),SUMPRODUCT(PRODUCT(1+N33:N$35))),4)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3.2">
      <c r="A34" s="3175" t="s">
        <v>2839</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ROUND(IF(项目基本情况!$B$8="出让",SUMPRODUCT(PRODUCT(1+L34:L$36)),SUMPRODUCT(PRODUCT(1+L34:L$35))),4)</f>
        <v>1.0102</v>
      </c>
      <c r="T34" s="3182">
        <f>ROUND(IF(项目基本情况!$B$8="出让",SUMPRODUCT(PRODUCT(1+M34:M$36)),SUMPRODUCT(PRODUCT(1+M34:M$35))),4)</f>
        <v>1.0074000000000001</v>
      </c>
      <c r="U34" s="3182">
        <f>ROUND(IF(项目基本情况!$B$8="出让",SUMPRODUCT(PRODUCT(1+N34:N$36)),SUMPRODUCT(PRODUCT(1+N34:N$35))),4)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3.2">
      <c r="A35" s="3175" t="s">
        <v>2840</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ROUND(IF(项目基本情况!$B$8="出让",SUMPRODUCT(PRODUCT(1+L35:L$36)),SUMPRODUCT(PRODUCT(1+L35:L$35))),4)</f>
        <v>1.0055000000000001</v>
      </c>
      <c r="T35" s="3182">
        <f>ROUND(IF(项目基本情况!$B$8="出让",SUMPRODUCT(PRODUCT(1+M35:M$36)),SUMPRODUCT(PRODUCT(1+M35:M$35))),4)</f>
        <v>1.0045999999999999</v>
      </c>
      <c r="U35" s="3182">
        <f>ROUND(IF(项目基本情况!$B$8="出让",SUMPRODUCT(PRODUCT(1+N35:N$36)),SUMPRODUCT(PRODUCT(1+N35:N$35))),4)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ht="13.8" thickBot="1">
      <c r="A36" s="3196" t="s">
        <v>2825</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5" thickTop="1"/>
    <row r="38" spans="1:30">
      <c r="A38" s="3447"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45224</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5" t="s">
        <v>2310</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建筑物价值</v>
      </c>
      <c r="G2" s="3473"/>
      <c r="H2" s="3473" t="str">
        <f>IF(项目基本情况!B9="房地产市场价值","房地产市场价值","房地产价值")</f>
        <v>房地产价值</v>
      </c>
      <c r="I2" s="3473"/>
    </row>
    <row r="3" spans="1:9" ht="15.6">
      <c r="A3" s="3468"/>
      <c r="B3" s="3468"/>
      <c r="C3" s="3468"/>
      <c r="D3" s="854" t="s">
        <v>925</v>
      </c>
      <c r="E3" s="854" t="s">
        <v>931</v>
      </c>
      <c r="F3" s="854" t="s">
        <v>925</v>
      </c>
      <c r="G3" s="854" t="s">
        <v>926</v>
      </c>
      <c r="H3" s="854" t="s">
        <v>925</v>
      </c>
      <c r="I3" s="854" t="s">
        <v>926</v>
      </c>
    </row>
    <row r="4" spans="1:9" ht="15">
      <c r="A4" s="1505" t="str">
        <f>项目基本情况!S2</f>
        <v>北京市房地产</v>
      </c>
      <c r="B4" s="854">
        <f>项目基本情况!C17</f>
        <v>10052.84</v>
      </c>
      <c r="C4" s="854">
        <f>项目基本情况!C18</f>
        <v>23335</v>
      </c>
      <c r="D4" s="854">
        <f ca="1">结果表!D118</f>
        <v>2675</v>
      </c>
      <c r="E4" s="854">
        <f ca="1">结果表!E118</f>
        <v>2661</v>
      </c>
      <c r="F4" s="854">
        <f ca="1">结果表!F118</f>
        <v>2644</v>
      </c>
      <c r="G4" s="854">
        <f ca="1">结果表!G118</f>
        <v>2630</v>
      </c>
      <c r="H4" s="854">
        <f ca="1">结果表!H118</f>
        <v>5319</v>
      </c>
      <c r="I4" s="854">
        <f ca="1">结果表!I118</f>
        <v>5291</v>
      </c>
    </row>
    <row r="5" spans="1:9" ht="30" customHeight="1">
      <c r="A5" s="3468" t="s">
        <v>927</v>
      </c>
      <c r="B5" s="3468"/>
      <c r="C5" s="3468"/>
      <c r="D5" s="3468" t="str">
        <f ca="1">结果表!D119</f>
        <v>贰仟陆佰柒拾伍万元整</v>
      </c>
      <c r="E5" s="3468"/>
      <c r="F5" s="3468" t="str">
        <f ca="1">结果表!F119</f>
        <v>贰仟陆佰肆拾肆万元整</v>
      </c>
      <c r="G5" s="3468"/>
      <c r="H5" s="3468" t="str">
        <f ca="1">结果表!H119</f>
        <v>伍仟叁佰壹拾玖万元整</v>
      </c>
      <c r="I5" s="3468"/>
    </row>
    <row r="6" spans="1:9" ht="15.6">
      <c r="A6" s="3467" t="str">
        <f>结果表!A120</f>
        <v>估价师知悉的法定优先受偿款</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6">
      <c r="A8" s="3467" t="str">
        <f>结果表!A122</f>
        <v>房地产抵押价值</v>
      </c>
      <c r="B8" s="3467"/>
      <c r="C8" s="3467"/>
      <c r="D8" s="3467">
        <f ca="1">结果表!D122</f>
        <v>5319</v>
      </c>
      <c r="E8" s="3467"/>
      <c r="F8" s="3467"/>
      <c r="G8" s="3467"/>
      <c r="H8" s="3467"/>
      <c r="I8" s="3467"/>
    </row>
    <row r="9" spans="1:9" ht="15">
      <c r="A9" s="3468" t="s">
        <v>927</v>
      </c>
      <c r="B9" s="3468"/>
      <c r="C9" s="3468"/>
      <c r="D9" s="3468" t="str">
        <f ca="1">结果表!D123</f>
        <v>伍仟叁佰壹拾玖万元整</v>
      </c>
      <c r="E9" s="3468"/>
      <c r="F9" s="3468"/>
      <c r="G9" s="3468"/>
      <c r="H9" s="3468"/>
      <c r="I9" s="3468"/>
    </row>
    <row r="10" spans="1:9" ht="15.6">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6">
      <c r="A12" s="3467" t="str">
        <f>结果表!A126</f>
        <v/>
      </c>
      <c r="B12" s="3467"/>
      <c r="C12" s="3467"/>
      <c r="D12" s="3467" t="str">
        <f>结果表!D126</f>
        <v>——</v>
      </c>
      <c r="E12" s="3467"/>
      <c r="F12" s="3467"/>
      <c r="G12" s="3467"/>
      <c r="H12" s="3467"/>
      <c r="I12" s="3467"/>
    </row>
    <row r="13" spans="1:9" ht="15.6" thickBot="1">
      <c r="A13" s="3465" t="s">
        <v>927</v>
      </c>
      <c r="B13" s="3465"/>
      <c r="C13" s="3465"/>
      <c r="D13" s="3465" t="e">
        <f>结果表!D127</f>
        <v>#VALUE!</v>
      </c>
      <c r="E13" s="3465"/>
      <c r="F13" s="3465"/>
      <c r="G13" s="3465"/>
      <c r="H13" s="3465"/>
      <c r="I13" s="3465"/>
    </row>
    <row r="14" spans="1:9" ht="14.4" thickTop="1">
      <c r="A14" s="3466" t="s">
        <v>932</v>
      </c>
      <c r="B14" s="3466"/>
      <c r="C14" s="3466"/>
      <c r="D14" s="3466"/>
      <c r="E14" s="3466"/>
      <c r="F14" s="3466"/>
      <c r="G14" s="3466"/>
      <c r="H14" s="3466"/>
      <c r="I14" s="3466"/>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80" t="s">
        <v>949</v>
      </c>
      <c r="B1" s="3480"/>
      <c r="C1" s="3480"/>
      <c r="D1" s="3480"/>
    </row>
    <row r="2" spans="1:4" ht="17.399999999999999">
      <c r="A2" s="3481" t="s">
        <v>933</v>
      </c>
      <c r="B2" s="3481"/>
      <c r="C2" s="3481"/>
      <c r="D2" s="3481"/>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81" t="s">
        <v>939</v>
      </c>
      <c r="B6" s="3481"/>
      <c r="C6" s="3481"/>
      <c r="D6" s="3481"/>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82" t="s">
        <v>942</v>
      </c>
      <c r="B11" s="3474"/>
      <c r="C11" s="3474"/>
      <c r="D11" s="3474"/>
    </row>
    <row r="12" spans="1:4" ht="15.6">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4" t="str">
        <f>IF(项目基本情况!B8="抵押","4.本次评估估价师所知悉的法定优先受偿款情况说明如下：","——")</f>
        <v>4.本次评估估价师所知悉的法定优先受偿款情况说明如下：</v>
      </c>
      <c r="B14" s="3479"/>
      <c r="C14" s="3479"/>
      <c r="D14" s="3479"/>
    </row>
    <row r="15" spans="1:4" ht="42" customHeight="1">
      <c r="A15" s="3474"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88" t="s">
        <v>956</v>
      </c>
      <c r="B15" s="3483" t="s">
        <v>109</v>
      </c>
      <c r="C15" s="3484"/>
    </row>
    <row r="16" spans="1:7" ht="14.4">
      <c r="A16" s="3489"/>
      <c r="B16" s="3483" t="s">
        <v>42</v>
      </c>
      <c r="C16" s="3484"/>
    </row>
    <row r="17" spans="1:3" ht="14.4">
      <c r="A17" s="3489"/>
      <c r="B17" s="3486" t="s">
        <v>957</v>
      </c>
      <c r="C17" s="1532" t="s">
        <v>956</v>
      </c>
    </row>
    <row r="18" spans="1:3" ht="14.4">
      <c r="A18" s="3489"/>
      <c r="B18" s="3486"/>
      <c r="C18" s="1532" t="s">
        <v>958</v>
      </c>
    </row>
    <row r="19" spans="1:3" ht="14.4">
      <c r="A19" s="3489"/>
      <c r="B19" s="3486"/>
      <c r="C19" s="1532" t="s">
        <v>959</v>
      </c>
    </row>
    <row r="20" spans="1:3" ht="14.4">
      <c r="A20" s="3490"/>
      <c r="B20" s="3485" t="s">
        <v>960</v>
      </c>
      <c r="C20" s="3484"/>
    </row>
    <row r="21" spans="1:3" ht="14.4">
      <c r="A21" s="1533" t="s">
        <v>961</v>
      </c>
      <c r="B21" s="1534"/>
      <c r="C21" s="1535"/>
    </row>
    <row r="22" spans="1:3" ht="14.4">
      <c r="A22" s="3487" t="s">
        <v>962</v>
      </c>
      <c r="B22" s="3485" t="s">
        <v>963</v>
      </c>
      <c r="C22" s="3484"/>
    </row>
    <row r="23" spans="1:3" ht="14.4">
      <c r="A23" s="3487"/>
      <c r="B23" s="3485" t="s">
        <v>964</v>
      </c>
      <c r="C23" s="3484"/>
    </row>
    <row r="24" spans="1:3" ht="14.4">
      <c r="A24" s="3487"/>
      <c r="B24" s="3485" t="s">
        <v>965</v>
      </c>
      <c r="C24" s="3484"/>
    </row>
    <row r="25" spans="1:3" ht="14.4">
      <c r="A25" s="3487"/>
      <c r="B25" s="3486" t="s">
        <v>966</v>
      </c>
      <c r="C25" s="1532" t="s">
        <v>967</v>
      </c>
    </row>
    <row r="26" spans="1:3" ht="14.4">
      <c r="A26" s="3487"/>
      <c r="B26" s="3486"/>
      <c r="C26" s="1532" t="s">
        <v>968</v>
      </c>
    </row>
    <row r="27" spans="1:3" ht="14.4">
      <c r="A27" s="3487"/>
      <c r="B27" s="3486"/>
      <c r="C27" s="1532" t="s">
        <v>969</v>
      </c>
    </row>
    <row r="28" spans="1:3" ht="14.4">
      <c r="A28" s="3487"/>
      <c r="B28" s="3486"/>
      <c r="C28" s="1532" t="s">
        <v>970</v>
      </c>
    </row>
    <row r="29" spans="1:3" ht="14.4">
      <c r="A29" s="3487"/>
      <c r="B29" s="3486"/>
      <c r="C29" s="1532" t="s">
        <v>971</v>
      </c>
    </row>
    <row r="30" spans="1:3" ht="14.4">
      <c r="A30" s="3487"/>
      <c r="B30" s="3486"/>
      <c r="C30" s="1532" t="s">
        <v>972</v>
      </c>
    </row>
    <row r="31" spans="1:3" ht="14.4">
      <c r="A31" s="3487"/>
      <c r="B31" s="3486"/>
      <c r="C31" s="1532" t="s">
        <v>973</v>
      </c>
    </row>
    <row r="32" spans="1:3" ht="14.4">
      <c r="A32" s="3487"/>
      <c r="B32" s="3486"/>
      <c r="C32" s="1532" t="s">
        <v>974</v>
      </c>
    </row>
    <row r="33" spans="1:3" ht="14.4">
      <c r="A33" s="3487"/>
      <c r="B33" s="3486"/>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2137</v>
      </c>
      <c r="B2" s="2339">
        <f ca="1">TODAY()</f>
        <v>45230</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2158</v>
      </c>
      <c r="B17" s="3491"/>
      <c r="C17" s="3491"/>
      <c r="D17" s="3491"/>
      <c r="E17" s="3491"/>
      <c r="F17" s="3491"/>
      <c r="G17" s="3491"/>
      <c r="H17" s="3491"/>
    </row>
    <row r="18" spans="1:8" ht="24" customHeight="1">
      <c r="A18" s="3492" t="s">
        <v>2159</v>
      </c>
      <c r="B18" s="3492"/>
      <c r="C18" s="3492"/>
      <c r="D18" s="2343"/>
      <c r="E18" s="3493" t="s">
        <v>2160</v>
      </c>
      <c r="F18" s="3492"/>
      <c r="G18" s="3492"/>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2023-10-31T07:04:35Z</dcterms:modified>
</cp:coreProperties>
</file>